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kealey\Box\Poultry\USPoultry work\risk models\Chicken Parts Model\Chicken parts model 2-WHO+Kentucky (Anautum MLE DR)\"/>
    </mc:Choice>
  </mc:AlternateContent>
  <xr:revisionPtr revIDLastSave="0" documentId="13_ncr:1_{C5EDB629-2812-469B-8780-724DEDC00020}" xr6:coauthVersionLast="47" xr6:coauthVersionMax="47" xr10:uidLastSave="{00000000-0000-0000-0000-000000000000}"/>
  <bookViews>
    <workbookView xWindow="-120" yWindow="-120" windowWidth="29040" windowHeight="15840" firstSheet="2" activeTab="2" xr2:uid="{8649FD71-15AB-4D1C-8F8E-DD1C260038CD}"/>
  </bookViews>
  <sheets>
    <sheet name="goalSeekInfo" sheetId="167" state="hidden" r:id="rId1"/>
    <sheet name="RiskSerializationData8" sheetId="236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RiskSerializationData8!$6:$9</definedName>
    <definedName name="Pal_Workbook_GUID" hidden="1">"WVNZPGZDHMCWZNLGFYTUZKMK"</definedName>
    <definedName name="_xlnm.Print_Area" localSheetId="2">'Chicken Parts'!$A$1:$AQ$69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50000</definedName>
    <definedName name="RiskNumSimulations" hidden="1">10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ExternalFilePath" hidden="1">"C:\Users\ekealey\Box\Poultry\USPoultry work\risk models\Chicken Parts Model\chicken parts model 1-WHO\Chicken Parts Model 2-Kentucky 9.29.23 .RSK5"</definedName>
    <definedName name="RiskSimulationResultsStorageLocation" hidden="1">"3"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36" l="1"/>
  <c r="L8" i="236"/>
  <c r="A8" i="236"/>
  <c r="L7" i="236"/>
  <c r="A7" i="236"/>
  <c r="L6" i="236"/>
  <c r="A6" i="236"/>
  <c r="B33" i="142" a="1"/>
  <c r="B33" i="142" s="1"/>
  <c r="B34" i="142" s="1"/>
  <c r="B9" i="142" a="1"/>
  <c r="B9" i="142" s="1"/>
  <c r="B22" i="142" s="1"/>
  <c r="B19" i="142"/>
  <c r="B20" i="142" s="1" a="1"/>
  <c r="B20" i="142" s="1"/>
  <c r="J132" i="142"/>
  <c r="K132" i="142"/>
  <c r="C12" i="142"/>
  <c r="C13" i="142"/>
  <c r="C14" i="142"/>
  <c r="C15" i="142"/>
  <c r="B18" i="142"/>
  <c r="C18" i="142"/>
  <c r="C17" i="142"/>
  <c r="C16" i="142"/>
  <c r="A90" i="142"/>
  <c r="A92" i="142"/>
  <c r="B23" i="142"/>
  <c r="B2" i="167"/>
  <c r="A97" i="142"/>
  <c r="A113" i="142"/>
  <c r="A112" i="142"/>
  <c r="A111" i="142"/>
  <c r="A110" i="142"/>
  <c r="A109" i="142"/>
  <c r="A108" i="142"/>
  <c r="C98" i="142"/>
  <c r="C99" i="142"/>
  <c r="C100" i="142"/>
  <c r="C101" i="142"/>
  <c r="A98" i="142"/>
  <c r="A91" i="142"/>
  <c r="A2" i="167"/>
  <c r="A99" i="142"/>
  <c r="A101" i="142"/>
  <c r="C102" i="142"/>
  <c r="A100" i="142"/>
  <c r="C103" i="142"/>
  <c r="A102" i="142"/>
  <c r="C104" i="142"/>
  <c r="A103" i="142"/>
  <c r="C105" i="142"/>
  <c r="A104" i="142"/>
  <c r="A105" i="142"/>
  <c r="C106" i="142"/>
  <c r="A106" i="142"/>
  <c r="B24" i="142" a="1"/>
  <c r="B36" i="142" l="1"/>
  <c r="B48" i="142" s="1"/>
  <c r="B51" i="142" s="1"/>
  <c r="B24" i="142"/>
  <c r="B39" i="142"/>
  <c r="B54" i="142" s="1"/>
  <c r="B26" i="142"/>
  <c r="B46" i="142"/>
  <c r="C46" i="142"/>
  <c r="B25" i="142" a="1"/>
  <c r="B59" i="142" a="1"/>
  <c r="B72" i="142" a="1"/>
  <c r="B27" i="142" a="1"/>
  <c r="B40" i="142" l="1"/>
  <c r="B55" i="142" s="1"/>
  <c r="B27" i="142"/>
  <c r="B72" i="142"/>
  <c r="B59" i="142"/>
  <c r="B25" i="142"/>
  <c r="C92" i="142" s="1"/>
  <c r="B42" i="142"/>
  <c r="B57" i="142" s="1"/>
  <c r="B37" i="142"/>
  <c r="B52" i="142" s="1"/>
  <c r="B28" i="142"/>
  <c r="B38" i="142"/>
  <c r="B53" i="142" s="1"/>
  <c r="B76" i="142" a="1"/>
  <c r="B74" i="142" a="1"/>
  <c r="B73" i="142" a="1"/>
  <c r="C72" i="142" a="1"/>
  <c r="B75" i="142" a="1"/>
  <c r="B60" i="142" a="1"/>
  <c r="B103" i="142" a="1"/>
  <c r="C59" i="142" a="1"/>
  <c r="B102" i="142" a="1"/>
  <c r="B101" i="142" a="1"/>
  <c r="B100" i="142" a="1"/>
  <c r="B62" i="142" a="1"/>
  <c r="B106" i="142" a="1"/>
  <c r="B61" i="142" a="1"/>
  <c r="B105" i="142" a="1"/>
  <c r="B99" i="142" a="1"/>
  <c r="B104" i="142" a="1"/>
  <c r="B98" i="142" a="1"/>
  <c r="B97" i="142" a="1"/>
  <c r="B29" i="142" a="1"/>
  <c r="B68" i="142" a="1"/>
  <c r="B84" i="142" a="1"/>
  <c r="B64" i="142" a="1"/>
  <c r="B76" i="142" l="1"/>
  <c r="B94" i="142" s="1"/>
  <c r="B64" i="142"/>
  <c r="B84" i="142"/>
  <c r="B68" i="142"/>
  <c r="B29" i="142"/>
  <c r="B97" i="142"/>
  <c r="B98" i="142"/>
  <c r="B104" i="142"/>
  <c r="B99" i="142"/>
  <c r="B105" i="142"/>
  <c r="B61" i="142"/>
  <c r="B106" i="142"/>
  <c r="B62" i="142"/>
  <c r="B100" i="142"/>
  <c r="B101" i="142"/>
  <c r="B102" i="142"/>
  <c r="C59" i="142"/>
  <c r="B103" i="142"/>
  <c r="B60" i="142"/>
  <c r="B75" i="142"/>
  <c r="C72" i="142"/>
  <c r="B73" i="142"/>
  <c r="B93" i="142" s="1"/>
  <c r="B74" i="142"/>
  <c r="B41" i="142"/>
  <c r="B56" i="142" s="1"/>
  <c r="B78" i="142" a="1"/>
  <c r="B79" i="142" a="1"/>
  <c r="C76" i="142" a="1"/>
  <c r="B77" i="142" a="1"/>
  <c r="B65" i="142" a="1"/>
  <c r="C64" i="142" a="1"/>
  <c r="B67" i="142" a="1"/>
  <c r="B66" i="142" a="1"/>
  <c r="C62" i="142" a="1"/>
  <c r="B80" i="142" a="1"/>
  <c r="C61" i="142" a="1"/>
  <c r="B86" i="142" a="1"/>
  <c r="B85" i="142" a="1"/>
  <c r="C84" i="142" a="1"/>
  <c r="B87" i="142" a="1"/>
  <c r="B71" i="142" a="1"/>
  <c r="B70" i="142" a="1"/>
  <c r="B69" i="142" a="1"/>
  <c r="C68" i="142" a="1"/>
  <c r="C60" i="142" a="1"/>
  <c r="C73" i="142" a="1"/>
  <c r="C75" i="142" a="1"/>
  <c r="C74" i="142" a="1"/>
  <c r="B77" i="142" l="1"/>
  <c r="C76" i="142"/>
  <c r="B79" i="142"/>
  <c r="B78" i="142"/>
  <c r="C74" i="142"/>
  <c r="C75" i="142"/>
  <c r="C73" i="142"/>
  <c r="C60" i="142"/>
  <c r="C68" i="142"/>
  <c r="B69" i="142"/>
  <c r="B70" i="142"/>
  <c r="B71" i="142"/>
  <c r="B87" i="142"/>
  <c r="C84" i="142"/>
  <c r="B85" i="142"/>
  <c r="B86" i="142"/>
  <c r="C61" i="142"/>
  <c r="B80" i="142"/>
  <c r="C62" i="142"/>
  <c r="B66" i="142"/>
  <c r="B67" i="142"/>
  <c r="C64" i="142"/>
  <c r="B65" i="142"/>
  <c r="B90" i="142" s="1"/>
  <c r="B89" i="142"/>
  <c r="B91" i="142" s="1"/>
  <c r="B111" i="142"/>
  <c r="B109" i="142"/>
  <c r="B108" i="142"/>
  <c r="B110" i="142" s="1"/>
  <c r="B112" i="142"/>
  <c r="C77" i="142" a="1"/>
  <c r="C78" i="142" a="1"/>
  <c r="C79" i="142" a="1"/>
  <c r="B83" i="142" a="1"/>
  <c r="B82" i="142" a="1"/>
  <c r="B81" i="142" a="1"/>
  <c r="C80" i="142" a="1"/>
  <c r="C70" i="142" a="1"/>
  <c r="C69" i="142" a="1"/>
  <c r="C71" i="142" a="1"/>
  <c r="C67" i="142" a="1"/>
  <c r="C66" i="142" a="1"/>
  <c r="C65" i="142" a="1"/>
  <c r="C85" i="142" a="1"/>
  <c r="C87" i="142" a="1"/>
  <c r="C86" i="142" a="1"/>
  <c r="C79" i="142" l="1"/>
  <c r="C78" i="142"/>
  <c r="C77" i="142"/>
  <c r="B92" i="142"/>
  <c r="B113" i="142"/>
  <c r="C86" i="142"/>
  <c r="C87" i="142"/>
  <c r="C85" i="142"/>
  <c r="C65" i="142"/>
  <c r="C66" i="142"/>
  <c r="C67" i="142"/>
  <c r="C71" i="142"/>
  <c r="C69" i="142"/>
  <c r="C70" i="142"/>
  <c r="C80" i="142"/>
  <c r="B81" i="142"/>
  <c r="B82" i="142"/>
  <c r="B83" i="142"/>
  <c r="C82" i="142" a="1"/>
  <c r="C81" i="142" a="1"/>
  <c r="C83" i="142" a="1"/>
  <c r="C83" i="142" l="1"/>
  <c r="C81" i="142"/>
  <c r="C82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<sst xmlns="http://schemas.openxmlformats.org/spreadsheetml/2006/main" count="265" uniqueCount="191">
  <si>
    <t>Salmonella Standard Deviation</t>
  </si>
  <si>
    <t>Units</t>
  </si>
  <si>
    <t>Data Source</t>
  </si>
  <si>
    <t>CFU/g</t>
  </si>
  <si>
    <t>Constant</t>
  </si>
  <si>
    <t>g</t>
  </si>
  <si>
    <t>Numeric Value</t>
  </si>
  <si>
    <t>Probability</t>
  </si>
  <si>
    <t>1 = yes, 0 = no</t>
  </si>
  <si>
    <t>Total Dose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</si>
  <si>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</si>
  <si>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</si>
  <si>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</si>
  <si>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</si>
  <si>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</si>
  <si>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</si>
  <si>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</si>
  <si>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</si>
  <si>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</si>
  <si>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</si>
  <si>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</si>
  <si>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</si>
  <si>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</si>
  <si>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</si>
  <si>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</si>
  <si>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</si>
  <si>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</si>
  <si>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Compliant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</si>
  <si>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</si>
  <si>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</si>
  <si>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</si>
  <si>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</si>
  <si>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</si>
  <si>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</si>
  <si>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Proportion Compliant with MC</t>
  </si>
  <si>
    <t>Consumption Module</t>
  </si>
  <si>
    <t>Use scaling factor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</si>
  <si>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</si>
  <si>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</si>
  <si>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</si>
  <si>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</si>
  <si>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</si>
  <si>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</si>
  <si>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</si>
  <si>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</si>
  <si>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</si>
  <si>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</si>
  <si>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</si>
  <si>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</si>
  <si>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</si>
  <si>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</si>
  <si>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</si>
  <si>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</si>
  <si>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</si>
  <si>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</si>
  <si>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</si>
  <si>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</si>
  <si>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</si>
  <si>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</si>
  <si>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</si>
  <si>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</si>
  <si>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</si>
  <si>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</si>
  <si>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</si>
  <si>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</si>
  <si>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</si>
  <si>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</si>
  <si>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 xml:space="preserve">Range </t>
  </si>
  <si>
    <t>Mean</t>
  </si>
  <si>
    <t>St. Dev</t>
  </si>
  <si>
    <t>Max</t>
  </si>
  <si>
    <t>Min</t>
  </si>
  <si>
    <t>Basic Stats From Simulations</t>
  </si>
  <si>
    <t>Sim lookup</t>
  </si>
  <si>
    <t>COV</t>
  </si>
  <si>
    <t>Loooking to Variability - Baseline no threshold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</si>
  <si>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</si>
  <si>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</si>
  <si>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</si>
  <si>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</si>
  <si>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</si>
  <si>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</si>
  <si>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</si>
  <si>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</si>
  <si>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</si>
  <si>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</si>
  <si>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</si>
  <si>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</si>
  <si>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</si>
  <si>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</si>
  <si>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</si>
  <si>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</si>
  <si>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</si>
  <si>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</si>
  <si>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</si>
  <si>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Calculated by 1 CFU/{30mL* (1814 g/400 mL)}</t>
  </si>
  <si>
    <t>Overall Pr Ill</t>
  </si>
  <si>
    <t>NOTE. WHO/FAO assume everyone infected gets ill (Pill|inf=1); and uses same Beta-Poisson, just lists variables as alpha and beta</t>
  </si>
  <si>
    <t>KEY, because this is what matters</t>
  </si>
  <si>
    <t>what does 10 CFU/g mean for parts rinse, does it mean 10 CFU/ml in the rinse, or 10 CFU/g assuming  the converstion of ~1800/400</t>
  </si>
  <si>
    <t xml:space="preserve">WHO/FAO (2002) Alpha &amp; Beta </t>
  </si>
  <si>
    <t>Dose Response Module</t>
  </si>
  <si>
    <t>Dose in one serving (calcuated above)</t>
  </si>
  <si>
    <t>Dose in one serving (raw chicken part)</t>
  </si>
  <si>
    <t>Dose exposed to the host (after scaling factor)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</si>
  <si>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</si>
  <si>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</si>
  <si>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</si>
  <si>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Salmonella Serotype - From Distributions in sampling data</t>
  </si>
  <si>
    <t>Serotype</t>
  </si>
  <si>
    <t>Cummulative Probability</t>
  </si>
  <si>
    <t>Typhimurium</t>
  </si>
  <si>
    <t>HACCP 2015 - 2022 Parts</t>
  </si>
  <si>
    <t>Enteriditis</t>
  </si>
  <si>
    <t>Heidelbreg</t>
  </si>
  <si>
    <t>4,[5],12:i:− (non-motile Typhimurium)</t>
  </si>
  <si>
    <t>Kentucky</t>
  </si>
  <si>
    <t>Infantis</t>
  </si>
  <si>
    <t>Other Strains</t>
  </si>
  <si>
    <t>Serotype draw</t>
  </si>
  <si>
    <t>Serotype in serving</t>
  </si>
  <si>
    <t>Heidelberg</t>
  </si>
  <si>
    <t>Enteritidis</t>
  </si>
  <si>
    <t>https://qmrawiki.org/experiments/salmonella-anatum</t>
  </si>
  <si>
    <t>Is serotype in serving Kentucky or not?</t>
  </si>
  <si>
    <t>Proportion Kentucky</t>
  </si>
  <si>
    <t>Dose from non-Kentucky</t>
  </si>
  <si>
    <t>Dose from Kentucky</t>
  </si>
  <si>
    <t>GF1_rK0qDwEAEwCOAQwjACcAOQCzAMcAyADWAOQAaAGKAYQ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6AQEBAwGamZmZmZmpPwAAZmZmZmZm7j8AAAUAAQEBAAEBAQA=</t>
  </si>
  <si>
    <t>Scaling factor for Model 2</t>
  </si>
  <si>
    <t>Anatum Alpha &amp; Beta from QMRA wiki</t>
  </si>
  <si>
    <t>Alpha &amp; Beta for serotype in serving</t>
  </si>
  <si>
    <t>P(ill) from non-Kentucky serotype</t>
  </si>
  <si>
    <t>P(ill) from Kentucky</t>
  </si>
  <si>
    <t>P(ill) from non-Kentucky serotype-mean</t>
  </si>
  <si>
    <t>P(ill) from non-Kentucky serotype-5th</t>
  </si>
  <si>
    <t>P(ill) from non-Kentucky serotype-95th</t>
  </si>
  <si>
    <t>Dose from Kentucky (after scaling factor)</t>
  </si>
  <si>
    <t>P(ill) from Kentucky serotype-mean</t>
  </si>
  <si>
    <t>P(ill) from Kentucky serotype-5th</t>
  </si>
  <si>
    <t>P(ill) from Kentucky serotype-95th</t>
  </si>
  <si>
    <t>Probability of Illness based on Microbial Compliance/serotype</t>
  </si>
  <si>
    <t xml:space="preserve">Is level above threshold AND serotype non-Kentucky? </t>
  </si>
  <si>
    <t>Proportion non-compliant and serotype not Kentucky</t>
  </si>
  <si>
    <t>Dose from MC compliant and Kentucky</t>
  </si>
  <si>
    <t>Dose from MC compliant and Kentucky (after scaling factor)</t>
  </si>
  <si>
    <t>MC threshold</t>
  </si>
  <si>
    <t>MC compliant dose (after scaling factor)</t>
  </si>
  <si>
    <t xml:space="preserve">Dose from MC non-compliant and non-Kentucky serotype </t>
  </si>
  <si>
    <t>MC compliant dose</t>
  </si>
  <si>
    <t>MC non-compliant dose</t>
  </si>
  <si>
    <t>MC non-compliant dose (after scaling factor)</t>
  </si>
  <si>
    <t>Dose from non-Kentucky serotypes (after scaling factor)</t>
  </si>
  <si>
    <t>Dose from MC non-compliant and non-Kentucky serotypes  (after scaling factor)</t>
  </si>
  <si>
    <t>P(ill) from MC compliant product</t>
  </si>
  <si>
    <t>P(ill) from MC compliant product-mean</t>
  </si>
  <si>
    <t>P(ill) from MC compliant product-5th</t>
  </si>
  <si>
    <t>P(ill) from MC compliant-95th</t>
  </si>
  <si>
    <t>P(ill) from MC non-compliant product</t>
  </si>
  <si>
    <t>P(ill) from MC non-compliant product-mean</t>
  </si>
  <si>
    <t>P(ill) from MC non-compliant product-5th</t>
  </si>
  <si>
    <t>P(ill) from MC non-compliant product-95th</t>
  </si>
  <si>
    <t>P(ill) from MC non-compliant and non-Kentucky serotype</t>
  </si>
  <si>
    <t>P(ill) from MC non-compliant and non-Kentucky serotype-mean</t>
  </si>
  <si>
    <t>P(ill) from MC non-compliant and non-Kentucky serotype-5th</t>
  </si>
  <si>
    <t>P(ill) from MC non-compliant and non-Kentucky serotype-95th</t>
  </si>
  <si>
    <t>P(ill) from MC compliant, Kentucky</t>
  </si>
  <si>
    <t>P(ill) from MC compliant, Kentucky-mean</t>
  </si>
  <si>
    <t>P(ill) from MC compliant, Kentucky-5th</t>
  </si>
  <si>
    <t>P(ill) from MC compliant, Kentucky-95th</t>
  </si>
  <si>
    <t>Linear probability</t>
  </si>
  <si>
    <t>Log10 Probability</t>
  </si>
  <si>
    <t>Beta-poisson DR model</t>
  </si>
  <si>
    <t>P(ill) from non-Kentucky serotypes-mean</t>
  </si>
  <si>
    <t>Probability of illness calculated with no threshold (after scaling factor)</t>
  </si>
  <si>
    <t>Dose with scaling factor</t>
  </si>
  <si>
    <t>GF1_rK0qDwEAEwD0AAwjACcAPQBmAHoAewCJAJcAzwDwAOoAKwD//wAAAAAAAAEEAAAAAAgwLjAwRSswMAAAAAEjT3ZlcmFsbCBQciBJbGwgLyBMaW5lYXIgcHJvYmFiaWxpdHkBAAEBEAACAAEKU3RhdGlzdGljcwMBAQD/AQEBAQEAAQEBAAQAAAABAQEBAQABAQEABAAAAAGbAAIwACNPdmVyYWxsIFByIElsbCAvIExpbmVhciBwcm9iYWJpbGl0eQAAAP/cFDwBAAACAAIA1wDhAAEBAwGamZmZmZmpPwAAAAAAAAAA8H8BBQABAQEAAQEBAA==</t>
  </si>
  <si>
    <t>P(ill) from Kentucky-mean</t>
  </si>
  <si>
    <t>SF</t>
  </si>
  <si>
    <t>Mean Ill</t>
  </si>
  <si>
    <t>It 1</t>
  </si>
  <si>
    <t xml:space="preserve">It 2 </t>
  </si>
  <si>
    <t>It 6</t>
  </si>
  <si>
    <t>It 7</t>
  </si>
  <si>
    <t>It 8</t>
  </si>
  <si>
    <t>It 9</t>
  </si>
  <si>
    <t>It 10</t>
  </si>
  <si>
    <t>9/29 - Investigate new scaling factor 50,000 iterations</t>
  </si>
  <si>
    <t xml:space="preserve">It 3 </t>
  </si>
  <si>
    <t xml:space="preserve">It 4 </t>
  </si>
  <si>
    <t xml:space="preserve">It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</si>
</sst>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%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0" fillId="13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0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2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0" fillId="13" borderId="0" xfId="4"/>
    <xf numFmtId="0" fontId="5" fillId="0" borderId="5" xfId="0" applyFont="1" applyBorder="1"/>
    <xf numFmtId="11" fontId="5" fillId="14" borderId="5" xfId="0" applyNumberFormat="1" applyFont="1" applyFill="1" applyBorder="1"/>
    <xf numFmtId="0" fontId="5" fillId="14" borderId="5" xfId="0" applyFont="1" applyFill="1" applyBorder="1"/>
    <xf numFmtId="9" fontId="5" fillId="8" borderId="0" xfId="2" applyFont="1" applyFill="1"/>
    <xf numFmtId="0" fontId="5" fillId="8" borderId="0" xfId="0" applyFont="1" applyFill="1"/>
    <xf numFmtId="2" fontId="7" fillId="10" borderId="4" xfId="3" applyNumberFormat="1" applyAlignment="1">
      <alignment horizontal="center"/>
    </xf>
    <xf numFmtId="166" fontId="3" fillId="15" borderId="3" xfId="2" applyNumberFormat="1" applyFont="1" applyFill="1" applyBorder="1" applyAlignment="1">
      <alignment horizontal="right"/>
    </xf>
    <xf numFmtId="0" fontId="0" fillId="16" borderId="0" xfId="0" applyFill="1"/>
    <xf numFmtId="0" fontId="0" fillId="17" borderId="0" xfId="0" applyFill="1"/>
    <xf numFmtId="11" fontId="0" fillId="17" borderId="0" xfId="0" applyNumberFormat="1" applyFill="1" applyAlignment="1">
      <alignment horizontal="center"/>
    </xf>
    <xf numFmtId="0" fontId="0" fillId="18" borderId="0" xfId="0" applyFill="1"/>
    <xf numFmtId="11" fontId="0" fillId="18" borderId="0" xfId="0" applyNumberFormat="1" applyFill="1" applyAlignment="1">
      <alignment horizontal="center"/>
    </xf>
    <xf numFmtId="0" fontId="0" fillId="19" borderId="0" xfId="0" applyFill="1"/>
    <xf numFmtId="0" fontId="0" fillId="15" borderId="0" xfId="0" applyFill="1"/>
    <xf numFmtId="0" fontId="0" fillId="2" borderId="0" xfId="0" applyFill="1" applyAlignment="1">
      <alignment horizontal="center"/>
    </xf>
    <xf numFmtId="0" fontId="11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2" fontId="0" fillId="0" borderId="0" xfId="0" applyNumberFormat="1"/>
    <xf numFmtId="0" fontId="12" fillId="0" borderId="0" xfId="5"/>
    <xf numFmtId="166" fontId="3" fillId="7" borderId="0" xfId="2" applyNumberFormat="1" applyFont="1" applyFill="1" applyBorder="1" applyAlignment="1">
      <alignment horizontal="center"/>
    </xf>
    <xf numFmtId="0" fontId="3" fillId="7" borderId="0" xfId="2" applyNumberFormat="1" applyFont="1" applyFill="1" applyBorder="1" applyAlignment="1">
      <alignment horizontal="center"/>
    </xf>
    <xf numFmtId="9" fontId="0" fillId="0" borderId="0" xfId="2" applyFont="1"/>
    <xf numFmtId="11" fontId="3" fillId="9" borderId="3" xfId="1" applyNumberFormat="1" applyFill="1" applyAlignment="1">
      <alignment horizontal="center"/>
    </xf>
    <xf numFmtId="2" fontId="3" fillId="7" borderId="3" xfId="1" applyNumberFormat="1"/>
    <xf numFmtId="2" fontId="3" fillId="9" borderId="3" xfId="1" applyNumberFormat="1" applyFill="1"/>
    <xf numFmtId="2" fontId="3" fillId="9" borderId="3" xfId="2" applyNumberFormat="1" applyFont="1" applyFill="1" applyBorder="1" applyAlignment="1">
      <alignment horizontal="center"/>
    </xf>
    <xf numFmtId="0" fontId="11" fillId="11" borderId="0" xfId="0" applyFont="1" applyFill="1"/>
    <xf numFmtId="0" fontId="11" fillId="11" borderId="0" xfId="0" applyFont="1" applyFill="1" applyAlignment="1">
      <alignment horizontal="center"/>
    </xf>
    <xf numFmtId="0" fontId="5" fillId="19" borderId="0" xfId="0" applyFont="1" applyFill="1"/>
    <xf numFmtId="0" fontId="5" fillId="16" borderId="0" xfId="0" applyFont="1" applyFill="1"/>
    <xf numFmtId="0" fontId="5" fillId="18" borderId="0" xfId="0" applyFont="1" applyFill="1"/>
    <xf numFmtId="11" fontId="5" fillId="18" borderId="0" xfId="0" applyNumberFormat="1" applyFon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2" fontId="3" fillId="12" borderId="3" xfId="1" applyNumberFormat="1" applyFill="1" applyAlignment="1">
      <alignment horizontal="center"/>
    </xf>
    <xf numFmtId="0" fontId="1" fillId="11" borderId="0" xfId="0" applyFont="1" applyFill="1" applyAlignment="1">
      <alignment horizontal="center"/>
    </xf>
    <xf numFmtId="2" fontId="1" fillId="11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wrapText="1"/>
    </xf>
    <xf numFmtId="11" fontId="0" fillId="0" borderId="7" xfId="0" applyNumberFormat="1" applyBorder="1"/>
    <xf numFmtId="11" fontId="0" fillId="3" borderId="7" xfId="0" applyNumberFormat="1" applyFill="1" applyBorder="1"/>
    <xf numFmtId="0" fontId="0" fillId="20" borderId="8" xfId="0" applyFill="1" applyBorder="1"/>
    <xf numFmtId="0" fontId="0" fillId="0" borderId="9" xfId="0" applyBorder="1"/>
    <xf numFmtId="11" fontId="0" fillId="0" borderId="10" xfId="0" applyNumberFormat="1" applyBorder="1"/>
    <xf numFmtId="9" fontId="0" fillId="0" borderId="11" xfId="2" applyFont="1" applyBorder="1"/>
    <xf numFmtId="0" fontId="0" fillId="0" borderId="12" xfId="0" applyBorder="1"/>
    <xf numFmtId="9" fontId="0" fillId="0" borderId="13" xfId="2" applyFont="1" applyBorder="1"/>
    <xf numFmtId="0" fontId="0" fillId="0" borderId="14" xfId="0" applyBorder="1"/>
    <xf numFmtId="9" fontId="0" fillId="0" borderId="16" xfId="2" applyFont="1" applyBorder="1"/>
    <xf numFmtId="11" fontId="13" fillId="0" borderId="10" xfId="0" applyNumberFormat="1" applyFont="1" applyBorder="1"/>
    <xf numFmtId="11" fontId="13" fillId="0" borderId="5" xfId="0" applyNumberFormat="1" applyFont="1" applyBorder="1"/>
    <xf numFmtId="11" fontId="13" fillId="0" borderId="15" xfId="0" applyNumberFormat="1" applyFont="1" applyBorder="1"/>
    <xf numFmtId="11" fontId="0" fillId="0" borderId="15" xfId="0" applyNumberFormat="1" applyBorder="1"/>
  </cellXfs>
  <cellStyles count="6">
    <cellStyle name="Accent3" xfId="4" builtinId="37"/>
    <cellStyle name="Hyperlink" xfId="5" builtinId="8"/>
    <cellStyle name="Input" xfId="3" builtinId="20"/>
    <cellStyle name="Normal" xfId="0" builtinId="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9FCF"/>
      <color rgb="FFFF3399"/>
      <color rgb="FFFFC9E4"/>
      <color rgb="FFFF7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mrawiki.org/experiments/salmonella-ana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93</v>
      </c>
      <c r="Q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A023-8324-4F04-8F98-CFDA3160FE87}">
  <dimension ref="A1:X9"/>
  <sheetViews>
    <sheetView workbookViewId="0"/>
  </sheetViews>
  <sheetFormatPr defaultColWidth="25.7109375" defaultRowHeight="15" x14ac:dyDescent="0.25"/>
  <sheetData>
    <row r="1" spans="1:24" x14ac:dyDescent="0.25">
      <c r="A1" t="s">
        <v>40</v>
      </c>
      <c r="B1" t="s">
        <v>41</v>
      </c>
    </row>
    <row r="2" spans="1:24" x14ac:dyDescent="0.25">
      <c r="A2" t="s">
        <v>42</v>
      </c>
      <c r="B2">
        <v>4</v>
      </c>
    </row>
    <row r="3" spans="1:24" x14ac:dyDescent="0.25">
      <c r="A3" t="s">
        <v>43</v>
      </c>
      <c r="B3">
        <v>0</v>
      </c>
    </row>
    <row r="5" spans="1:24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J5" t="s">
        <v>50</v>
      </c>
      <c r="K5" t="s">
        <v>51</v>
      </c>
      <c r="L5" t="s">
        <v>52</v>
      </c>
      <c r="N5" t="s">
        <v>53</v>
      </c>
      <c r="O5" t="s">
        <v>54</v>
      </c>
      <c r="P5" t="s">
        <v>55</v>
      </c>
      <c r="R5" t="s">
        <v>56</v>
      </c>
      <c r="S5" t="s">
        <v>57</v>
      </c>
      <c r="T5" t="s">
        <v>58</v>
      </c>
      <c r="V5" t="s">
        <v>59</v>
      </c>
      <c r="W5" t="s">
        <v>60</v>
      </c>
      <c r="X5" t="s">
        <v>61</v>
      </c>
    </row>
    <row r="6" spans="1:24" x14ac:dyDescent="0.25">
      <c r="A6" t="e">
        <f ca="1">ModelRef('Chicken Parts'!$B$9,2,0,0)</f>
        <v>#NAME?</v>
      </c>
      <c r="B6">
        <v>0</v>
      </c>
      <c r="C6">
        <v>3</v>
      </c>
      <c r="F6">
        <v>0</v>
      </c>
      <c r="J6" t="b">
        <v>1</v>
      </c>
      <c r="K6" t="s">
        <v>128</v>
      </c>
      <c r="L6" t="e">
        <f ca="1">ModelRef('Chicken Parts'!$B$9,2,0,0)+ModelRef('Chicken Parts'!$B$9,3,0,-1)</f>
        <v>#NAME?</v>
      </c>
    </row>
    <row r="7" spans="1:24" x14ac:dyDescent="0.25">
      <c r="A7" t="e">
        <f ca="1">ModelRef('Chicken Parts'!$B$59,1,0,0)</f>
        <v>#NAME?</v>
      </c>
      <c r="B7">
        <v>0</v>
      </c>
      <c r="C7">
        <v>3</v>
      </c>
      <c r="F7">
        <v>0</v>
      </c>
      <c r="J7" t="b">
        <v>1</v>
      </c>
      <c r="K7" t="s">
        <v>176</v>
      </c>
      <c r="L7" t="e">
        <f ca="1">ModelRef('Chicken Parts'!$B$59,1,0,0)</f>
        <v>#NAME?</v>
      </c>
    </row>
    <row r="8" spans="1:24" x14ac:dyDescent="0.25">
      <c r="A8" t="e">
        <f ca="1">ModelRef('Chicken Parts'!$B$24,1,0,1)</f>
        <v>#NAME?</v>
      </c>
      <c r="B8">
        <v>0</v>
      </c>
      <c r="C8">
        <v>3</v>
      </c>
      <c r="F8">
        <v>0</v>
      </c>
      <c r="J8" t="b">
        <v>1</v>
      </c>
      <c r="K8" t="s">
        <v>107</v>
      </c>
      <c r="L8" t="e">
        <f ca="1">ModelRef('Chicken Parts'!$B$24,1,0,1)</f>
        <v>#NAME?</v>
      </c>
    </row>
    <row r="9" spans="1:24" x14ac:dyDescent="0.25">
      <c r="A9" t="e">
        <f ca="1">ModelRef('Chicken Parts'!$B$64,1,0,0)</f>
        <v>#NAME?</v>
      </c>
      <c r="B9">
        <v>1</v>
      </c>
      <c r="C9">
        <v>2</v>
      </c>
      <c r="D9" t="s">
        <v>62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AT132"/>
  <sheetViews>
    <sheetView tabSelected="1" topLeftCell="A97" zoomScale="85" zoomScaleNormal="85" zoomScaleSheetLayoutView="40" zoomScalePageLayoutView="10" workbookViewId="0">
      <selection activeCell="M124" sqref="M124"/>
    </sheetView>
  </sheetViews>
  <sheetFormatPr defaultRowHeight="15" x14ac:dyDescent="0.25"/>
  <cols>
    <col min="1" max="1" width="77.140625" bestFit="1" customWidth="1"/>
    <col min="2" max="2" width="21.42578125" bestFit="1" customWidth="1"/>
    <col min="3" max="3" width="31" bestFit="1" customWidth="1"/>
    <col min="4" max="4" width="11.28515625" customWidth="1"/>
    <col min="5" max="5" width="10.140625" customWidth="1"/>
    <col min="6" max="7" width="9.140625" customWidth="1"/>
    <col min="8" max="8" width="44.85546875" customWidth="1"/>
    <col min="10" max="10" width="15" customWidth="1"/>
    <col min="11" max="11" width="11.140625" customWidth="1"/>
    <col min="12" max="12" width="11.42578125" customWidth="1"/>
    <col min="13" max="13" width="12.855468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12.85546875" bestFit="1" customWidth="1"/>
    <col min="28" max="28" width="12.85546875" bestFit="1" customWidth="1"/>
    <col min="31" max="31" width="12.85546875" bestFit="1" customWidth="1"/>
    <col min="34" max="34" width="12.85546875" bestFit="1" customWidth="1"/>
    <col min="37" max="37" width="12.85546875" bestFit="1" customWidth="1"/>
    <col min="40" max="40" width="12.85546875" bestFit="1" customWidth="1"/>
    <col min="43" max="43" width="12.85546875" bestFit="1" customWidth="1"/>
  </cols>
  <sheetData>
    <row r="1" spans="1:46" x14ac:dyDescent="0.25">
      <c r="A1" s="43"/>
      <c r="B1" s="6"/>
      <c r="E1" s="88"/>
      <c r="F1" s="88"/>
    </row>
    <row r="2" spans="1:46" ht="18.75" x14ac:dyDescent="0.3">
      <c r="A2" s="41"/>
      <c r="B2" s="42"/>
      <c r="C2" s="26"/>
      <c r="D2" s="26"/>
      <c r="E2" s="26"/>
    </row>
    <row r="3" spans="1:46" x14ac:dyDescent="0.25">
      <c r="A3" s="7"/>
      <c r="B3" s="6"/>
    </row>
    <row r="4" spans="1:46" ht="15.75" x14ac:dyDescent="0.25">
      <c r="A4" s="5" t="s">
        <v>37</v>
      </c>
      <c r="B4" s="14" t="s">
        <v>14</v>
      </c>
      <c r="C4" s="5" t="s">
        <v>1</v>
      </c>
      <c r="D4" s="5" t="s">
        <v>30</v>
      </c>
      <c r="E4" s="5" t="s">
        <v>2</v>
      </c>
      <c r="F4" s="4"/>
      <c r="G4" s="4"/>
      <c r="H4" s="4"/>
    </row>
    <row r="5" spans="1:46" s="10" customFormat="1" ht="18.75" x14ac:dyDescent="0.3">
      <c r="A5" s="31" t="s">
        <v>29</v>
      </c>
      <c r="B5" s="31"/>
      <c r="C5" s="31"/>
      <c r="D5" s="31"/>
      <c r="E5" s="31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46" s="2" customFormat="1" ht="15.75" x14ac:dyDescent="0.25">
      <c r="A6" s="1" t="s">
        <v>18</v>
      </c>
      <c r="B6" s="13"/>
      <c r="C6" s="1"/>
      <c r="D6" s="1"/>
      <c r="E6" s="1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46" x14ac:dyDescent="0.25">
      <c r="A7" t="s">
        <v>31</v>
      </c>
      <c r="B7" s="54">
        <v>-3.1915911761351801</v>
      </c>
      <c r="C7" t="s">
        <v>16</v>
      </c>
      <c r="D7" t="s">
        <v>4</v>
      </c>
      <c r="E7" t="s">
        <v>15</v>
      </c>
    </row>
    <row r="8" spans="1:46" x14ac:dyDescent="0.25">
      <c r="A8" t="s">
        <v>0</v>
      </c>
      <c r="B8" s="54">
        <v>1.2859210860958401</v>
      </c>
      <c r="C8" t="s">
        <v>16</v>
      </c>
      <c r="D8" t="s">
        <v>4</v>
      </c>
      <c r="E8" t="s">
        <v>15</v>
      </c>
    </row>
    <row r="9" spans="1:46" x14ac:dyDescent="0.25">
      <c r="A9" t="s">
        <v>105</v>
      </c>
      <c r="B9" s="15" cm="1">
        <f t="array" aca="1" ref="B9" ca="1">_xll.RiskNormal(B7,B8)</f>
        <v>-2.0183221868955421</v>
      </c>
      <c r="C9" t="s">
        <v>16</v>
      </c>
      <c r="D9" t="s">
        <v>33</v>
      </c>
      <c r="E9" t="s">
        <v>17</v>
      </c>
    </row>
    <row r="10" spans="1:46" s="30" customFormat="1" ht="18" customHeight="1" x14ac:dyDescent="0.25">
      <c r="A10" s="1" t="s">
        <v>108</v>
      </c>
      <c r="B10" s="63"/>
      <c r="C10" s="2"/>
      <c r="D10" s="2"/>
      <c r="E10" s="2"/>
      <c r="F10" s="2"/>
      <c r="G10" s="2"/>
      <c r="H10" s="2"/>
      <c r="I10" s="2"/>
      <c r="J10" s="2"/>
      <c r="K10" s="2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46" ht="15.75" x14ac:dyDescent="0.25">
      <c r="A11" s="64" t="s">
        <v>109</v>
      </c>
      <c r="B11" s="6" t="s">
        <v>7</v>
      </c>
      <c r="C11" t="s">
        <v>110</v>
      </c>
    </row>
    <row r="12" spans="1:46" x14ac:dyDescent="0.25">
      <c r="A12" t="s">
        <v>111</v>
      </c>
      <c r="B12" s="65">
        <v>8.5099999999999995E-2</v>
      </c>
      <c r="C12" s="66">
        <f>SUM(B12:B12)</f>
        <v>8.5099999999999995E-2</v>
      </c>
      <c r="D12" t="s">
        <v>4</v>
      </c>
      <c r="E12" t="s">
        <v>112</v>
      </c>
      <c r="I12" t="s">
        <v>111</v>
      </c>
    </row>
    <row r="13" spans="1:46" x14ac:dyDescent="0.25">
      <c r="A13" t="s">
        <v>122</v>
      </c>
      <c r="B13" s="65">
        <v>0.24</v>
      </c>
      <c r="C13" s="66">
        <f>SUM(B12:B13)</f>
        <v>0.3251</v>
      </c>
      <c r="D13" t="s">
        <v>4</v>
      </c>
      <c r="E13" t="s">
        <v>112</v>
      </c>
      <c r="I13" t="s">
        <v>113</v>
      </c>
    </row>
    <row r="14" spans="1:46" x14ac:dyDescent="0.25">
      <c r="A14" t="s">
        <v>121</v>
      </c>
      <c r="B14" s="65">
        <v>2.98E-2</v>
      </c>
      <c r="C14" s="66">
        <f>SUM(B12:B14)</f>
        <v>0.35489999999999999</v>
      </c>
      <c r="D14" t="s">
        <v>4</v>
      </c>
      <c r="E14" t="s">
        <v>112</v>
      </c>
      <c r="I14" t="s">
        <v>114</v>
      </c>
    </row>
    <row r="15" spans="1:46" s="32" customFormat="1" x14ac:dyDescent="0.25">
      <c r="A15" t="s">
        <v>115</v>
      </c>
      <c r="B15" s="65">
        <v>8.3400000000000002E-3</v>
      </c>
      <c r="C15" s="66">
        <f>SUM(B12:B15)</f>
        <v>0.36324000000000001</v>
      </c>
      <c r="D15" t="s">
        <v>4</v>
      </c>
      <c r="E15" t="s">
        <v>112</v>
      </c>
      <c r="F15"/>
      <c r="G15"/>
      <c r="H15"/>
      <c r="I15" t="s">
        <v>115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46" x14ac:dyDescent="0.25">
      <c r="A16" t="s">
        <v>116</v>
      </c>
      <c r="B16" s="65">
        <v>0.29199999999999998</v>
      </c>
      <c r="C16" s="66">
        <f>SUM(B12:B16)</f>
        <v>0.65524000000000004</v>
      </c>
      <c r="D16" t="s">
        <v>4</v>
      </c>
      <c r="E16" t="s">
        <v>112</v>
      </c>
      <c r="I16" t="s">
        <v>116</v>
      </c>
    </row>
    <row r="17" spans="1:46" x14ac:dyDescent="0.25">
      <c r="A17" t="s">
        <v>117</v>
      </c>
      <c r="B17" s="65">
        <v>0.187</v>
      </c>
      <c r="C17" s="66">
        <f>SUM(B12:B17)</f>
        <v>0.8422400000000001</v>
      </c>
      <c r="D17" t="s">
        <v>4</v>
      </c>
      <c r="E17" t="s">
        <v>112</v>
      </c>
      <c r="I17" t="s">
        <v>117</v>
      </c>
    </row>
    <row r="18" spans="1:46" x14ac:dyDescent="0.25">
      <c r="A18" t="s">
        <v>118</v>
      </c>
      <c r="B18" s="65">
        <f>1-(SUM(B12:B17))</f>
        <v>0.1577599999999999</v>
      </c>
      <c r="C18" s="66">
        <f>SUM(B12:B18)</f>
        <v>1</v>
      </c>
      <c r="D18" t="s">
        <v>4</v>
      </c>
      <c r="E18" t="s">
        <v>112</v>
      </c>
      <c r="I18" t="s">
        <v>118</v>
      </c>
    </row>
    <row r="19" spans="1:46" x14ac:dyDescent="0.25">
      <c r="A19" t="s">
        <v>119</v>
      </c>
      <c r="B19" s="67">
        <f ca="1">RAND()</f>
        <v>0.48732049060436666</v>
      </c>
      <c r="C19" s="66"/>
    </row>
    <row r="20" spans="1:46" s="33" customFormat="1" x14ac:dyDescent="0.25">
      <c r="A20" t="s">
        <v>120</v>
      </c>
      <c r="B20" s="6" t="str" cm="1">
        <f t="array" aca="1" ref="B20" ca="1">INDEX(A12:A18,COUNTIF(C12:C18,"&lt;="&amp;B19)+1)</f>
        <v>Kentucky</v>
      </c>
      <c r="C20" t="s">
        <v>109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18.75" x14ac:dyDescent="0.3">
      <c r="A21" s="23" t="s">
        <v>21</v>
      </c>
      <c r="B21" s="23"/>
      <c r="C21" s="23"/>
      <c r="D21" s="23"/>
      <c r="E21" s="23"/>
      <c r="F21" s="30"/>
      <c r="G21" s="30"/>
      <c r="H21" s="30"/>
      <c r="I21" s="30"/>
      <c r="J21" s="30"/>
      <c r="K21" s="30"/>
    </row>
    <row r="22" spans="1:46" x14ac:dyDescent="0.25">
      <c r="A22" t="s">
        <v>32</v>
      </c>
      <c r="B22" s="16">
        <f ca="1">10^(B9)</f>
        <v>9.586891518747101E-3</v>
      </c>
      <c r="C22" t="s">
        <v>3</v>
      </c>
    </row>
    <row r="23" spans="1:46" x14ac:dyDescent="0.25">
      <c r="A23" s="27" t="s">
        <v>146</v>
      </c>
      <c r="B23" s="28">
        <f>1/(30*(1814/400))</f>
        <v>7.3502388827636888E-3</v>
      </c>
      <c r="C23" t="s">
        <v>3</v>
      </c>
      <c r="D23" t="s">
        <v>4</v>
      </c>
      <c r="E23" t="s">
        <v>95</v>
      </c>
      <c r="J23" t="s">
        <v>99</v>
      </c>
    </row>
    <row r="24" spans="1:46" s="34" customFormat="1" x14ac:dyDescent="0.25">
      <c r="A24" t="s">
        <v>23</v>
      </c>
      <c r="B24" s="17" cm="1">
        <f t="array" aca="1" ref="B24" ca="1">_xll.RiskOutput()+IF(B22&gt;B23,1,0)</f>
        <v>1</v>
      </c>
      <c r="C24" t="s">
        <v>8</v>
      </c>
      <c r="D24" t="s">
        <v>10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x14ac:dyDescent="0.25">
      <c r="A25" t="s">
        <v>34</v>
      </c>
      <c r="B25" s="18" cm="1">
        <f t="array" aca="1" ref="B25" ca="1">1-_xll.RiskMean(B24)</f>
        <v>0.79466000000000003</v>
      </c>
    </row>
    <row r="26" spans="1:46" x14ac:dyDescent="0.25">
      <c r="A26" t="s">
        <v>124</v>
      </c>
      <c r="B26" s="71">
        <f ca="1">IF(B20="Kentucky",1,0)</f>
        <v>1</v>
      </c>
      <c r="C26" t="s">
        <v>8</v>
      </c>
    </row>
    <row r="27" spans="1:46" x14ac:dyDescent="0.25">
      <c r="A27" t="s">
        <v>125</v>
      </c>
      <c r="B27" s="72" cm="1">
        <f t="array" aca="1" ref="B27" ca="1">_xll.RiskMean(B26)</f>
        <v>0.29067999999999999</v>
      </c>
    </row>
    <row r="28" spans="1:46" x14ac:dyDescent="0.25">
      <c r="A28" t="s">
        <v>142</v>
      </c>
      <c r="B28" s="71">
        <f ca="1">IF(AND(B24=1,B26=0),1,0)</f>
        <v>0</v>
      </c>
      <c r="C28" t="s">
        <v>8</v>
      </c>
    </row>
    <row r="29" spans="1:46" x14ac:dyDescent="0.25">
      <c r="A29" t="s">
        <v>143</v>
      </c>
      <c r="B29" s="70" cm="1">
        <f t="array" aca="1" ref="B29" ca="1">1-_xll.RiskMean(B28)</f>
        <v>0.85475999999999996</v>
      </c>
    </row>
    <row r="30" spans="1:46" s="35" customFormat="1" ht="18.75" x14ac:dyDescent="0.3">
      <c r="A30" s="24" t="s">
        <v>35</v>
      </c>
      <c r="B30" s="24"/>
      <c r="C30" s="24"/>
      <c r="D30" s="24"/>
      <c r="E30" s="24"/>
      <c r="F30" s="32"/>
      <c r="G30" s="32"/>
      <c r="H30" s="32"/>
      <c r="I30" s="32"/>
      <c r="J30" s="32"/>
      <c r="K30" s="32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x14ac:dyDescent="0.25">
      <c r="A31" t="s">
        <v>63</v>
      </c>
      <c r="B31" s="29">
        <v>2.06</v>
      </c>
      <c r="C31" t="s">
        <v>20</v>
      </c>
      <c r="D31" t="s">
        <v>4</v>
      </c>
      <c r="E31" t="s">
        <v>13</v>
      </c>
    </row>
    <row r="32" spans="1:46" x14ac:dyDescent="0.25">
      <c r="A32" t="s">
        <v>64</v>
      </c>
      <c r="B32" s="29">
        <v>0.23</v>
      </c>
      <c r="C32" t="s">
        <v>20</v>
      </c>
      <c r="D32" t="s">
        <v>4</v>
      </c>
      <c r="E32" t="s">
        <v>13</v>
      </c>
    </row>
    <row r="33" spans="1:11" x14ac:dyDescent="0.25">
      <c r="A33" t="s">
        <v>65</v>
      </c>
      <c r="B33" s="15" cm="1">
        <f t="array" aca="1" ref="B33" ca="1">_xll.RiskNormal(B31,B32)</f>
        <v>2.2488711496784703</v>
      </c>
      <c r="C33" t="s">
        <v>20</v>
      </c>
      <c r="D33" t="s">
        <v>19</v>
      </c>
      <c r="E33" t="s">
        <v>13</v>
      </c>
    </row>
    <row r="34" spans="1:11" x14ac:dyDescent="0.25">
      <c r="A34" t="s">
        <v>66</v>
      </c>
      <c r="B34" s="15">
        <f ca="1">10^(B33)</f>
        <v>177.36631767677625</v>
      </c>
      <c r="C34" t="s">
        <v>5</v>
      </c>
    </row>
    <row r="35" spans="1:11" ht="15.75" x14ac:dyDescent="0.25">
      <c r="A35" s="3" t="s">
        <v>9</v>
      </c>
      <c r="B35" s="12"/>
      <c r="C35" s="3"/>
      <c r="D35" s="3"/>
      <c r="E35" s="3"/>
      <c r="F35" s="33"/>
      <c r="G35" s="33"/>
      <c r="H35" s="33"/>
      <c r="I35" s="33"/>
      <c r="J35" s="33"/>
      <c r="K35" s="33"/>
    </row>
    <row r="36" spans="1:11" x14ac:dyDescent="0.25">
      <c r="A36" s="57" t="s">
        <v>103</v>
      </c>
      <c r="B36" s="58">
        <f ca="1">B22*B34</f>
        <v>1.7003916466468902</v>
      </c>
      <c r="C36" s="57" t="s">
        <v>12</v>
      </c>
      <c r="D36" s="57" t="s">
        <v>6</v>
      </c>
    </row>
    <row r="37" spans="1:11" x14ac:dyDescent="0.25">
      <c r="A37" s="59" t="s">
        <v>149</v>
      </c>
      <c r="B37" s="60" t="e">
        <f ca="1">IF(B24=1,NA(),B36)</f>
        <v>#N/A</v>
      </c>
      <c r="C37" s="59" t="s">
        <v>12</v>
      </c>
      <c r="D37" s="59" t="s">
        <v>6</v>
      </c>
      <c r="E37" s="59" t="s">
        <v>22</v>
      </c>
    </row>
    <row r="38" spans="1:11" x14ac:dyDescent="0.25">
      <c r="A38" s="59" t="s">
        <v>150</v>
      </c>
      <c r="B38" s="60">
        <f ca="1">IF(B24=0,NA(),B36)</f>
        <v>1.7003916466468902</v>
      </c>
      <c r="C38" s="59" t="s">
        <v>12</v>
      </c>
      <c r="D38" s="59" t="s">
        <v>6</v>
      </c>
      <c r="E38" s="59" t="s">
        <v>22</v>
      </c>
    </row>
    <row r="39" spans="1:11" x14ac:dyDescent="0.25">
      <c r="A39" s="59" t="s">
        <v>126</v>
      </c>
      <c r="B39" s="60" t="e">
        <f ca="1">IF(B20="Kentucky",NA(),B36)</f>
        <v>#N/A</v>
      </c>
      <c r="C39" s="59" t="s">
        <v>12</v>
      </c>
      <c r="D39" s="59" t="s">
        <v>6</v>
      </c>
      <c r="E39" s="59" t="s">
        <v>22</v>
      </c>
    </row>
    <row r="40" spans="1:11" x14ac:dyDescent="0.25">
      <c r="A40" s="59" t="s">
        <v>127</v>
      </c>
      <c r="B40" s="60">
        <f ca="1">IF(B20="Kentucky",B36,NA())</f>
        <v>1.7003916466468902</v>
      </c>
      <c r="C40" s="59" t="s">
        <v>12</v>
      </c>
      <c r="D40" s="59" t="s">
        <v>6</v>
      </c>
      <c r="E40" s="59" t="s">
        <v>22</v>
      </c>
    </row>
    <row r="41" spans="1:11" x14ac:dyDescent="0.25">
      <c r="A41" s="59" t="s">
        <v>148</v>
      </c>
      <c r="B41" s="60" t="e">
        <f ca="1">IF(B28=1,B36,NA())</f>
        <v>#N/A</v>
      </c>
      <c r="C41" s="59" t="s">
        <v>12</v>
      </c>
      <c r="D41" s="59" t="s">
        <v>6</v>
      </c>
      <c r="E41" s="59" t="s">
        <v>22</v>
      </c>
    </row>
    <row r="42" spans="1:11" x14ac:dyDescent="0.25">
      <c r="A42" s="59" t="s">
        <v>144</v>
      </c>
      <c r="B42" s="60" t="e">
        <f ca="1">IF(AND(B26=1,B24=0),B36,NA())</f>
        <v>#N/A</v>
      </c>
      <c r="C42" s="59" t="s">
        <v>12</v>
      </c>
      <c r="D42" s="59" t="s">
        <v>6</v>
      </c>
      <c r="E42" s="59" t="s">
        <v>22</v>
      </c>
    </row>
    <row r="43" spans="1:11" ht="18.75" x14ac:dyDescent="0.3">
      <c r="A43" s="25" t="s">
        <v>101</v>
      </c>
      <c r="B43" s="25"/>
      <c r="C43" s="25"/>
      <c r="D43" s="25"/>
      <c r="E43" s="25"/>
      <c r="F43" s="34"/>
      <c r="G43" s="34"/>
      <c r="H43" s="34"/>
      <c r="I43" s="34"/>
      <c r="J43" s="34"/>
      <c r="K43" s="34"/>
    </row>
    <row r="44" spans="1:11" x14ac:dyDescent="0.25">
      <c r="A44" t="s">
        <v>100</v>
      </c>
      <c r="B44" s="6">
        <v>0.13239999999999999</v>
      </c>
      <c r="C44">
        <v>51.45</v>
      </c>
      <c r="D44" t="s">
        <v>97</v>
      </c>
      <c r="E44" t="s">
        <v>11</v>
      </c>
    </row>
    <row r="45" spans="1:11" x14ac:dyDescent="0.25">
      <c r="A45" t="s">
        <v>130</v>
      </c>
      <c r="B45" s="6">
        <v>0.318</v>
      </c>
      <c r="C45" s="68">
        <v>4729.8999999999996</v>
      </c>
      <c r="D45" s="69" t="s">
        <v>123</v>
      </c>
    </row>
    <row r="46" spans="1:11" x14ac:dyDescent="0.25">
      <c r="A46" t="s">
        <v>131</v>
      </c>
      <c r="B46" s="6">
        <f ca="1">IF(B20="Kentucky",B45,B44)</f>
        <v>0.318</v>
      </c>
      <c r="C46" s="6">
        <f ca="1">IF(B20="Kentucky",C45,C44)</f>
        <v>4729.8999999999996</v>
      </c>
      <c r="D46" s="69"/>
    </row>
    <row r="47" spans="1:11" ht="18.75" x14ac:dyDescent="0.3">
      <c r="A47" s="36" t="s">
        <v>175</v>
      </c>
      <c r="B47" s="37"/>
      <c r="C47" s="37"/>
      <c r="D47" s="37"/>
      <c r="E47" s="37"/>
      <c r="F47" s="35"/>
      <c r="G47" s="35"/>
      <c r="H47" s="35"/>
      <c r="I47" s="35"/>
      <c r="J47" s="35"/>
      <c r="K47" s="35"/>
    </row>
    <row r="48" spans="1:11" x14ac:dyDescent="0.25">
      <c r="A48" t="s">
        <v>102</v>
      </c>
      <c r="B48" s="9">
        <f ca="1">B36</f>
        <v>1.7003916466468902</v>
      </c>
      <c r="C48" t="s">
        <v>12</v>
      </c>
      <c r="D48" t="s">
        <v>6</v>
      </c>
      <c r="E48" t="s">
        <v>22</v>
      </c>
    </row>
    <row r="49" spans="1:46" x14ac:dyDescent="0.25">
      <c r="A49" t="s">
        <v>129</v>
      </c>
      <c r="B49" s="62">
        <v>1.6000000000000001E-4</v>
      </c>
      <c r="D49" t="s">
        <v>4</v>
      </c>
      <c r="E49" t="s">
        <v>22</v>
      </c>
      <c r="F49" s="27"/>
    </row>
    <row r="50" spans="1:46" x14ac:dyDescent="0.25">
      <c r="A50" t="s">
        <v>36</v>
      </c>
      <c r="B50">
        <v>1</v>
      </c>
      <c r="C50" t="s">
        <v>106</v>
      </c>
    </row>
    <row r="51" spans="1:46" s="35" customFormat="1" x14ac:dyDescent="0.25">
      <c r="A51" s="81" t="s">
        <v>104</v>
      </c>
      <c r="B51" s="82">
        <f ca="1">IF(B50=1,B48*B49,B48)</f>
        <v>2.7206266346350245E-4</v>
      </c>
      <c r="C51" s="81" t="s">
        <v>12</v>
      </c>
      <c r="D51" t="s">
        <v>6</v>
      </c>
      <c r="E51" t="s">
        <v>22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x14ac:dyDescent="0.25">
      <c r="A52" s="59" t="s">
        <v>147</v>
      </c>
      <c r="B52" s="60" t="e">
        <f ca="1">B37*B$49</f>
        <v>#N/A</v>
      </c>
      <c r="C52" s="59" t="s">
        <v>12</v>
      </c>
      <c r="J52" s="8"/>
    </row>
    <row r="53" spans="1:46" x14ac:dyDescent="0.25">
      <c r="A53" s="59" t="s">
        <v>151</v>
      </c>
      <c r="B53" s="60">
        <f t="shared" ref="B53:B56" ca="1" si="0">B38*B$49</f>
        <v>2.7206266346350245E-4</v>
      </c>
      <c r="C53" s="59" t="s">
        <v>12</v>
      </c>
    </row>
    <row r="54" spans="1:46" x14ac:dyDescent="0.25">
      <c r="A54" s="59" t="s">
        <v>152</v>
      </c>
      <c r="B54" s="60" t="e">
        <f t="shared" ca="1" si="0"/>
        <v>#N/A</v>
      </c>
      <c r="C54" s="59" t="s">
        <v>12</v>
      </c>
      <c r="J54" s="8"/>
    </row>
    <row r="55" spans="1:46" x14ac:dyDescent="0.25">
      <c r="A55" s="59" t="s">
        <v>137</v>
      </c>
      <c r="B55" s="60">
        <f t="shared" ca="1" si="0"/>
        <v>2.7206266346350245E-4</v>
      </c>
      <c r="C55" s="59" t="s">
        <v>12</v>
      </c>
    </row>
    <row r="56" spans="1:46" x14ac:dyDescent="0.25">
      <c r="A56" s="59" t="s">
        <v>153</v>
      </c>
      <c r="B56" s="60" t="e">
        <f t="shared" ca="1" si="0"/>
        <v>#N/A</v>
      </c>
      <c r="C56" s="59" t="s">
        <v>12</v>
      </c>
      <c r="J56" s="8"/>
    </row>
    <row r="57" spans="1:46" x14ac:dyDescent="0.25">
      <c r="A57" s="59" t="s">
        <v>145</v>
      </c>
      <c r="B57" s="60" t="e">
        <f ca="1">B42*B$49</f>
        <v>#N/A</v>
      </c>
      <c r="C57" s="59" t="s">
        <v>12</v>
      </c>
    </row>
    <row r="58" spans="1:46" ht="15.75" x14ac:dyDescent="0.25">
      <c r="A58" s="36" t="s">
        <v>174</v>
      </c>
      <c r="B58" s="86" t="s">
        <v>170</v>
      </c>
      <c r="C58" s="86" t="s">
        <v>171</v>
      </c>
      <c r="D58" s="77"/>
      <c r="E58" s="77"/>
      <c r="F58" s="77"/>
      <c r="G58" s="77"/>
      <c r="H58" s="77"/>
      <c r="I58" s="77"/>
      <c r="J58" s="77"/>
      <c r="K58" s="77"/>
    </row>
    <row r="59" spans="1:46" x14ac:dyDescent="0.25">
      <c r="A59" s="79" t="s">
        <v>96</v>
      </c>
      <c r="B59" s="83" cm="1">
        <f t="array" aca="1" ref="B59" ca="1">_xll.RiskOutput()+1-(1+(B$51/C46))^(-B46)</f>
        <v>1.8291279713089637E-8</v>
      </c>
      <c r="C59" s="84" cm="1">
        <f t="array" aca="1" ref="C59" ca="1">_xll.RiskOutput()+LOG10(B59)</f>
        <v>-7.7377559089089827</v>
      </c>
      <c r="D59" t="s">
        <v>172</v>
      </c>
      <c r="E59" t="s">
        <v>22</v>
      </c>
      <c r="F59" s="22" t="s">
        <v>98</v>
      </c>
    </row>
    <row r="60" spans="1:46" x14ac:dyDescent="0.25">
      <c r="A60" s="80" t="s">
        <v>24</v>
      </c>
      <c r="B60" s="73" cm="1">
        <f t="array" aca="1" ref="B60" ca="1">_xll.RiskMean(B59)</f>
        <v>3.5080756910058987E-6</v>
      </c>
      <c r="C60" s="75" cm="1">
        <f t="array" aca="1" ref="C60" ca="1">_xll.RiskOutput()+LOG10(B60)</f>
        <v>-5.4549310447724855</v>
      </c>
    </row>
    <row r="61" spans="1:46" x14ac:dyDescent="0.25">
      <c r="A61" s="56" t="s">
        <v>28</v>
      </c>
      <c r="B61" s="11" cm="1">
        <f t="array" aca="1" ref="B61" ca="1">_xll.RiskPercentile(B59,0.05)</f>
        <v>3.2565727892119867E-11</v>
      </c>
      <c r="C61" s="74" cm="1">
        <f t="array" aca="1" ref="C61" ca="1">_xll.RiskOutput()+LOG10(B61)</f>
        <v>-10.487239210258265</v>
      </c>
    </row>
    <row r="62" spans="1:46" x14ac:dyDescent="0.25">
      <c r="A62" s="56" t="s">
        <v>25</v>
      </c>
      <c r="B62" s="11" cm="1">
        <f t="array" aca="1" ref="B62" ca="1">_xll.RiskPercentile(B59,0.95)</f>
        <v>2.6028503024022598E-6</v>
      </c>
      <c r="C62" s="74" cm="1">
        <f t="array" aca="1" ref="C62" ca="1">_xll.RiskOutput()+LOG10(B62)</f>
        <v>-5.5845508087290883</v>
      </c>
    </row>
    <row r="63" spans="1:46" ht="15.75" x14ac:dyDescent="0.25">
      <c r="A63" s="36" t="s">
        <v>141</v>
      </c>
      <c r="B63" s="86" t="s">
        <v>170</v>
      </c>
      <c r="C63" s="87" t="s">
        <v>171</v>
      </c>
      <c r="D63" s="78"/>
      <c r="E63" s="78"/>
      <c r="F63" s="77"/>
      <c r="G63" s="77"/>
      <c r="H63" s="77"/>
      <c r="I63" s="77"/>
      <c r="J63" s="77"/>
      <c r="K63" s="77"/>
    </row>
    <row r="64" spans="1:46" s="38" customFormat="1" x14ac:dyDescent="0.25">
      <c r="A64" s="61" t="s">
        <v>154</v>
      </c>
      <c r="B64" s="83" t="e" cm="1">
        <f t="array" aca="1" ref="B64" ca="1">_xll.RiskOutput()+1-(1+(B52/C$46))^(-B$46)</f>
        <v>#N/A</v>
      </c>
      <c r="C64" s="85" t="e" cm="1">
        <f t="array" aca="1" ref="C64" ca="1">_xll.RiskOutput()+LOG10(B64)</f>
        <v>#N/A</v>
      </c>
      <c r="D64" t="s">
        <v>22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x14ac:dyDescent="0.25">
      <c r="A65" s="56" t="s">
        <v>155</v>
      </c>
      <c r="B65" s="19" cm="1">
        <f t="array" aca="1" ref="B65" ca="1">_xll.RiskMean(B64)</f>
        <v>4.0831634573696005E-8</v>
      </c>
      <c r="C65" s="76" cm="1">
        <f t="array" aca="1" ref="C65" ca="1">_xll.RiskMean(C64)</f>
        <v>-8.4365800319925359</v>
      </c>
    </row>
    <row r="66" spans="1:46" x14ac:dyDescent="0.25">
      <c r="A66" s="56" t="s">
        <v>156</v>
      </c>
      <c r="B66" s="20" cm="1">
        <f t="array" aca="1" ref="B66" ca="1">_xll.RiskPercentile(B64,0.05)</f>
        <v>2.1716406450877912E-11</v>
      </c>
      <c r="C66" s="21" cm="1">
        <f t="array" aca="1" ref="C66" ca="1">_xll.RiskPercentile(C64,0.05)</f>
        <v>-10.663212038552482</v>
      </c>
    </row>
    <row r="67" spans="1:46" x14ac:dyDescent="0.25">
      <c r="A67" s="56" t="s">
        <v>157</v>
      </c>
      <c r="B67" s="20" cm="1">
        <f t="array" aca="1" ref="B67" ca="1">_xll.RiskPercentile(B64,0.95)</f>
        <v>2.145930152464004E-7</v>
      </c>
      <c r="C67" s="21" cm="1">
        <f t="array" aca="1" ref="C67" ca="1">_xll.RiskPercentile(C64,0.95)</f>
        <v>-6.6683844179213851</v>
      </c>
    </row>
    <row r="68" spans="1:46" x14ac:dyDescent="0.25">
      <c r="A68" s="2" t="s">
        <v>158</v>
      </c>
      <c r="B68" s="83" cm="1">
        <f t="array" aca="1" ref="B68" ca="1">_xll.RiskOutput()+1-(1+(B$53/C$46))^(-B$46)</f>
        <v>1.8291279713089637E-8</v>
      </c>
      <c r="C68" s="85" cm="1">
        <f t="array" aca="1" ref="C68" ca="1">_xll.RiskOutput()+LOG10(B68)</f>
        <v>-7.7377559089089827</v>
      </c>
      <c r="D68" t="s">
        <v>22</v>
      </c>
    </row>
    <row r="69" spans="1:46" x14ac:dyDescent="0.25">
      <c r="A69" s="56" t="s">
        <v>159</v>
      </c>
      <c r="B69" s="19" cm="1">
        <f t="array" aca="1" ref="B69" ca="1">_xll.RiskMean(B68)</f>
        <v>1.6926212254190928E-5</v>
      </c>
      <c r="C69" s="76" cm="1">
        <f t="array" aca="1" ref="C69" ca="1">_xll.RiskMean(C68)</f>
        <v>-6.1988209042735551</v>
      </c>
    </row>
    <row r="70" spans="1:46" x14ac:dyDescent="0.25">
      <c r="A70" s="56" t="s">
        <v>160</v>
      </c>
      <c r="B70" s="20" cm="1">
        <f t="array" aca="1" ref="B70" ca="1">_xll.RiskPercentile(B68,0.05)</f>
        <v>1.2543048932833756E-8</v>
      </c>
      <c r="C70" s="21" cm="1">
        <f t="array" aca="1" ref="C70" ca="1">_xll.RiskPercentile(C68,0.05)</f>
        <v>-7.9015968834607504</v>
      </c>
    </row>
    <row r="71" spans="1:46" s="46" customFormat="1" x14ac:dyDescent="0.25">
      <c r="A71" s="56" t="s">
        <v>161</v>
      </c>
      <c r="B71" s="20" cm="1">
        <f t="array" aca="1" ref="B71" ca="1">_xll.RiskPercentile(B68,0.95)</f>
        <v>2.1310906455185297E-5</v>
      </c>
      <c r="C71" s="21" cm="1">
        <f t="array" aca="1" ref="C71" ca="1">_xll.RiskPercentile(C68,0.95)</f>
        <v>-4.6713980772631496</v>
      </c>
      <c r="D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x14ac:dyDescent="0.25">
      <c r="A72" s="61" t="s">
        <v>132</v>
      </c>
      <c r="B72" s="83" t="e" cm="1">
        <f t="array" aca="1" ref="B72" ca="1">_xll.RiskOutput()+1-(1+(B$54/C$46))^(-B$46)</f>
        <v>#N/A</v>
      </c>
      <c r="C72" s="85" t="e" cm="1">
        <f t="array" aca="1" ref="C72" ca="1">_xll.RiskOutput()+LOG10(B72)</f>
        <v>#N/A</v>
      </c>
      <c r="D72" t="s">
        <v>22</v>
      </c>
    </row>
    <row r="73" spans="1:46" x14ac:dyDescent="0.25">
      <c r="A73" s="56" t="s">
        <v>134</v>
      </c>
      <c r="B73" s="19" cm="1">
        <f t="array" aca="1" ref="B73" ca="1">_xll.RiskMean(B72)</f>
        <v>4.918871301201197E-6</v>
      </c>
      <c r="C73" s="76" cm="1">
        <f t="array" aca="1" ref="C73" ca="1">_xll.RiskMean(C72)</f>
        <v>-7.5195153888587267</v>
      </c>
    </row>
    <row r="74" spans="1:46" x14ac:dyDescent="0.25">
      <c r="A74" s="56" t="s">
        <v>135</v>
      </c>
      <c r="B74" s="20" cm="1">
        <f t="array" aca="1" ref="B74" ca="1">_xll.RiskPercentile(B72,0.05)</f>
        <v>2.1894641655251235E-10</v>
      </c>
      <c r="C74" s="21" cm="1">
        <f t="array" aca="1" ref="C74" ca="1">_xll.RiskPercentile(C72,0.05)</f>
        <v>-9.659662158415248</v>
      </c>
    </row>
    <row r="75" spans="1:46" x14ac:dyDescent="0.25">
      <c r="A75" s="56" t="s">
        <v>136</v>
      </c>
      <c r="B75" s="20" cm="1">
        <f t="array" aca="1" ref="B75" ca="1">_xll.RiskPercentile(B72,0.95)</f>
        <v>4.2913989004578212E-6</v>
      </c>
      <c r="C75" s="21" cm="1">
        <f t="array" aca="1" ref="C75" ca="1">_xll.RiskPercentile(C72,0.95)</f>
        <v>-5.3674011144079552</v>
      </c>
      <c r="J75" s="8"/>
    </row>
    <row r="76" spans="1:46" x14ac:dyDescent="0.25">
      <c r="A76" s="2" t="s">
        <v>133</v>
      </c>
      <c r="B76" s="83" cm="1">
        <f t="array" aca="1" ref="B76" ca="1">_xll.RiskOutput()+1-(1+(B55/C$46))^(-B$46)</f>
        <v>1.8291279713089637E-8</v>
      </c>
      <c r="C76" s="85" cm="1">
        <f t="array" aca="1" ref="C76" ca="1">_xll.RiskOutput()+LOG10(B76)</f>
        <v>-7.7377559089089827</v>
      </c>
      <c r="D76" t="s">
        <v>22</v>
      </c>
    </row>
    <row r="77" spans="1:46" x14ac:dyDescent="0.25">
      <c r="A77" s="56" t="s">
        <v>138</v>
      </c>
      <c r="B77" s="19" cm="1">
        <f t="array" aca="1" ref="B77" ca="1">_xll.RiskMean(B76)</f>
        <v>6.5439313464515931E-8</v>
      </c>
      <c r="C77" s="76" cm="1">
        <f t="array" aca="1" ref="C77" ca="1">_xll.RiskMean(C76)</f>
        <v>-9.0936284473697349</v>
      </c>
    </row>
    <row r="78" spans="1:46" x14ac:dyDescent="0.25">
      <c r="A78" s="56" t="s">
        <v>139</v>
      </c>
      <c r="B78" s="20" cm="1">
        <f t="array" aca="1" ref="B78" ca="1">_xll.RiskPercentile(B76,0.05)</f>
        <v>5.3648196995936814E-12</v>
      </c>
      <c r="C78" s="21" cm="1">
        <f t="array" aca="1" ref="C78" ca="1">_xll.RiskPercentile(C76,0.05)</f>
        <v>-11.270444869184953</v>
      </c>
    </row>
    <row r="79" spans="1:46" x14ac:dyDescent="0.25">
      <c r="A79" s="56" t="s">
        <v>140</v>
      </c>
      <c r="B79" s="20" cm="1">
        <f t="array" aca="1" ref="B79" ca="1">_xll.RiskPercentile(B76,0.95)</f>
        <v>1.1861112281241759E-7</v>
      </c>
      <c r="C79" s="21" cm="1">
        <f t="array" aca="1" ref="C79" ca="1">_xll.RiskPercentile(C76,0.95)</f>
        <v>-6.9258745828979418</v>
      </c>
    </row>
    <row r="80" spans="1:46" ht="14.25" customHeight="1" x14ac:dyDescent="0.25">
      <c r="A80" s="61" t="s">
        <v>162</v>
      </c>
      <c r="B80" s="83" t="e" cm="1">
        <f t="array" aca="1" ref="B80" ca="1">_xll.RiskOutput()+1-(1+(B$56/C$46))^(-B$46)</f>
        <v>#N/A</v>
      </c>
      <c r="C80" s="85" t="e" cm="1">
        <f t="array" aca="1" ref="C80" ca="1">_xll.RiskOutput()+LOG10(B80)</f>
        <v>#N/A</v>
      </c>
      <c r="D80" t="s">
        <v>22</v>
      </c>
    </row>
    <row r="81" spans="1:11" x14ac:dyDescent="0.25">
      <c r="A81" s="56" t="s">
        <v>163</v>
      </c>
      <c r="B81" s="19" cm="1">
        <f t="array" aca="1" ref="B81" ca="1">_xll.RiskMean(B80)</f>
        <v>2.3801697645458308E-5</v>
      </c>
      <c r="C81" s="76" cm="1">
        <f t="array" aca="1" ref="C81" ca="1">_xll.RiskMean(C80)</f>
        <v>-5.7386659342460673</v>
      </c>
    </row>
    <row r="82" spans="1:11" x14ac:dyDescent="0.25">
      <c r="A82" s="56" t="s">
        <v>164</v>
      </c>
      <c r="B82" s="20" cm="1">
        <f t="array" aca="1" ref="B82" ca="1">_xll.RiskPercentile(B80,0.05)</f>
        <v>2.7070510766336042E-7</v>
      </c>
      <c r="C82" s="21" cm="1">
        <f t="array" aca="1" ref="C82" ca="1">_xll.RiskPercentile(C80,0.05)</f>
        <v>-6.5675035498848837</v>
      </c>
    </row>
    <row r="83" spans="1:11" x14ac:dyDescent="0.25">
      <c r="A83" s="56" t="s">
        <v>165</v>
      </c>
      <c r="B83" s="20" cm="1">
        <f t="array" aca="1" ref="B83" ca="1">_xll.RiskPercentile(B80,0.95)</f>
        <v>3.1002887504683052E-5</v>
      </c>
      <c r="C83" s="21" cm="1">
        <f t="array" aca="1" ref="C83" ca="1">_xll.RiskPercentile(C80,0.95)</f>
        <v>-4.5085978555544193</v>
      </c>
    </row>
    <row r="84" spans="1:11" x14ac:dyDescent="0.25">
      <c r="A84" s="2" t="s">
        <v>166</v>
      </c>
      <c r="B84" s="83" t="e" cm="1">
        <f t="array" aca="1" ref="B84" ca="1">_xll.RiskOutput()+1-(1+(B$57/C$46))^(-B$46)</f>
        <v>#N/A</v>
      </c>
      <c r="C84" s="85" t="e" cm="1">
        <f t="array" aca="1" ref="C84" ca="1">_xll.RiskOutput()+LOG10(B84)</f>
        <v>#N/A</v>
      </c>
      <c r="D84" t="s">
        <v>22</v>
      </c>
    </row>
    <row r="85" spans="1:11" x14ac:dyDescent="0.25">
      <c r="A85" s="56" t="s">
        <v>167</v>
      </c>
      <c r="B85" s="19" cm="1">
        <f t="array" aca="1" ref="B85" ca="1">_xll.RiskMean(B84)</f>
        <v>1.5267646312119337E-9</v>
      </c>
      <c r="C85" s="76" cm="1">
        <f t="array" aca="1" ref="C85" ca="1">_xll.RiskMean(C84)</f>
        <v>-9.5583045922794838</v>
      </c>
    </row>
    <row r="86" spans="1:11" x14ac:dyDescent="0.25">
      <c r="A86" s="56" t="s">
        <v>168</v>
      </c>
      <c r="B86" s="20" cm="1">
        <f t="array" aca="1" ref="B86" ca="1">_xll.RiskPercentile(B84,0.05)</f>
        <v>3.8302694349567901E-12</v>
      </c>
      <c r="C86" s="21" cm="1">
        <f t="array" aca="1" ref="C86" ca="1">_xll.RiskPercentile(C84,0.05)</f>
        <v>-11.416770675117728</v>
      </c>
    </row>
    <row r="87" spans="1:11" x14ac:dyDescent="0.25">
      <c r="A87" s="56" t="s">
        <v>169</v>
      </c>
      <c r="B87" s="20" cm="1">
        <f t="array" aca="1" ref="B87" ca="1">_xll.RiskPercentile(B84,0.95)</f>
        <v>7.090650289143241E-9</v>
      </c>
      <c r="C87" s="21" cm="1">
        <f t="array" aca="1" ref="C87" ca="1">_xll.RiskPercentile(C84,0.95)</f>
        <v>-8.1493139335001761</v>
      </c>
    </row>
    <row r="88" spans="1:11" ht="18.75" x14ac:dyDescent="0.3">
      <c r="A88" s="39" t="s">
        <v>26</v>
      </c>
      <c r="B88" s="40"/>
      <c r="C88" s="40"/>
      <c r="D88" s="40"/>
      <c r="E88" s="40"/>
      <c r="F88" s="38"/>
      <c r="G88" s="38"/>
      <c r="H88" s="38"/>
      <c r="I88" s="38"/>
      <c r="J88" s="38"/>
      <c r="K88" s="38"/>
    </row>
    <row r="89" spans="1:11" x14ac:dyDescent="0.25">
      <c r="A89" s="45" t="s">
        <v>38</v>
      </c>
      <c r="B89" s="45">
        <f ca="1">B60</f>
        <v>3.5080756910058987E-6</v>
      </c>
      <c r="C89" t="s">
        <v>39</v>
      </c>
      <c r="D89" s="8"/>
    </row>
    <row r="90" spans="1:11" x14ac:dyDescent="0.25">
      <c r="A90" t="str">
        <f>A65</f>
        <v>P(ill) from MC compliant product-mean</v>
      </c>
      <c r="B90" s="8">
        <f ca="1">B65</f>
        <v>4.0831634573696005E-8</v>
      </c>
    </row>
    <row r="91" spans="1:11" x14ac:dyDescent="0.25">
      <c r="A91" t="str">
        <f>A89&amp;"-Residual Risk"</f>
        <v>No-Threshold-mean-Residual Risk</v>
      </c>
      <c r="B91" s="44">
        <f ca="1">B89/B$89</f>
        <v>1</v>
      </c>
      <c r="C91" s="21" t="s">
        <v>27</v>
      </c>
    </row>
    <row r="92" spans="1:11" x14ac:dyDescent="0.25">
      <c r="A92" t="str">
        <f>A90&amp;"-Residual Risk"</f>
        <v>P(ill) from MC compliant product-mean-Residual Risk</v>
      </c>
      <c r="B92" s="55">
        <f ca="1">B90/B$89</f>
        <v>1.1639325422305247E-2</v>
      </c>
      <c r="C92" s="55">
        <f ca="1">B25</f>
        <v>0.79466000000000003</v>
      </c>
    </row>
    <row r="93" spans="1:11" x14ac:dyDescent="0.25">
      <c r="A93" t="s">
        <v>173</v>
      </c>
      <c r="B93" s="8">
        <f ca="1">B73</f>
        <v>4.918871301201197E-6</v>
      </c>
    </row>
    <row r="94" spans="1:11" x14ac:dyDescent="0.25">
      <c r="A94" t="s">
        <v>177</v>
      </c>
      <c r="B94" s="8">
        <f ca="1">B76</f>
        <v>1.8291279713089637E-8</v>
      </c>
    </row>
    <row r="95" spans="1:1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x14ac:dyDescent="0.25">
      <c r="A96" s="22" t="s">
        <v>75</v>
      </c>
      <c r="C96" t="s">
        <v>73</v>
      </c>
    </row>
    <row r="97" spans="1:7" x14ac:dyDescent="0.25">
      <c r="A97" s="46" t="str">
        <f>$A$59&amp;" Simulation "&amp;C97</f>
        <v>Overall Pr Ill Simulation 1</v>
      </c>
      <c r="B97" s="47" cm="1">
        <f t="array" aca="1" ref="B97" ca="1">_xll.RiskMean(B59,1)</f>
        <v>3.5080756910058987E-6</v>
      </c>
      <c r="C97" s="46">
        <v>1</v>
      </c>
      <c r="D97" s="46"/>
      <c r="E97" s="46"/>
      <c r="F97" s="46"/>
      <c r="G97" s="46"/>
    </row>
    <row r="98" spans="1:7" x14ac:dyDescent="0.25">
      <c r="A98" t="str">
        <f t="shared" ref="A98:A106" si="1">$A$59&amp;" Simulation "&amp;C98</f>
        <v>Overall Pr Ill Simulation 2</v>
      </c>
      <c r="B98" s="8" cm="1">
        <f t="array" aca="1" ref="B98" ca="1">_xll.RiskMean(B59,2)</f>
        <v>1.6235747288572711E-6</v>
      </c>
      <c r="C98">
        <f>C97+1</f>
        <v>2</v>
      </c>
    </row>
    <row r="99" spans="1:7" x14ac:dyDescent="0.25">
      <c r="A99" t="str">
        <f t="shared" si="1"/>
        <v>Overall Pr Ill Simulation 3</v>
      </c>
      <c r="B99" s="8" cm="1">
        <f t="array" aca="1" ref="B99" ca="1">_xll.RiskMean(B$59,$C99)</f>
        <v>1.7356281931897467E-6</v>
      </c>
      <c r="C99">
        <f t="shared" ref="C99:C106" si="2">C98+1</f>
        <v>3</v>
      </c>
    </row>
    <row r="100" spans="1:7" x14ac:dyDescent="0.25">
      <c r="A100" t="str">
        <f t="shared" si="1"/>
        <v>Overall Pr Ill Simulation 4</v>
      </c>
      <c r="B100" s="8" cm="1">
        <f t="array" aca="1" ref="B100" ca="1">_xll.RiskMean(B$59,$C100)</f>
        <v>1.7838306442826047E-6</v>
      </c>
      <c r="C100">
        <f t="shared" si="2"/>
        <v>4</v>
      </c>
    </row>
    <row r="101" spans="1:7" x14ac:dyDescent="0.25">
      <c r="A101" t="str">
        <f t="shared" si="1"/>
        <v>Overall Pr Ill Simulation 5</v>
      </c>
      <c r="B101" s="8" cm="1">
        <f t="array" aca="1" ref="B101" ca="1">_xll.RiskMean(B$59,$C101)</f>
        <v>2.3747841496647816E-6</v>
      </c>
      <c r="C101">
        <f t="shared" si="2"/>
        <v>5</v>
      </c>
    </row>
    <row r="102" spans="1:7" x14ac:dyDescent="0.25">
      <c r="A102" t="str">
        <f t="shared" si="1"/>
        <v>Overall Pr Ill Simulation 6</v>
      </c>
      <c r="B102" s="8" cm="1">
        <f t="array" aca="1" ref="B102" ca="1">_xll.RiskMean(B$59,$C102)</f>
        <v>1.8302587525606451E-6</v>
      </c>
      <c r="C102">
        <f t="shared" si="2"/>
        <v>6</v>
      </c>
    </row>
    <row r="103" spans="1:7" x14ac:dyDescent="0.25">
      <c r="A103" t="str">
        <f t="shared" si="1"/>
        <v>Overall Pr Ill Simulation 7</v>
      </c>
      <c r="B103" s="8" cm="1">
        <f t="array" aca="1" ref="B103" ca="1">_xll.RiskMean(B$59,$C103)</f>
        <v>2.2453188170714378E-6</v>
      </c>
      <c r="C103">
        <f t="shared" si="2"/>
        <v>7</v>
      </c>
    </row>
    <row r="104" spans="1:7" x14ac:dyDescent="0.25">
      <c r="A104" t="str">
        <f t="shared" si="1"/>
        <v>Overall Pr Ill Simulation 8</v>
      </c>
      <c r="B104" s="8" cm="1">
        <f t="array" aca="1" ref="B104" ca="1">_xll.RiskMean(B$59,$C104)</f>
        <v>1.9540371784840139E-6</v>
      </c>
      <c r="C104">
        <f t="shared" si="2"/>
        <v>8</v>
      </c>
    </row>
    <row r="105" spans="1:7" x14ac:dyDescent="0.25">
      <c r="A105" t="str">
        <f t="shared" si="1"/>
        <v>Overall Pr Ill Simulation 9</v>
      </c>
      <c r="B105" s="8" cm="1">
        <f t="array" aca="1" ref="B105" ca="1">_xll.RiskMean(B$59,$C105)</f>
        <v>2.0689475080327833E-6</v>
      </c>
      <c r="C105">
        <f t="shared" si="2"/>
        <v>9</v>
      </c>
    </row>
    <row r="106" spans="1:7" x14ac:dyDescent="0.25">
      <c r="A106" t="str">
        <f t="shared" si="1"/>
        <v>Overall Pr Ill Simulation 10</v>
      </c>
      <c r="B106" s="8" cm="1">
        <f t="array" aca="1" ref="B106" ca="1">_xll.RiskMean(B$59,$C106)</f>
        <v>1.6307424548557891E-6</v>
      </c>
      <c r="C106">
        <f t="shared" si="2"/>
        <v>10</v>
      </c>
    </row>
    <row r="107" spans="1:7" x14ac:dyDescent="0.25">
      <c r="A107" s="22" t="s">
        <v>72</v>
      </c>
    </row>
    <row r="108" spans="1:7" x14ac:dyDescent="0.25">
      <c r="A108" t="str">
        <f>$A$65&amp;" Simulation "&amp;C108</f>
        <v>P(ill) from MC compliant product-mean Simulation Max</v>
      </c>
      <c r="B108" s="8">
        <f ca="1">MAX(B97:B106)</f>
        <v>3.5080756910058987E-6</v>
      </c>
      <c r="C108" t="s">
        <v>70</v>
      </c>
    </row>
    <row r="109" spans="1:7" x14ac:dyDescent="0.25">
      <c r="A109" t="str">
        <f t="shared" ref="A109:A113" si="3">$A$65&amp;" Simulation "&amp;C109</f>
        <v>P(ill) from MC compliant product-mean Simulation Min</v>
      </c>
      <c r="B109" s="8">
        <f ca="1">MIN(B97:B106)</f>
        <v>1.6235747288572711E-6</v>
      </c>
      <c r="C109" t="s">
        <v>71</v>
      </c>
    </row>
    <row r="110" spans="1:7" x14ac:dyDescent="0.25">
      <c r="A110" t="str">
        <f t="shared" si="3"/>
        <v xml:space="preserve">P(ill) from MC compliant product-mean Simulation Range </v>
      </c>
      <c r="B110" s="8">
        <f ca="1" xml:space="preserve"> B108-B109</f>
        <v>1.8845009621486276E-6</v>
      </c>
      <c r="C110" t="s">
        <v>67</v>
      </c>
    </row>
    <row r="111" spans="1:7" x14ac:dyDescent="0.25">
      <c r="A111" s="49" t="str">
        <f t="shared" si="3"/>
        <v>P(ill) from MC compliant product-mean Simulation Mean</v>
      </c>
      <c r="B111" s="50">
        <f ca="1">AVERAGE(B97:B106)</f>
        <v>2.0755198118004972E-6</v>
      </c>
      <c r="C111" s="51" t="s">
        <v>68</v>
      </c>
    </row>
    <row r="112" spans="1:7" x14ac:dyDescent="0.25">
      <c r="A112" t="str">
        <f t="shared" si="3"/>
        <v>P(ill) from MC compliant product-mean Simulation St. Dev</v>
      </c>
      <c r="B112" s="8">
        <f ca="1">_xlfn.STDEV.P(B97:B106)</f>
        <v>5.336901295512672E-7</v>
      </c>
      <c r="C112" t="s">
        <v>69</v>
      </c>
    </row>
    <row r="113" spans="1:11" x14ac:dyDescent="0.25">
      <c r="A113" s="22" t="str">
        <f t="shared" si="3"/>
        <v>P(ill) from MC compliant product-mean Simulation COV</v>
      </c>
      <c r="B113" s="52">
        <f ca="1">B112/B111</f>
        <v>0.25713564694344943</v>
      </c>
      <c r="C113" s="53" t="s">
        <v>74</v>
      </c>
    </row>
    <row r="120" spans="1:11" ht="15.75" thickBot="1" x14ac:dyDescent="0.3"/>
    <row r="121" spans="1:11" ht="30.75" thickBot="1" x14ac:dyDescent="0.3">
      <c r="H121" s="89" t="s">
        <v>187</v>
      </c>
      <c r="I121" s="90" t="s">
        <v>178</v>
      </c>
      <c r="J121" s="91" t="s">
        <v>179</v>
      </c>
      <c r="K121" s="92" t="s">
        <v>74</v>
      </c>
    </row>
    <row r="122" spans="1:11" x14ac:dyDescent="0.25">
      <c r="H122" s="93" t="s">
        <v>180</v>
      </c>
      <c r="I122" s="94">
        <v>1.6000000000000001E-4</v>
      </c>
      <c r="J122" s="100">
        <v>1.8035395366531704E-6</v>
      </c>
      <c r="K122" s="95">
        <v>0.09</v>
      </c>
    </row>
    <row r="123" spans="1:11" x14ac:dyDescent="0.25">
      <c r="H123" s="96" t="s">
        <v>181</v>
      </c>
      <c r="I123" s="94">
        <v>1.6000000000000001E-4</v>
      </c>
      <c r="J123" s="101">
        <v>1.9654806519591101E-6</v>
      </c>
      <c r="K123" s="97">
        <v>0.12</v>
      </c>
    </row>
    <row r="124" spans="1:11" x14ac:dyDescent="0.25">
      <c r="H124" s="96" t="s">
        <v>188</v>
      </c>
      <c r="I124" s="94">
        <v>1.6000000000000001E-4</v>
      </c>
      <c r="J124" s="101">
        <v>1.946444286678199E-6</v>
      </c>
      <c r="K124" s="97">
        <v>0.06</v>
      </c>
    </row>
    <row r="125" spans="1:11" x14ac:dyDescent="0.25">
      <c r="H125" s="96" t="s">
        <v>189</v>
      </c>
      <c r="I125" s="94">
        <v>1.6000000000000001E-4</v>
      </c>
      <c r="J125" s="101">
        <v>2.076499748996679E-6</v>
      </c>
      <c r="K125" s="97">
        <v>0.15</v>
      </c>
    </row>
    <row r="126" spans="1:11" x14ac:dyDescent="0.25">
      <c r="H126" s="96" t="s">
        <v>190</v>
      </c>
      <c r="I126" s="94">
        <v>1.6000000000000001E-4</v>
      </c>
      <c r="J126" s="101">
        <v>2.023222599690491E-6</v>
      </c>
      <c r="K126" s="97">
        <v>0.08</v>
      </c>
    </row>
    <row r="127" spans="1:11" x14ac:dyDescent="0.25">
      <c r="H127" s="96" t="s">
        <v>182</v>
      </c>
      <c r="I127" s="94">
        <v>1.6000000000000001E-4</v>
      </c>
      <c r="J127" s="101">
        <v>1.97295628084838E-6</v>
      </c>
      <c r="K127" s="97">
        <v>0.09</v>
      </c>
    </row>
    <row r="128" spans="1:11" x14ac:dyDescent="0.25">
      <c r="H128" s="96" t="s">
        <v>183</v>
      </c>
      <c r="I128" s="94">
        <v>1.6000000000000001E-4</v>
      </c>
      <c r="J128" s="101">
        <v>1.842018468725929E-6</v>
      </c>
      <c r="K128" s="97">
        <v>0.09</v>
      </c>
    </row>
    <row r="129" spans="8:11" x14ac:dyDescent="0.25">
      <c r="H129" s="96" t="s">
        <v>184</v>
      </c>
      <c r="I129" s="94">
        <v>1.6000000000000001E-4</v>
      </c>
      <c r="J129" s="101">
        <v>2.1655298585379518E-6</v>
      </c>
      <c r="K129" s="97">
        <v>0.12</v>
      </c>
    </row>
    <row r="130" spans="8:11" x14ac:dyDescent="0.25">
      <c r="H130" s="96" t="s">
        <v>185</v>
      </c>
      <c r="I130" s="94">
        <v>1.6000000000000001E-4</v>
      </c>
      <c r="J130" s="101">
        <v>2.0792075806947376E-6</v>
      </c>
      <c r="K130" s="97">
        <v>0.14000000000000001</v>
      </c>
    </row>
    <row r="131" spans="8:11" ht="15.75" thickBot="1" x14ac:dyDescent="0.3">
      <c r="H131" s="98" t="s">
        <v>186</v>
      </c>
      <c r="I131" s="103">
        <v>1.6000000000000001E-4</v>
      </c>
      <c r="J131" s="102">
        <v>2.0755198118004972E-6</v>
      </c>
      <c r="K131" s="99">
        <v>0.26</v>
      </c>
    </row>
    <row r="132" spans="8:11" x14ac:dyDescent="0.25">
      <c r="J132" s="8">
        <f>AVERAGE(J122:J131)</f>
        <v>1.9950418824585147E-6</v>
      </c>
      <c r="K132" s="66">
        <f>AVERAGE(K122:K131)</f>
        <v>0.12</v>
      </c>
    </row>
  </sheetData>
  <mergeCells count="1">
    <mergeCell ref="E1:F1"/>
  </mergeCells>
  <phoneticPr fontId="9" type="noConversion"/>
  <hyperlinks>
    <hyperlink ref="D45" r:id="rId1" xr:uid="{29265D2F-1510-4968-A105-E8E48C989780}"/>
  </hyperlinks>
  <pageMargins left="0.7" right="0.7" top="0.75" bottom="0.75" header="0.3" footer="0.3"/>
  <pageSetup scale="36" orientation="portrait" r:id="rId2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Kealey, Erin</cp:lastModifiedBy>
  <cp:lastPrinted>2023-06-15T16:04:01Z</cp:lastPrinted>
  <dcterms:created xsi:type="dcterms:W3CDTF">2023-01-06T19:28:37Z</dcterms:created>
  <dcterms:modified xsi:type="dcterms:W3CDTF">2023-09-29T14:39:36Z</dcterms:modified>
</cp:coreProperties>
</file>