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nho3\Desktop\"/>
    </mc:Choice>
  </mc:AlternateContent>
  <xr:revisionPtr revIDLastSave="0" documentId="13_ncr:1_{D41C6435-5932-4F63-B680-F20920814685}" xr6:coauthVersionLast="47" xr6:coauthVersionMax="47" xr10:uidLastSave="{00000000-0000-0000-0000-000000000000}"/>
  <bookViews>
    <workbookView xWindow="-120" yWindow="-120" windowWidth="29040" windowHeight="15720" firstSheet="2" activeTab="2" xr2:uid="{8649FD71-15AB-4D1C-8F8E-DD1C260038CD}"/>
  </bookViews>
  <sheets>
    <sheet name="goalSeekInfo" sheetId="167" state="hidden" r:id="rId1"/>
    <sheet name="RiskSerializationData8" sheetId="267" state="hidden" r:id="rId2"/>
    <sheet name="Chicken Parts" sheetId="142" r:id="rId3"/>
  </sheets>
  <definedNames>
    <definedName name="_AtRisk_ReportsSetting_ReportGraphOptions" hidden="1">"REP:VER:8.1.1GRA:OUT:00INS:00SUM:T00DET:T00SCE:02SC1:33DAT:2|TRUE,.75,1|TRUE,0,.25|TRUE,.9,1SE1:38DAT:3,10,2,.95,5,16,FALSE,0,TRUE,TRUE,TRUESE2:38DAT:3,10,2,.95,5,16,FALSE,0,TRUE,TRUE,TRUETSI:002"</definedName>
    <definedName name="_AtRisk_ReportsSetting_ReportMulitSelections" hidden="1">"REP:VER:8.1.1MUL:OUT:T20INS:F11SUM:F21DET:F20SEN:F11SCE:F11TEM:F"</definedName>
    <definedName name="_AtRisk_ReportsSetting_ReportOptions" hidden="1">"REP:VER:8.1.1OPT:RAP:02RWE:00RLS:04ROT:00RST:00RRT:04AGR:FAFN:114DAT:C:\Users\rubenc2\Desktop\Chicken Parts Inclusion and Non inclusion Simulation Serotype D-R Detailed Statistics.pdfOGR:T"</definedName>
    <definedName name="_AtRisk_ReportsSetting_ReportSelectedRangeDetails" hidden="1">#REF!,#REF!,#REF!,#REF!,#REF!,#REF!,#REF!,#REF!,#REF!,#REF!,#REF!,#REF!,#REF!,#REF!,#REF!,#REF!,#REF!,#REF!,#REF!,#REF!,#REF!,#REF!,#REF!,#REF!,#REF!,#REF!</definedName>
    <definedName name="_AtRisk_ReportsSetting_ReportSelectedRangeOutputs" hidden="1">#REF!,#REF!,#REF!,#REF!,#REF!,#REF!,#REF!,#REF!,#REF!,#REF!,#REF!,#REF!,#REF!,#REF!,#REF!,#REF!,#REF!,#REF!,#REF!,#REF!,#REF!,#REF!,#REF!,#REF!,#REF!,#REF!</definedName>
    <definedName name="_AtRisk_ReportsSetting_ReportSelectedRangeSummary" hidden="1">#REF!</definedName>
    <definedName name="_AtRisk_ReportsSetting_ReportSelectedSimulationsDET" hidden="1">"AQA="</definedName>
    <definedName name="_AtRisk_ReportsSetting_ReportSelectedSimulationsINS" hidden="1">"AQA="</definedName>
    <definedName name="_AtRisk_ReportsSetting_ReportSelectedSimulationsOUT" hidden="1">"AQA="</definedName>
    <definedName name="_AtRisk_ReportsSetting_ReportSelectedSimulationsSCE" hidden="1">"AQA="</definedName>
    <definedName name="_AtRisk_ReportsSetting_ReportSelectedSimulationsSEN" hidden="1">"AQA="</definedName>
    <definedName name="_AtRisk_ReportsSetting_ReportSelectedSimulationsSUM" hidden="1">"AQA="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7</definedName>
    <definedName name="_AtRisk_SimSetting_MultipleCPUManualCount" hidden="1">7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001" hidden="1">""</definedName>
    <definedName name="_AtRisk_SimSetting_SimName002" hidden="1">""</definedName>
    <definedName name="_AtRisk_SimSetting_SimName003" hidden="1">""</definedName>
    <definedName name="_AtRisk_SimSetting_SimName004" hidden="1">""</definedName>
    <definedName name="_AtRisk_SimSetting_SimName005" hidden="1">""</definedName>
    <definedName name="_AtRisk_SimSetting_SimName006" hidden="1">""</definedName>
    <definedName name="_AtRisk_SimSetting_SimName007" hidden="1">""</definedName>
    <definedName name="_AtRisk_SimSetting_SimName008" hidden="1">""</definedName>
    <definedName name="_AtRisk_SimSetting_SimName009" hidden="1">""</definedName>
    <definedName name="_AtRisk_SimSetting_SimName010" hidden="1">""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1</definedName>
    <definedName name="_AtRisk_SimSetting_StdRecalcWithoutRiskStaticPercentile" hidden="1">0.5</definedName>
    <definedName name="BrowseRecords" localSheetId="1">RiskSerializationData8!$6:$9</definedName>
    <definedName name="Pal_Workbook_GUID" hidden="1">"WVNZPGZDHMCWZNLGFYTUZKMK"</definedName>
    <definedName name="_xlnm.Print_Area" localSheetId="2">'Chicken Parts'!$A$1:$K$106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2</definedName>
    <definedName name="RiskSimulationResultsStorageLocation" hidden="1">"2"</definedName>
    <definedName name="RiskStandardRecalc" hidden="1">2</definedName>
    <definedName name="RiskUpdateDisplay" hidden="1">FALSE</definedName>
    <definedName name="RiskUseDifferentSeedForEachSim" hidden="1">TRUE</definedName>
    <definedName name="RiskUseFixedSeed" hidden="1">FALSE</definedName>
    <definedName name="RiskUseMultipleCPUs" hidden="1">FALSE</definedName>
    <definedName name="SerializationHeader" localSheetId="1">RiskSerializationData8!$A$1:$B$3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267" l="1"/>
  <c r="L8" i="267"/>
  <c r="A8" i="267"/>
  <c r="L7" i="267"/>
  <c r="A7" i="267"/>
  <c r="L6" i="267"/>
  <c r="A6" i="267"/>
  <c r="B43" i="142" a="1"/>
  <c r="B43" i="142" s="1"/>
  <c r="B9" i="142" a="1"/>
  <c r="B9" i="142" s="1"/>
  <c r="B23" i="142" s="1"/>
  <c r="B19" i="142"/>
  <c r="D212" i="142"/>
  <c r="C212" i="142"/>
  <c r="C182" i="142"/>
  <c r="C183" i="142" s="1"/>
  <c r="A181" i="142"/>
  <c r="A101" i="142"/>
  <c r="A91" i="142"/>
  <c r="A94" i="142" s="1"/>
  <c r="A87" i="142"/>
  <c r="A104" i="142" s="1"/>
  <c r="A83" i="142"/>
  <c r="A86" i="142" s="1"/>
  <c r="A79" i="142"/>
  <c r="A80" i="142" s="1"/>
  <c r="A97" i="142" s="1"/>
  <c r="A81" i="142"/>
  <c r="A102" i="142"/>
  <c r="A75" i="142"/>
  <c r="A77" i="142" s="1"/>
  <c r="A76" i="142"/>
  <c r="A68" i="142"/>
  <c r="A67" i="142"/>
  <c r="A66" i="142"/>
  <c r="A65" i="142"/>
  <c r="A64" i="142"/>
  <c r="B24" i="142"/>
  <c r="B18" i="142"/>
  <c r="C18" i="142"/>
  <c r="C17" i="142"/>
  <c r="C16" i="142"/>
  <c r="C15" i="142"/>
  <c r="C14" i="142"/>
  <c r="C13" i="142"/>
  <c r="C12" i="142"/>
  <c r="B2" i="167"/>
  <c r="A2" i="167"/>
  <c r="A193" i="142"/>
  <c r="A197" i="142"/>
  <c r="A192" i="142"/>
  <c r="A194" i="142"/>
  <c r="A196" i="142"/>
  <c r="A195" i="142"/>
  <c r="A84" i="142"/>
  <c r="A98" i="142"/>
  <c r="A89" i="142"/>
  <c r="A82" i="142" l="1"/>
  <c r="A183" i="142"/>
  <c r="C184" i="142"/>
  <c r="A78" i="142"/>
  <c r="A85" i="142"/>
  <c r="A182" i="142"/>
  <c r="A103" i="142"/>
  <c r="A90" i="142"/>
  <c r="B25" i="142" a="1"/>
  <c r="B25" i="142" s="1"/>
  <c r="A105" i="142"/>
  <c r="A88" i="142"/>
  <c r="A99" i="142" s="1"/>
  <c r="A92" i="142"/>
  <c r="A100" i="142" s="1"/>
  <c r="A93" i="142"/>
  <c r="B20" i="142" a="1"/>
  <c r="B20" i="142" s="1"/>
  <c r="B44" i="142"/>
  <c r="B46" i="142" s="1"/>
  <c r="B60" i="142" s="1"/>
  <c r="B63" i="142" s="1"/>
  <c r="B70" i="142" s="1" a="1"/>
  <c r="C58" i="142"/>
  <c r="B26" i="142" a="1"/>
  <c r="C185" i="142" l="1"/>
  <c r="A184" i="142"/>
  <c r="B70" i="142"/>
  <c r="C70" i="142" s="1" a="1"/>
  <c r="B26" i="142"/>
  <c r="C102" i="142" s="1"/>
  <c r="G110" i="142" s="1"/>
  <c r="B35" i="142"/>
  <c r="B36" i="142" s="1"/>
  <c r="B31" i="142"/>
  <c r="B32" i="142" s="1"/>
  <c r="B58" i="142"/>
  <c r="B48" i="142"/>
  <c r="B65" i="142" s="1"/>
  <c r="B79" i="142" s="1" a="1"/>
  <c r="B47" i="142"/>
  <c r="B64" i="142" s="1"/>
  <c r="B75" i="142" s="1" a="1"/>
  <c r="B71" i="142" a="1"/>
  <c r="B72" i="142" a="1"/>
  <c r="B73" i="142" a="1"/>
  <c r="B33" i="142" a="1"/>
  <c r="B37" i="142" a="1"/>
  <c r="A185" i="142" l="1"/>
  <c r="C186" i="142"/>
  <c r="B37" i="142"/>
  <c r="C104" i="142" s="1"/>
  <c r="G119" i="142" s="1"/>
  <c r="B75" i="142"/>
  <c r="C75" i="142" s="1" a="1"/>
  <c r="B79" i="142"/>
  <c r="C79" i="142" s="1" a="1"/>
  <c r="C110" i="142"/>
  <c r="B33" i="142"/>
  <c r="C103" i="142" s="1"/>
  <c r="G116" i="142" s="1"/>
  <c r="B73" i="142"/>
  <c r="C73" i="142" s="1" a="1"/>
  <c r="B72" i="142"/>
  <c r="C72" i="142" s="1" a="1"/>
  <c r="B71" i="142"/>
  <c r="C71" i="142" s="1" a="1"/>
  <c r="C70" i="142"/>
  <c r="B52" i="142"/>
  <c r="B67" i="142" s="1"/>
  <c r="B87" i="142" s="1" a="1"/>
  <c r="B38" i="142"/>
  <c r="G113" i="142"/>
  <c r="J136" i="142" s="1"/>
  <c r="J133" i="142"/>
  <c r="I133" i="142"/>
  <c r="I136" i="142" s="1"/>
  <c r="B50" i="142"/>
  <c r="B66" i="142" s="1"/>
  <c r="B39" i="142" a="1"/>
  <c r="B83" i="142" a="1"/>
  <c r="B80" i="142" a="1"/>
  <c r="B81" i="142" a="1"/>
  <c r="B82" i="142" a="1"/>
  <c r="B186" i="142" a="1"/>
  <c r="B185" i="142" a="1"/>
  <c r="B190" i="142" a="1"/>
  <c r="B184" i="142" a="1"/>
  <c r="B189" i="142" a="1"/>
  <c r="B183" i="142" a="1"/>
  <c r="B188" i="142" a="1"/>
  <c r="B182" i="142" a="1"/>
  <c r="B187" i="142" a="1"/>
  <c r="B181" i="142" a="1"/>
  <c r="B76" i="142" a="1"/>
  <c r="B77" i="142" a="1"/>
  <c r="B78" i="142" a="1"/>
  <c r="A186" i="142" l="1"/>
  <c r="C187" i="142"/>
  <c r="C71" i="142"/>
  <c r="C116" i="142"/>
  <c r="C122" i="142"/>
  <c r="C73" i="142"/>
  <c r="C119" i="142"/>
  <c r="B78" i="142"/>
  <c r="C78" i="142" s="1" a="1"/>
  <c r="B77" i="142"/>
  <c r="C77" i="142" s="1" a="1"/>
  <c r="B76" i="142"/>
  <c r="C76" i="142" s="1" a="1"/>
  <c r="C75" i="142"/>
  <c r="B181" i="142"/>
  <c r="B187" i="142"/>
  <c r="B182" i="142"/>
  <c r="B188" i="142"/>
  <c r="B183" i="142"/>
  <c r="B189" i="142"/>
  <c r="B184" i="142"/>
  <c r="B190" i="142"/>
  <c r="B185" i="142"/>
  <c r="B186" i="142"/>
  <c r="G111" i="142"/>
  <c r="C72" i="142"/>
  <c r="B82" i="142"/>
  <c r="C82" i="142" s="1" a="1"/>
  <c r="B81" i="142"/>
  <c r="C81" i="142" s="1" a="1"/>
  <c r="B80" i="142"/>
  <c r="C80" i="142" s="1" a="1"/>
  <c r="C79" i="142"/>
  <c r="G112" i="142"/>
  <c r="C111" i="142"/>
  <c r="B83" i="142"/>
  <c r="C83" i="142" s="1" a="1"/>
  <c r="B39" i="142"/>
  <c r="C105" i="142" s="1"/>
  <c r="G122" i="142" s="1"/>
  <c r="B87" i="142"/>
  <c r="C87" i="142" s="1" a="1"/>
  <c r="C112" i="142"/>
  <c r="C128" i="142"/>
  <c r="C129" i="142" s="1"/>
  <c r="B96" i="142"/>
  <c r="B101" i="142" s="1"/>
  <c r="J139" i="142"/>
  <c r="I139" i="142"/>
  <c r="D133" i="142"/>
  <c r="C133" i="142"/>
  <c r="C136" i="142" s="1"/>
  <c r="C113" i="142"/>
  <c r="D136" i="142" s="1"/>
  <c r="B54" i="142"/>
  <c r="B68" i="142" s="1"/>
  <c r="B91" i="142" s="1" a="1"/>
  <c r="I142" i="142"/>
  <c r="J142" i="142"/>
  <c r="B88" i="142" a="1"/>
  <c r="B89" i="142" a="1"/>
  <c r="B90" i="142" a="1"/>
  <c r="B84" i="142" a="1"/>
  <c r="B85" i="142" a="1"/>
  <c r="B86" i="142" a="1"/>
  <c r="C188" i="142" l="1"/>
  <c r="A187" i="142"/>
  <c r="G124" i="142"/>
  <c r="G123" i="142"/>
  <c r="B86" i="142"/>
  <c r="C86" i="142" s="1" a="1"/>
  <c r="B85" i="142"/>
  <c r="C85" i="142" s="1" a="1"/>
  <c r="B84" i="142"/>
  <c r="C84" i="142" s="1" a="1"/>
  <c r="C83" i="142"/>
  <c r="C118" i="142"/>
  <c r="G121" i="142"/>
  <c r="G117" i="142"/>
  <c r="C121" i="142"/>
  <c r="G118" i="142"/>
  <c r="C76" i="142"/>
  <c r="C124" i="142"/>
  <c r="B91" i="142"/>
  <c r="C91" i="142" s="1" a="1"/>
  <c r="C80" i="142"/>
  <c r="C77" i="142"/>
  <c r="C81" i="142"/>
  <c r="C78" i="142"/>
  <c r="C120" i="142"/>
  <c r="C82" i="142"/>
  <c r="C117" i="142"/>
  <c r="C123" i="142"/>
  <c r="G120" i="142"/>
  <c r="B90" i="142"/>
  <c r="C90" i="142" s="1" a="1"/>
  <c r="B89" i="142"/>
  <c r="C89" i="142" s="1" a="1"/>
  <c r="B88" i="142"/>
  <c r="C88" i="142" s="1" a="1"/>
  <c r="C87" i="142"/>
  <c r="J145" i="142"/>
  <c r="I145" i="142"/>
  <c r="C139" i="142"/>
  <c r="D139" i="142"/>
  <c r="G115" i="142"/>
  <c r="J138" i="142" s="1"/>
  <c r="I135" i="142"/>
  <c r="I138" i="142" s="1"/>
  <c r="J135" i="142"/>
  <c r="K136" i="142"/>
  <c r="L136" i="142" s="1"/>
  <c r="H113" i="142"/>
  <c r="D142" i="142"/>
  <c r="C142" i="142"/>
  <c r="B97" i="142"/>
  <c r="D135" i="142"/>
  <c r="C135" i="142"/>
  <c r="C138" i="142" s="1"/>
  <c r="C115" i="142"/>
  <c r="D138" i="142" s="1"/>
  <c r="G114" i="142"/>
  <c r="J137" i="142" s="1"/>
  <c r="J134" i="142"/>
  <c r="I134" i="142"/>
  <c r="I137" i="142" s="1"/>
  <c r="D145" i="142"/>
  <c r="C145" i="142"/>
  <c r="D134" i="142"/>
  <c r="C134" i="142"/>
  <c r="C137" i="142" s="1"/>
  <c r="C114" i="142"/>
  <c r="D137" i="142" s="1"/>
  <c r="B196" i="142"/>
  <c r="B192" i="142"/>
  <c r="B195" i="142"/>
  <c r="B193" i="142"/>
  <c r="B92" i="142" a="1"/>
  <c r="B93" i="142" a="1"/>
  <c r="B94" i="142" a="1"/>
  <c r="A188" i="142" l="1"/>
  <c r="C189" i="142"/>
  <c r="B197" i="142"/>
  <c r="C84" i="142"/>
  <c r="C85" i="142"/>
  <c r="C88" i="142"/>
  <c r="C86" i="142"/>
  <c r="B94" i="142"/>
  <c r="C94" i="142" s="1" a="1"/>
  <c r="B93" i="142"/>
  <c r="C93" i="142" s="1" a="1"/>
  <c r="B92" i="142"/>
  <c r="C92" i="142" s="1" a="1"/>
  <c r="C91" i="142"/>
  <c r="C89" i="142"/>
  <c r="C90" i="142"/>
  <c r="B98" i="142"/>
  <c r="D140" i="142"/>
  <c r="C140" i="142"/>
  <c r="J147" i="142"/>
  <c r="I147" i="142"/>
  <c r="B99" i="142"/>
  <c r="D146" i="142"/>
  <c r="C146" i="142"/>
  <c r="I141" i="142"/>
  <c r="J141" i="142"/>
  <c r="C144" i="142"/>
  <c r="D144" i="142"/>
  <c r="D113" i="142"/>
  <c r="E136" i="142"/>
  <c r="B194" i="142"/>
  <c r="J143" i="142"/>
  <c r="I143" i="142"/>
  <c r="C143" i="142"/>
  <c r="D143" i="142"/>
  <c r="I140" i="142"/>
  <c r="J140" i="142"/>
  <c r="J146" i="142"/>
  <c r="I146" i="142"/>
  <c r="J144" i="142"/>
  <c r="I144" i="142"/>
  <c r="B128" i="142"/>
  <c r="B129" i="142" s="1"/>
  <c r="C141" i="142"/>
  <c r="D141" i="142"/>
  <c r="K133" i="142"/>
  <c r="L133" i="142" s="1"/>
  <c r="B102" i="142"/>
  <c r="H110" i="142" s="1"/>
  <c r="D147" i="142"/>
  <c r="C147" i="142"/>
  <c r="A189" i="142" l="1"/>
  <c r="C190" i="142"/>
  <c r="A190" i="142" s="1"/>
  <c r="F136" i="142"/>
  <c r="C92" i="142"/>
  <c r="C93" i="142"/>
  <c r="C94" i="142"/>
  <c r="H114" i="142"/>
  <c r="K137" i="142"/>
  <c r="L137" i="142" s="1"/>
  <c r="H115" i="142"/>
  <c r="K138" i="142"/>
  <c r="L138" i="142" s="1"/>
  <c r="B100" i="142"/>
  <c r="K142" i="142"/>
  <c r="L142" i="142" s="1"/>
  <c r="B104" i="142"/>
  <c r="H119" i="142" s="1"/>
  <c r="D110" i="142"/>
  <c r="E133" i="142"/>
  <c r="F133" i="142" s="1"/>
  <c r="D114" i="142"/>
  <c r="E137" i="142"/>
  <c r="F137" i="142" s="1"/>
  <c r="K139" i="142"/>
  <c r="L139" i="142" s="1"/>
  <c r="B103" i="142"/>
  <c r="H116" i="142" s="1"/>
  <c r="D115" i="142"/>
  <c r="E138" i="142"/>
  <c r="F138" i="142" s="1"/>
  <c r="E139" i="142" l="1"/>
  <c r="F139" i="142" s="1"/>
  <c r="D116" i="142"/>
  <c r="K135" i="142"/>
  <c r="L135" i="142" s="1"/>
  <c r="H112" i="142"/>
  <c r="E145" i="142"/>
  <c r="F145" i="142" s="1"/>
  <c r="B105" i="142"/>
  <c r="H122" i="142" s="1"/>
  <c r="K145" i="142"/>
  <c r="L145" i="142" s="1"/>
  <c r="H111" i="142"/>
  <c r="K134" i="142"/>
  <c r="L134" i="142" s="1"/>
  <c r="E134" i="142"/>
  <c r="F134" i="142" s="1"/>
  <c r="D111" i="142"/>
  <c r="E135" i="142"/>
  <c r="F135" i="142" s="1"/>
  <c r="D112" i="142"/>
  <c r="E142" i="142"/>
  <c r="F142" i="142" s="1"/>
  <c r="E147" i="142" l="1"/>
  <c r="F147" i="142" s="1"/>
  <c r="E140" i="142"/>
  <c r="F140" i="142" s="1"/>
  <c r="E146" i="142"/>
  <c r="F146" i="142" s="1"/>
  <c r="K140" i="142"/>
  <c r="L140" i="142" s="1"/>
  <c r="H117" i="142"/>
  <c r="K143" i="142"/>
  <c r="L143" i="142" s="1"/>
  <c r="H120" i="142"/>
  <c r="D118" i="142"/>
  <c r="E144" i="142"/>
  <c r="F144" i="142" s="1"/>
  <c r="K147" i="142"/>
  <c r="L147" i="142" s="1"/>
  <c r="H124" i="142"/>
  <c r="D117" i="142"/>
  <c r="E143" i="142"/>
  <c r="F143" i="142" s="1"/>
  <c r="D119" i="142"/>
  <c r="D122" i="142"/>
  <c r="H118" i="142"/>
  <c r="K141" i="142"/>
  <c r="L141" i="142" s="1"/>
  <c r="H121" i="142"/>
  <c r="K144" i="142"/>
  <c r="L144" i="142" s="1"/>
  <c r="H123" i="142"/>
  <c r="K146" i="142"/>
  <c r="L146" i="142" s="1"/>
  <c r="E141" i="142"/>
  <c r="F141" i="142" s="1"/>
  <c r="D124" i="142" l="1"/>
  <c r="D121" i="142"/>
  <c r="D123" i="142"/>
  <c r="D120" i="14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<sst xmlns="http://schemas.openxmlformats.org/spreadsheetml/2006/main" count="327" uniqueCount="192">
  <si>
    <t>Salmonella Standard Deviation</t>
  </si>
  <si>
    <t>Units</t>
  </si>
  <si>
    <t>Data Source</t>
  </si>
  <si>
    <t>CFU/g</t>
  </si>
  <si>
    <t>Constant</t>
  </si>
  <si>
    <t>g</t>
  </si>
  <si>
    <t>Numeric Value</t>
  </si>
  <si>
    <t>1 = yes, 0 = no</t>
  </si>
  <si>
    <t>Estimated</t>
  </si>
  <si>
    <t>WHO/FAO (2002)</t>
  </si>
  <si>
    <t>CFU</t>
  </si>
  <si>
    <t>CDC 2016, Lambertini  et al. (2019)</t>
  </si>
  <si>
    <t>Value</t>
  </si>
  <si>
    <t>Baseline Survey 2012 (Parts)</t>
  </si>
  <si>
    <t>Log CFU/g</t>
  </si>
  <si>
    <t>Williams &amp; Ebel at al. 2012</t>
  </si>
  <si>
    <t>Salmonella Levels- From Censored Data Fit</t>
  </si>
  <si>
    <t>Normal</t>
  </si>
  <si>
    <t>Log (g)</t>
  </si>
  <si>
    <t>Product Standard Module</t>
  </si>
  <si>
    <t>Calculated</t>
  </si>
  <si>
    <t>Are levels above microbial threshold?</t>
  </si>
  <si>
    <t>Baseline mean</t>
  </si>
  <si>
    <t>Baseline 95th</t>
  </si>
  <si>
    <t>Key Outputs</t>
  </si>
  <si>
    <t>Baseline 5th</t>
  </si>
  <si>
    <t>Hazard in Finished Product (Salmonella Level and Serotype)</t>
  </si>
  <si>
    <t>Type</t>
  </si>
  <si>
    <t>Salmonella Mean Level</t>
  </si>
  <si>
    <t>Salmonella Level in Serving</t>
  </si>
  <si>
    <t>Normal distribution</t>
  </si>
  <si>
    <t>Consumption Module</t>
  </si>
  <si>
    <t>Scaling factor, WHO/FAO</t>
  </si>
  <si>
    <t>Use scaling factor</t>
  </si>
  <si>
    <t>Probability of Illness based on Microbial Compliance</t>
  </si>
  <si>
    <t>Chicken parts model description</t>
  </si>
  <si>
    <t>No-Threshold-mean</t>
  </si>
  <si>
    <t>This is the overall baseline risk</t>
  </si>
  <si>
    <t>Written By Version</t>
  </si>
  <si>
    <t>8.1.1</t>
  </si>
  <si>
    <t>Serialization Major Version</t>
  </si>
  <si>
    <t>Serialization Minor Version</t>
  </si>
  <si>
    <t>Browse Record</t>
  </si>
  <si>
    <t>Display Mode</t>
  </si>
  <si>
    <t>Sens Graph Type</t>
  </si>
  <si>
    <t>Cond Sens Settings</t>
  </si>
  <si>
    <t>Scenario Settings</t>
  </si>
  <si>
    <t>Selected Scenario</t>
  </si>
  <si>
    <t>Distribution Options</t>
  </si>
  <si>
    <t>Distribution GS</t>
  </si>
  <si>
    <t>Distribution Curves</t>
  </si>
  <si>
    <t>Sens Tornado Options</t>
  </si>
  <si>
    <t>Sens Tornado GS</t>
  </si>
  <si>
    <t>Sens Tornado Curves</t>
  </si>
  <si>
    <t>Scen Tornado Options</t>
  </si>
  <si>
    <t>Scen Tornado GS</t>
  </si>
  <si>
    <t>Scen Tornado Curves</t>
  </si>
  <si>
    <t>Sens Spider Option</t>
  </si>
  <si>
    <t>Sens Spider GS</t>
  </si>
  <si>
    <t>Sens Spider Curves</t>
  </si>
  <si>
    <t>2,10,2,.95,5,16,FALSE,0,TRUE,TRUE,TRUE</t>
  </si>
  <si>
    <t>Mean amount of product consumed per day by an individual</t>
  </si>
  <si>
    <t>Standard Deviation of the amount of product consumed per day by an individual</t>
  </si>
  <si>
    <t>Portion Size consumed, in log g</t>
  </si>
  <si>
    <t>Portion Size consumed, in g</t>
  </si>
  <si>
    <t>ChangingCell</t>
  </si>
  <si>
    <t>GoalCell</t>
  </si>
  <si>
    <t>GoalValue</t>
  </si>
  <si>
    <t>GoalStatisticOldFormat</t>
  </si>
  <si>
    <t>ComparisonAccuracyPercent</t>
  </si>
  <si>
    <t>MaxNumSimulations</t>
  </si>
  <si>
    <t>VariationMinimum</t>
  </si>
  <si>
    <t>VariationMaximum</t>
  </si>
  <si>
    <t>VariationMinimumInf</t>
  </si>
  <si>
    <t>VariationMaximumInf</t>
  </si>
  <si>
    <t>AccuracyIsPercent</t>
  </si>
  <si>
    <t>GenerateSimulationForSolution</t>
  </si>
  <si>
    <t>GoalStatisticPercentile</t>
  </si>
  <si>
    <t>ComparisonAccuracyValue</t>
  </si>
  <si>
    <t>GoalStatistic</t>
  </si>
  <si>
    <t>RecommendedVersion</t>
  </si>
  <si>
    <t>RequiredVersion</t>
  </si>
  <si>
    <t>8.1.0</t>
  </si>
  <si>
    <t>0.0.0</t>
  </si>
  <si>
    <t>Overall Pr Ill</t>
  </si>
  <si>
    <t>NOTE. WHO/FAO assume everyone infected gets ill (Pill|inf=1); and uses same Beta-Poisson, just lists variables as alpha and beta</t>
  </si>
  <si>
    <t>should not need this</t>
  </si>
  <si>
    <t>KEY, because this is what matters</t>
  </si>
  <si>
    <t xml:space="preserve">WHO/FAO (2002) Alpha &amp; Beta </t>
  </si>
  <si>
    <t>Dose Response Module</t>
  </si>
  <si>
    <t>Salmonella Level in Serving from the distribution</t>
  </si>
  <si>
    <t>1=yes, 0=no</t>
  </si>
  <si>
    <t>GF1_rK0qDwEAEwANAQwjACcAPAB0AIgAiQCXAKUA5wAJAQMBKwD//wAAAAAAAAEEAAAAAAdHZW5lcmFsAAAAAS1BcmUgbGV2ZWxzIGFib3ZlIG1pY3JvYmlhbCB0aHJlc2hvbGQ/IC8gVmFsdWUBBVNpbSAyAQEQAAIAAQpTdGF0aXN0aWNzAwEBAP8BAQEBAQABAQEABAAAAAEBAQEBAAEBAQAEAAAAAakAAjoALUFyZSBsZXZlbHMgYWJvdmUgbWljcm9iaWFsIHRocmVzaG9sZD8gLyBWYWx1ZQAAAP/cFDwBAAACAAIA7wD5AAEBAwGamZmZmZmpPwAAZmZmZmZm7j8AAAUAAQEBAAEBAQA=</t>
  </si>
  <si>
    <t>Dose in one serving (raw product)</t>
  </si>
  <si>
    <t>Dose in one serving (calcuated above), unscaled</t>
  </si>
  <si>
    <t>GF1_rK0qDwEAEwDfAAwjACcAPQBeAHIAcwCBAI8AugDbANUAKwD//wAAAAAAAAEEAAAAAAgwLjAwRSswMAAAAAEWT3ZlcmFsbCBQciBJbGwgLyBWYWx1ZQEFU2ltIDEBARAAAgABClN0YXRpc3RpY3MDAQEA/wEBAQEBAAEBAQAEAAAAAQEBAQEAAQEBAAQAAAABkwACIwAWT3ZlcmFsbCBQciBJbGwgLyBWYWx1ZQAAAP/cFDwBAAACAAIAwgDMAAEBAwGamZmZmZmpPwAAAAAAAAAA8H8BBQABAQEAAQEBAA==</t>
  </si>
  <si>
    <t>Linear probability</t>
  </si>
  <si>
    <t>Log10 Probability</t>
  </si>
  <si>
    <t>Probability of illness calculated with no threshold (after scaling factor)</t>
  </si>
  <si>
    <t>Beta-poisson DR model</t>
  </si>
  <si>
    <t>Dose with scaling factor</t>
  </si>
  <si>
    <t>Salmonella Serotype - From Distributions in sampling data</t>
  </si>
  <si>
    <t>Serotype</t>
  </si>
  <si>
    <t>Probability</t>
  </si>
  <si>
    <t>Cummulative Probability</t>
  </si>
  <si>
    <t>Typhimurium</t>
  </si>
  <si>
    <t>HACCP 2015 - 2022 Parts</t>
  </si>
  <si>
    <t>Enteritidis</t>
  </si>
  <si>
    <t>Heidelberg</t>
  </si>
  <si>
    <t>4,[5],12:i:−</t>
  </si>
  <si>
    <t>Kentucky</t>
  </si>
  <si>
    <t>Infantis</t>
  </si>
  <si>
    <t>Other serotypes</t>
  </si>
  <si>
    <t>Serotype draw</t>
  </si>
  <si>
    <t>Serotype in serving</t>
  </si>
  <si>
    <t>Enteriditis</t>
  </si>
  <si>
    <t>Heidelbreg</t>
  </si>
  <si>
    <t>Level based standard</t>
  </si>
  <si>
    <t>Serotype based standard</t>
  </si>
  <si>
    <t>Serotype inclusion list</t>
  </si>
  <si>
    <t>Serotype exclusion list</t>
  </si>
  <si>
    <t>Is level above threshold AND from inclusion list subtype?</t>
  </si>
  <si>
    <t>Is serotype on Inclusion List</t>
  </si>
  <si>
    <t>Dose host exposed to (after scaling factor)</t>
  </si>
  <si>
    <t>Inclusion list &amp; level based MC dose</t>
  </si>
  <si>
    <t>GF1_rK0qDwEAEwCMAQwjACcAOQCzAMcAyADWAOQAaAGIAYIBKwD//wAAAAAAAAEEAAAAAAQwLjAwAAAAATlTYWxtb25lbGxhIExldmVsIGluIFNlcnZpbmcgZnJvbSB0aGUgZGlzdHJpYnV0aW9uIC8gVmFsdWUBO0NvbXBhcmlzb24gd2l0aCBSaXNrTm9ybWFsKC0zLjE5MTU5MTE3NiwxLjI4NTkyMTA4NikNClNpbSAxAQEQAAIAAQpTdGF0aXN0aWNzAwEBAP8BAQEBAQABAQEABAAAAAEBAQEBAAEBAQAEAAAAAusAAjUBAEYAOVNhbG1vbmVsbGEgTGV2ZWwgaW4gU2VydmluZyBmcm9tIHRoZSBkaXN0cmlidXRpb24gLyBWYWx1ZQAAAP8AAP8BAAACAAIAMQAkUmlza05vcm1hbCgtMy4xOTE1OTExNzYsMS4yODU5MjEwODYpAAEA/wAAAAEAAAIAcAF5AQEBAwEAAAAAAADw/wEAAAAAAADwPwEFAAEBAQABAQEA</t>
  </si>
  <si>
    <t>non-compliant</t>
  </si>
  <si>
    <t>HACCP</t>
  </si>
  <si>
    <t>Relative risk</t>
  </si>
  <si>
    <t>Proportion Kentucky&amp;over level threshold</t>
  </si>
  <si>
    <t>Is level above threshold AND from subtype not on exclusion list?</t>
  </si>
  <si>
    <t>Proportion not Kentucky&amp;over the level threshold</t>
  </si>
  <si>
    <t>Total Dose, unscaled</t>
  </si>
  <si>
    <t>Kentucky&amp; level over the threshold dose</t>
  </si>
  <si>
    <t>Serotype Kentucky &amp; level over the threshold</t>
  </si>
  <si>
    <t>Exclusion list(not-Kentucky) &amp; level over the threshold dose</t>
  </si>
  <si>
    <t>Serotype not Kentucky &amp; level over the threshold</t>
  </si>
  <si>
    <t xml:space="preserve">Proportion above threshold level </t>
  </si>
  <si>
    <t>Proportion above threshold level, and serotype on inclusion list</t>
  </si>
  <si>
    <t>Is level above threshold AND serotype Kentucky?</t>
  </si>
  <si>
    <t>Is serotype on Exclusion List(=Kentucky)?</t>
  </si>
  <si>
    <t>Level under the threshold</t>
  </si>
  <si>
    <t>Level over the threshold</t>
  </si>
  <si>
    <t>Inclusion list &amp; level over the threshold</t>
  </si>
  <si>
    <t>Result collection</t>
  </si>
  <si>
    <t>Level threshold</t>
  </si>
  <si>
    <t>average P ill</t>
  </si>
  <si>
    <t>Average p ill</t>
  </si>
  <si>
    <t>No. servings in US per year</t>
  </si>
  <si>
    <t>Dataset Baseline</t>
  </si>
  <si>
    <t>Dataset HACCP</t>
  </si>
  <si>
    <t>Anatum Alpha &amp; Beta from QMRA wiki</t>
  </si>
  <si>
    <t>https://qmrawiki.org/experiments/salmonella-anatum</t>
  </si>
  <si>
    <t>Alpha &amp; Beta for serotype in serving</t>
  </si>
  <si>
    <t>Loooking to Variability - Baseline no threshold</t>
  </si>
  <si>
    <t>Sim lookup</t>
  </si>
  <si>
    <t>Basic Stats From Simulations</t>
  </si>
  <si>
    <t>Max</t>
  </si>
  <si>
    <t>Min</t>
  </si>
  <si>
    <t xml:space="preserve">Range </t>
  </si>
  <si>
    <t>Mean</t>
  </si>
  <si>
    <t>St. Dev</t>
  </si>
  <si>
    <t>COV</t>
  </si>
  <si>
    <t>SF</t>
  </si>
  <si>
    <t>Mean Ill</t>
  </si>
  <si>
    <t>It 1</t>
  </si>
  <si>
    <t xml:space="preserve">It 2 </t>
  </si>
  <si>
    <t xml:space="preserve">It 3 </t>
  </si>
  <si>
    <t xml:space="preserve">It 4 </t>
  </si>
  <si>
    <t xml:space="preserve">It 5 </t>
  </si>
  <si>
    <t>It 6</t>
  </si>
  <si>
    <t>It 7</t>
  </si>
  <si>
    <t>It 8</t>
  </si>
  <si>
    <t>It 9</t>
  </si>
  <si>
    <t>It 10</t>
  </si>
  <si>
    <t>Under the threshold</t>
  </si>
  <si>
    <t>Over the threshold</t>
  </si>
  <si>
    <t>Key result for the result table</t>
  </si>
  <si>
    <t>Dataset</t>
  </si>
  <si>
    <t>Baseline P ill from HACCP dataset</t>
  </si>
  <si>
    <t>Baseline P ill from the baseline survey dataset</t>
  </si>
  <si>
    <t>Average no threshold P ill</t>
  </si>
  <si>
    <t xml:space="preserve">Predicted No. illnesses with simulated probability of illnesses </t>
  </si>
  <si>
    <t xml:space="preserve">Product characteristic </t>
  </si>
  <si>
    <t>Inclusion list&amp;over the level threshold</t>
  </si>
  <si>
    <t>Kentucky&amp;over the level threshold</t>
  </si>
  <si>
    <t>Not-Kentucky&amp;over the level threshold</t>
  </si>
  <si>
    <t>Proportion meeting the product characteristic</t>
  </si>
  <si>
    <t>No. of servings meeting the product characteristic</t>
  </si>
  <si>
    <t>illness proportion from the product characterized</t>
  </si>
  <si>
    <t>No illnesses predicted in a year (Baseline No. of illnesses)</t>
  </si>
  <si>
    <t>1 million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</si>
</sst>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0"/>
    <numFmt numFmtId="165" formatCode="0.000"/>
    <numFmt numFmtId="166" formatCode="0.0%"/>
    <numFmt numFmtId="167" formatCode="0.000%"/>
    <numFmt numFmtId="168" formatCode="_(* #,##0_);_(* \(#,##0\);_(* &quot;-&quot;??_);_(@_)"/>
    <numFmt numFmtId="169" formatCode="0.0000%"/>
  </numFmts>
  <fonts count="1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FC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3" fillId="7" borderId="3" applyNumberFormat="0" applyAlignment="0" applyProtection="0"/>
    <xf numFmtId="9" fontId="4" fillId="0" borderId="0" applyFont="0" applyFill="0" applyBorder="0" applyAlignment="0" applyProtection="0"/>
    <xf numFmtId="0" fontId="7" fillId="10" borderId="4" applyNumberFormat="0" applyAlignment="0" applyProtection="0"/>
    <xf numFmtId="0" fontId="11" fillId="19" borderId="0" applyNumberFormat="0" applyBorder="0" applyAlignment="0" applyProtection="0"/>
    <xf numFmtId="0" fontId="4" fillId="20" borderId="6" applyNumberFormat="0" applyFont="0" applyAlignment="0" applyProtection="0"/>
    <xf numFmtId="0" fontId="13" fillId="21" borderId="0" applyNumberFormat="0" applyBorder="0" applyAlignment="0" applyProtection="0"/>
    <xf numFmtId="43" fontId="4" fillId="0" borderId="0" applyFont="0" applyFill="0" applyBorder="0" applyAlignment="0" applyProtection="0"/>
    <xf numFmtId="0" fontId="14" fillId="22" borderId="0" applyNumberFormat="0" applyBorder="0" applyAlignment="0" applyProtection="0"/>
    <xf numFmtId="0" fontId="15" fillId="0" borderId="0" applyNumberFormat="0" applyFill="0" applyBorder="0" applyAlignment="0" applyProtection="0"/>
  </cellStyleXfs>
  <cellXfs count="126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6" borderId="0" xfId="0" applyFont="1" applyFill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/>
    </xf>
    <xf numFmtId="0" fontId="0" fillId="8" borderId="0" xfId="0" applyFill="1"/>
    <xf numFmtId="11" fontId="3" fillId="7" borderId="3" xfId="1" applyNumberFormat="1" applyAlignment="1">
      <alignment horizontal="center"/>
    </xf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3" fillId="7" borderId="3" xfId="1" applyAlignment="1">
      <alignment horizontal="center"/>
    </xf>
    <xf numFmtId="166" fontId="3" fillId="7" borderId="3" xfId="2" applyNumberFormat="1" applyFont="1" applyFill="1" applyBorder="1" applyAlignment="1">
      <alignment horizontal="center"/>
    </xf>
    <xf numFmtId="11" fontId="3" fillId="9" borderId="3" xfId="2" applyNumberFormat="1" applyFont="1" applyFill="1" applyBorder="1" applyAlignment="1">
      <alignment horizontal="center"/>
    </xf>
    <xf numFmtId="11" fontId="3" fillId="7" borderId="3" xfId="2" applyNumberFormat="1" applyFont="1" applyFill="1" applyBorder="1" applyAlignment="1">
      <alignment horizontal="center"/>
    </xf>
    <xf numFmtId="0" fontId="5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0" borderId="0" xfId="0" applyFont="1"/>
    <xf numFmtId="0" fontId="6" fillId="0" borderId="0" xfId="0" applyFont="1"/>
    <xf numFmtId="164" fontId="7" fillId="10" borderId="4" xfId="3" applyNumberFormat="1" applyAlignment="1">
      <alignment horizontal="center"/>
    </xf>
    <xf numFmtId="0" fontId="7" fillId="10" borderId="4" xfId="3" applyAlignment="1">
      <alignment horizontal="center"/>
    </xf>
    <xf numFmtId="0" fontId="0" fillId="3" borderId="0" xfId="0" applyFill="1"/>
    <xf numFmtId="0" fontId="2" fillId="8" borderId="2" xfId="0" applyFont="1" applyFill="1" applyBorder="1"/>
    <xf numFmtId="0" fontId="0" fillId="4" borderId="0" xfId="0" applyFill="1"/>
    <xf numFmtId="0" fontId="0" fillId="6" borderId="0" xfId="0" applyFill="1"/>
    <xf numFmtId="0" fontId="0" fillId="5" borderId="0" xfId="0" applyFill="1"/>
    <xf numFmtId="0" fontId="0" fillId="11" borderId="0" xfId="0" applyFill="1"/>
    <xf numFmtId="0" fontId="1" fillId="11" borderId="0" xfId="0" applyFont="1" applyFill="1"/>
    <xf numFmtId="0" fontId="2" fillId="11" borderId="0" xfId="0" applyFont="1" applyFill="1" applyAlignment="1">
      <alignment horizontal="center"/>
    </xf>
    <xf numFmtId="0" fontId="0" fillId="12" borderId="0" xfId="0" applyFill="1"/>
    <xf numFmtId="0" fontId="1" fillId="12" borderId="0" xfId="0" applyFont="1" applyFill="1"/>
    <xf numFmtId="0" fontId="2" fillId="12" borderId="0" xfId="0" applyFont="1" applyFill="1" applyAlignment="1">
      <alignment horizontal="center"/>
    </xf>
    <xf numFmtId="0" fontId="8" fillId="0" borderId="0" xfId="0" applyFont="1"/>
    <xf numFmtId="166" fontId="0" fillId="0" borderId="0" xfId="2" applyNumberFormat="1" applyFont="1" applyFill="1"/>
    <xf numFmtId="11" fontId="5" fillId="0" borderId="0" xfId="0" applyNumberFormat="1" applyFont="1"/>
    <xf numFmtId="0" fontId="0" fillId="0" borderId="0" xfId="0" applyAlignment="1">
      <alignment wrapText="1"/>
    </xf>
    <xf numFmtId="2" fontId="7" fillId="10" borderId="4" xfId="3" applyNumberFormat="1" applyAlignment="1">
      <alignment horizontal="center"/>
    </xf>
    <xf numFmtId="0" fontId="0" fillId="15" borderId="0" xfId="0" applyFill="1"/>
    <xf numFmtId="0" fontId="0" fillId="16" borderId="0" xfId="0" applyFill="1"/>
    <xf numFmtId="11" fontId="0" fillId="16" borderId="0" xfId="0" applyNumberFormat="1" applyFill="1" applyAlignment="1">
      <alignment horizontal="center"/>
    </xf>
    <xf numFmtId="0" fontId="0" fillId="17" borderId="0" xfId="0" applyFill="1"/>
    <xf numFmtId="11" fontId="0" fillId="17" borderId="0" xfId="0" applyNumberFormat="1" applyFill="1" applyAlignment="1">
      <alignment horizontal="center"/>
    </xf>
    <xf numFmtId="11" fontId="5" fillId="0" borderId="0" xfId="0" applyNumberFormat="1" applyFont="1" applyAlignment="1">
      <alignment horizontal="center"/>
    </xf>
    <xf numFmtId="0" fontId="0" fillId="18" borderId="0" xfId="0" applyFill="1"/>
    <xf numFmtId="0" fontId="0" fillId="14" borderId="0" xfId="0" applyFill="1"/>
    <xf numFmtId="9" fontId="0" fillId="0" borderId="0" xfId="2" applyFont="1" applyFill="1" applyBorder="1"/>
    <xf numFmtId="0" fontId="10" fillId="11" borderId="0" xfId="0" applyFont="1" applyFill="1"/>
    <xf numFmtId="2" fontId="3" fillId="7" borderId="3" xfId="1" applyNumberFormat="1"/>
    <xf numFmtId="2" fontId="3" fillId="9" borderId="3" xfId="1" applyNumberFormat="1" applyFill="1"/>
    <xf numFmtId="0" fontId="5" fillId="18" borderId="0" xfId="0" applyFont="1" applyFill="1"/>
    <xf numFmtId="0" fontId="5" fillId="15" borderId="0" xfId="0" applyFont="1" applyFill="1"/>
    <xf numFmtId="11" fontId="3" fillId="9" borderId="3" xfId="1" applyNumberFormat="1" applyFill="1" applyAlignment="1">
      <alignment horizontal="center"/>
    </xf>
    <xf numFmtId="11" fontId="3" fillId="12" borderId="3" xfId="1" applyNumberFormat="1" applyFill="1" applyAlignment="1">
      <alignment horizontal="center"/>
    </xf>
    <xf numFmtId="2" fontId="3" fillId="12" borderId="3" xfId="1" applyNumberFormat="1" applyFill="1"/>
    <xf numFmtId="0" fontId="1" fillId="11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0" fillId="0" borderId="0" xfId="0" applyFont="1"/>
    <xf numFmtId="9" fontId="7" fillId="10" borderId="4" xfId="3" applyNumberFormat="1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166" fontId="3" fillId="7" borderId="0" xfId="2" applyNumberFormat="1" applyFont="1" applyFill="1" applyBorder="1" applyAlignment="1">
      <alignment horizontal="center"/>
    </xf>
    <xf numFmtId="0" fontId="11" fillId="19" borderId="0" xfId="4" applyNumberFormat="1" applyAlignment="1">
      <alignment horizontal="center"/>
    </xf>
    <xf numFmtId="0" fontId="8" fillId="13" borderId="6" xfId="5" applyFont="1" applyFill="1"/>
    <xf numFmtId="0" fontId="2" fillId="13" borderId="6" xfId="5" applyFont="1" applyFill="1"/>
    <xf numFmtId="0" fontId="0" fillId="13" borderId="6" xfId="5" applyFont="1" applyFill="1"/>
    <xf numFmtId="0" fontId="8" fillId="17" borderId="6" xfId="5" applyFont="1" applyFill="1"/>
    <xf numFmtId="166" fontId="3" fillId="17" borderId="6" xfId="5" applyNumberFormat="1" applyFont="1" applyFill="1" applyAlignment="1">
      <alignment horizontal="center"/>
    </xf>
    <xf numFmtId="0" fontId="0" fillId="17" borderId="6" xfId="5" applyFont="1" applyFill="1"/>
    <xf numFmtId="0" fontId="12" fillId="17" borderId="0" xfId="0" applyFont="1" applyFill="1"/>
    <xf numFmtId="0" fontId="0" fillId="13" borderId="0" xfId="0" applyFill="1"/>
    <xf numFmtId="11" fontId="0" fillId="13" borderId="0" xfId="0" applyNumberFormat="1" applyFill="1" applyAlignment="1">
      <alignment horizontal="center"/>
    </xf>
    <xf numFmtId="2" fontId="3" fillId="7" borderId="7" xfId="2" applyNumberFormat="1" applyFont="1" applyFill="1" applyBorder="1" applyAlignment="1">
      <alignment horizontal="center"/>
    </xf>
    <xf numFmtId="167" fontId="3" fillId="14" borderId="5" xfId="2" applyNumberFormat="1" applyFont="1" applyFill="1" applyBorder="1" applyAlignment="1">
      <alignment horizontal="right"/>
    </xf>
    <xf numFmtId="0" fontId="13" fillId="21" borderId="0" xfId="6"/>
    <xf numFmtId="167" fontId="0" fillId="0" borderId="0" xfId="0" applyNumberFormat="1"/>
    <xf numFmtId="168" fontId="0" fillId="0" borderId="0" xfId="7" applyNumberFormat="1" applyFont="1"/>
    <xf numFmtId="43" fontId="0" fillId="0" borderId="0" xfId="0" applyNumberFormat="1"/>
    <xf numFmtId="9" fontId="0" fillId="0" borderId="0" xfId="2" applyFont="1"/>
    <xf numFmtId="169" fontId="0" fillId="0" borderId="0" xfId="2" applyNumberFormat="1" applyFont="1"/>
    <xf numFmtId="10" fontId="0" fillId="14" borderId="0" xfId="0" applyNumberFormat="1" applyFill="1"/>
    <xf numFmtId="11" fontId="0" fillId="14" borderId="0" xfId="0" applyNumberFormat="1" applyFill="1"/>
    <xf numFmtId="167" fontId="0" fillId="14" borderId="0" xfId="0" applyNumberFormat="1" applyFill="1"/>
    <xf numFmtId="43" fontId="0" fillId="14" borderId="0" xfId="0" applyNumberFormat="1" applyFill="1"/>
    <xf numFmtId="0" fontId="0" fillId="23" borderId="0" xfId="0" applyFill="1"/>
    <xf numFmtId="167" fontId="0" fillId="23" borderId="0" xfId="0" applyNumberFormat="1" applyFill="1"/>
    <xf numFmtId="0" fontId="14" fillId="22" borderId="0" xfId="8"/>
    <xf numFmtId="2" fontId="0" fillId="0" borderId="0" xfId="0" applyNumberFormat="1"/>
    <xf numFmtId="0" fontId="15" fillId="0" borderId="0" xfId="9"/>
    <xf numFmtId="10" fontId="0" fillId="0" borderId="0" xfId="2" applyNumberFormat="1" applyFont="1"/>
    <xf numFmtId="11" fontId="0" fillId="0" borderId="0" xfId="0" applyNumberFormat="1" applyAlignment="1">
      <alignment wrapText="1"/>
    </xf>
    <xf numFmtId="0" fontId="5" fillId="0" borderId="5" xfId="0" applyFont="1" applyBorder="1"/>
    <xf numFmtId="11" fontId="5" fillId="13" borderId="5" xfId="0" applyNumberFormat="1" applyFont="1" applyFill="1" applyBorder="1"/>
    <xf numFmtId="0" fontId="5" fillId="13" borderId="5" xfId="0" applyFont="1" applyFill="1" applyBorder="1"/>
    <xf numFmtId="9" fontId="5" fillId="8" borderId="0" xfId="2" applyFont="1" applyFill="1"/>
    <xf numFmtId="0" fontId="5" fillId="8" borderId="0" xfId="0" applyFont="1" applyFill="1"/>
    <xf numFmtId="0" fontId="0" fillId="0" borderId="8" xfId="0" applyBorder="1" applyAlignment="1">
      <alignment wrapText="1"/>
    </xf>
    <xf numFmtId="11" fontId="0" fillId="0" borderId="9" xfId="0" applyNumberFormat="1" applyBorder="1"/>
    <xf numFmtId="11" fontId="0" fillId="3" borderId="9" xfId="0" applyNumberFormat="1" applyFill="1" applyBorder="1"/>
    <xf numFmtId="0" fontId="0" fillId="24" borderId="10" xfId="0" applyFill="1" applyBorder="1"/>
    <xf numFmtId="0" fontId="0" fillId="0" borderId="11" xfId="0" applyBorder="1"/>
    <xf numFmtId="11" fontId="0" fillId="0" borderId="12" xfId="0" applyNumberFormat="1" applyBorder="1"/>
    <xf numFmtId="11" fontId="16" fillId="0" borderId="12" xfId="0" applyNumberFormat="1" applyFont="1" applyBorder="1"/>
    <xf numFmtId="9" fontId="0" fillId="0" borderId="13" xfId="2" applyFont="1" applyBorder="1"/>
    <xf numFmtId="0" fontId="0" fillId="0" borderId="14" xfId="0" applyBorder="1"/>
    <xf numFmtId="11" fontId="16" fillId="0" borderId="5" xfId="0" applyNumberFormat="1" applyFont="1" applyBorder="1"/>
    <xf numFmtId="9" fontId="0" fillId="0" borderId="15" xfId="2" applyFont="1" applyBorder="1"/>
    <xf numFmtId="0" fontId="0" fillId="0" borderId="16" xfId="0" applyBorder="1"/>
    <xf numFmtId="11" fontId="16" fillId="0" borderId="17" xfId="0" applyNumberFormat="1" applyFont="1" applyBorder="1"/>
    <xf numFmtId="9" fontId="0" fillId="0" borderId="18" xfId="2" applyFont="1" applyBorder="1"/>
    <xf numFmtId="10" fontId="0" fillId="0" borderId="0" xfId="0" applyNumberFormat="1"/>
    <xf numFmtId="169" fontId="5" fillId="14" borderId="0" xfId="2" applyNumberFormat="1" applyFont="1" applyFill="1"/>
    <xf numFmtId="169" fontId="5" fillId="0" borderId="0" xfId="2" applyNumberFormat="1" applyFont="1"/>
    <xf numFmtId="9" fontId="5" fillId="14" borderId="0" xfId="2" applyFont="1" applyFill="1"/>
    <xf numFmtId="9" fontId="5" fillId="0" borderId="0" xfId="2" applyFont="1"/>
    <xf numFmtId="9" fontId="5" fillId="23" borderId="0" xfId="2" applyFont="1" applyFill="1"/>
    <xf numFmtId="167" fontId="5" fillId="0" borderId="0" xfId="2" applyNumberFormat="1" applyFont="1"/>
    <xf numFmtId="0" fontId="0" fillId="14" borderId="5" xfId="0" applyFill="1" applyBorder="1"/>
    <xf numFmtId="11" fontId="0" fillId="0" borderId="19" xfId="0" applyNumberFormat="1" applyBorder="1"/>
    <xf numFmtId="0" fontId="0" fillId="0" borderId="2" xfId="0" applyBorder="1" applyAlignment="1">
      <alignment horizontal="center"/>
    </xf>
  </cellXfs>
  <cellStyles count="10">
    <cellStyle name="Bad" xfId="6" builtinId="27"/>
    <cellStyle name="Comma" xfId="7" builtinId="3"/>
    <cellStyle name="Good" xfId="4" builtinId="26"/>
    <cellStyle name="Hyperlink" xfId="9" builtinId="8"/>
    <cellStyle name="Input" xfId="3" builtinId="20"/>
    <cellStyle name="Neutral" xfId="8" builtinId="28"/>
    <cellStyle name="Normal" xfId="0" builtinId="0"/>
    <cellStyle name="Note" xfId="5" builtinId="10"/>
    <cellStyle name="Output" xfId="1" builtinId="21"/>
    <cellStyle name="Percent" xfId="2" builtinId="5"/>
  </cellStyles>
  <dxfs count="0"/>
  <tableStyles count="0" defaultTableStyle="TableStyleMedium2" defaultPivotStyle="PivotStyleLight16"/>
  <colors>
    <mruColors>
      <color rgb="FFFF7DBE"/>
      <color rgb="FFFF9FCF"/>
      <color rgb="FFFF3399"/>
      <color rgb="FFFFC9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mrawiki.org/experiments/salmonella-anat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9EB3-D9C3-45A9-A96B-81D46CB947DC}">
  <sheetPr codeName="Sheet1"/>
  <dimension ref="A1:Q2"/>
  <sheetViews>
    <sheetView workbookViewId="0"/>
  </sheetViews>
  <sheetFormatPr defaultRowHeight="15" x14ac:dyDescent="0.25"/>
  <sheetData>
    <row r="1" spans="1:17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</row>
    <row r="2" spans="1:17" x14ac:dyDescent="0.25">
      <c r="A2" t="e">
        <f>'Chicken Parts'!#REF!</f>
        <v>#REF!</v>
      </c>
      <c r="B2" t="e">
        <f>'Chicken Parts'!#REF!</f>
        <v>#REF!</v>
      </c>
      <c r="C2">
        <v>3.0000000000000001E-6</v>
      </c>
      <c r="D2">
        <v>3</v>
      </c>
      <c r="E2">
        <v>0.01</v>
      </c>
      <c r="F2">
        <v>10</v>
      </c>
      <c r="I2" t="b">
        <v>1</v>
      </c>
      <c r="J2" t="b">
        <v>1</v>
      </c>
      <c r="K2" t="b">
        <v>1</v>
      </c>
      <c r="L2" t="b">
        <v>1</v>
      </c>
      <c r="M2">
        <v>0.5</v>
      </c>
      <c r="O2">
        <v>2</v>
      </c>
      <c r="P2" t="s">
        <v>82</v>
      </c>
      <c r="Q2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4A8E-92A5-439C-8B23-30DA55A429C3}">
  <dimension ref="A1:X9"/>
  <sheetViews>
    <sheetView workbookViewId="0"/>
  </sheetViews>
  <sheetFormatPr defaultColWidth="25.7109375" defaultRowHeight="15" x14ac:dyDescent="0.25"/>
  <sheetData>
    <row r="1" spans="1:24" x14ac:dyDescent="0.25">
      <c r="A1" t="s">
        <v>38</v>
      </c>
      <c r="B1" t="s">
        <v>39</v>
      </c>
    </row>
    <row r="2" spans="1:24" x14ac:dyDescent="0.25">
      <c r="A2" t="s">
        <v>40</v>
      </c>
      <c r="B2">
        <v>4</v>
      </c>
    </row>
    <row r="3" spans="1:24" x14ac:dyDescent="0.25">
      <c r="A3" t="s">
        <v>41</v>
      </c>
      <c r="B3">
        <v>0</v>
      </c>
    </row>
    <row r="5" spans="1:24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J5" t="s">
        <v>48</v>
      </c>
      <c r="K5" t="s">
        <v>49</v>
      </c>
      <c r="L5" t="s">
        <v>50</v>
      </c>
      <c r="N5" t="s">
        <v>51</v>
      </c>
      <c r="O5" t="s">
        <v>52</v>
      </c>
      <c r="P5" t="s">
        <v>53</v>
      </c>
      <c r="R5" t="s">
        <v>54</v>
      </c>
      <c r="S5" t="s">
        <v>55</v>
      </c>
      <c r="T5" t="s">
        <v>56</v>
      </c>
      <c r="V5" t="s">
        <v>57</v>
      </c>
      <c r="W5" t="s">
        <v>58</v>
      </c>
      <c r="X5" t="s">
        <v>59</v>
      </c>
    </row>
    <row r="6" spans="1:24" x14ac:dyDescent="0.25">
      <c r="A6" t="e">
        <f ca="1">ModelRef('Chicken Parts'!#REF!,2,0,0)</f>
        <v>#NAME?</v>
      </c>
      <c r="B6">
        <v>0</v>
      </c>
      <c r="C6">
        <v>3</v>
      </c>
      <c r="F6">
        <v>0</v>
      </c>
      <c r="J6" t="b">
        <v>1</v>
      </c>
      <c r="K6" t="s">
        <v>125</v>
      </c>
      <c r="L6" t="e">
        <f ca="1">ModelRef('Chicken Parts'!#REF!,2,0,0)+ModelRef('Chicken Parts'!#REF!,3,0,-1)</f>
        <v>#NAME?</v>
      </c>
    </row>
    <row r="7" spans="1:24" x14ac:dyDescent="0.25">
      <c r="A7" t="e">
        <f ca="1">ModelRef('Chicken Parts'!#REF!,1,0,0)</f>
        <v>#NAME?</v>
      </c>
      <c r="B7">
        <v>0</v>
      </c>
      <c r="C7">
        <v>3</v>
      </c>
      <c r="F7">
        <v>0</v>
      </c>
      <c r="J7" t="b">
        <v>1</v>
      </c>
      <c r="K7" t="s">
        <v>95</v>
      </c>
      <c r="L7" t="e">
        <f ca="1">ModelRef('Chicken Parts'!#REF!,1,0,0)</f>
        <v>#NAME?</v>
      </c>
    </row>
    <row r="8" spans="1:24" x14ac:dyDescent="0.25">
      <c r="A8" t="e">
        <f ca="1">ModelRef('Chicken Parts'!#REF!,1,0,1)</f>
        <v>#NAME?</v>
      </c>
      <c r="B8">
        <v>0</v>
      </c>
      <c r="C8">
        <v>3</v>
      </c>
      <c r="F8">
        <v>0</v>
      </c>
      <c r="J8" t="b">
        <v>1</v>
      </c>
      <c r="K8" t="s">
        <v>92</v>
      </c>
      <c r="L8" t="e">
        <f ca="1">ModelRef('Chicken Parts'!#REF!,1,0,1)</f>
        <v>#NAME?</v>
      </c>
    </row>
    <row r="9" spans="1:24" x14ac:dyDescent="0.25">
      <c r="A9" t="e">
        <f ca="1">ModelRef('Chicken Parts'!#REF!,1,0,0)</f>
        <v>#NAME?</v>
      </c>
      <c r="B9">
        <v>1</v>
      </c>
      <c r="C9">
        <v>2</v>
      </c>
      <c r="D9" t="s">
        <v>60</v>
      </c>
      <c r="F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58D5-F0F7-484E-B28C-C52153F954FC}">
  <sheetPr codeName="Sheet3"/>
  <dimension ref="A1:R212"/>
  <sheetViews>
    <sheetView tabSelected="1" topLeftCell="A173" zoomScale="85" zoomScaleNormal="85" zoomScaleSheetLayoutView="40" zoomScalePageLayoutView="10" workbookViewId="0">
      <selection activeCell="C197" sqref="C197"/>
    </sheetView>
  </sheetViews>
  <sheetFormatPr defaultRowHeight="15" x14ac:dyDescent="0.25"/>
  <cols>
    <col min="1" max="1" width="73.5703125" bestFit="1" customWidth="1"/>
    <col min="2" max="2" width="31.42578125" bestFit="1" customWidth="1"/>
    <col min="3" max="3" width="29" bestFit="1" customWidth="1"/>
    <col min="4" max="4" width="23.7109375" customWidth="1"/>
    <col min="5" max="5" width="10.140625" customWidth="1"/>
    <col min="6" max="7" width="9.140625" customWidth="1"/>
    <col min="8" max="8" width="13.42578125" customWidth="1"/>
    <col min="9" max="9" width="21.140625" bestFit="1" customWidth="1"/>
    <col min="10" max="10" width="18.7109375" customWidth="1"/>
    <col min="11" max="11" width="11.140625" customWidth="1"/>
    <col min="12" max="12" width="11.42578125" customWidth="1"/>
    <col min="13" max="13" width="46.140625" customWidth="1"/>
    <col min="14" max="14" width="18.7109375" bestFit="1" customWidth="1"/>
    <col min="15" max="15" width="49.28515625" customWidth="1"/>
    <col min="16" max="16" width="12.85546875" bestFit="1" customWidth="1"/>
    <col min="19" max="19" width="12.85546875" bestFit="1" customWidth="1"/>
    <col min="22" max="22" width="12.85546875" bestFit="1" customWidth="1"/>
    <col min="25" max="25" width="80.28515625" bestFit="1" customWidth="1"/>
    <col min="26" max="26" width="18.7109375" bestFit="1" customWidth="1"/>
    <col min="27" max="27" width="29.5703125" bestFit="1" customWidth="1"/>
    <col min="28" max="28" width="12.85546875" bestFit="1" customWidth="1"/>
    <col min="31" max="31" width="12.85546875" bestFit="1" customWidth="1"/>
    <col min="34" max="34" width="12.85546875" bestFit="1" customWidth="1"/>
    <col min="38" max="38" width="18.7109375" bestFit="1" customWidth="1"/>
    <col min="50" max="50" width="22.85546875" customWidth="1"/>
    <col min="61" max="61" width="73.5703125" bestFit="1" customWidth="1"/>
    <col min="62" max="62" width="32" customWidth="1"/>
    <col min="63" max="63" width="29" bestFit="1" customWidth="1"/>
  </cols>
  <sheetData>
    <row r="1" spans="1:11" x14ac:dyDescent="0.25">
      <c r="A1" s="6"/>
      <c r="D1" s="125"/>
      <c r="E1" s="125"/>
    </row>
    <row r="2" spans="1:11" ht="18.75" x14ac:dyDescent="0.3">
      <c r="A2" s="39"/>
      <c r="B2" s="24"/>
      <c r="C2" s="24"/>
      <c r="D2" s="24"/>
    </row>
    <row r="3" spans="1:11" x14ac:dyDescent="0.25">
      <c r="A3" s="92" t="s">
        <v>127</v>
      </c>
      <c r="B3" s="92"/>
      <c r="C3" s="92"/>
      <c r="D3" s="92"/>
      <c r="E3" s="92"/>
      <c r="F3" s="92"/>
      <c r="G3" s="92"/>
      <c r="H3" s="92"/>
      <c r="I3" s="92"/>
      <c r="J3" s="92"/>
      <c r="K3" s="92"/>
    </row>
    <row r="4" spans="1:11" ht="15.75" x14ac:dyDescent="0.25">
      <c r="A4" s="5" t="s">
        <v>35</v>
      </c>
      <c r="B4" s="13" t="s">
        <v>12</v>
      </c>
      <c r="C4" s="5" t="s">
        <v>1</v>
      </c>
      <c r="D4" s="5" t="s">
        <v>27</v>
      </c>
      <c r="E4" s="5" t="s">
        <v>2</v>
      </c>
      <c r="F4" s="4"/>
      <c r="G4" s="4"/>
      <c r="H4" s="4"/>
    </row>
    <row r="5" spans="1:11" ht="18.75" x14ac:dyDescent="0.3">
      <c r="A5" s="29" t="s">
        <v>26</v>
      </c>
      <c r="B5" s="29"/>
      <c r="C5" s="29"/>
      <c r="D5" s="29"/>
      <c r="E5" s="29"/>
      <c r="F5" s="9"/>
      <c r="G5" s="9"/>
      <c r="H5" s="9"/>
      <c r="I5" s="9"/>
      <c r="J5" s="9"/>
      <c r="K5" s="9"/>
    </row>
    <row r="6" spans="1:11" ht="15.75" x14ac:dyDescent="0.25">
      <c r="A6" s="1" t="s">
        <v>16</v>
      </c>
      <c r="B6" s="12"/>
      <c r="C6" s="1"/>
      <c r="D6" s="1"/>
      <c r="E6" s="1"/>
      <c r="F6" s="2"/>
      <c r="G6" s="2"/>
      <c r="H6" s="2"/>
      <c r="I6" s="2"/>
      <c r="J6" s="2"/>
      <c r="K6" s="2"/>
    </row>
    <row r="7" spans="1:11" x14ac:dyDescent="0.25">
      <c r="A7" t="s">
        <v>28</v>
      </c>
      <c r="B7" s="43">
        <v>-4.8499999999999996</v>
      </c>
      <c r="C7" t="s">
        <v>14</v>
      </c>
      <c r="D7" t="s">
        <v>4</v>
      </c>
      <c r="E7" t="s">
        <v>13</v>
      </c>
    </row>
    <row r="8" spans="1:11" x14ac:dyDescent="0.25">
      <c r="A8" t="s">
        <v>0</v>
      </c>
      <c r="B8" s="43">
        <v>2.44</v>
      </c>
      <c r="C8" t="s">
        <v>14</v>
      </c>
      <c r="D8" t="s">
        <v>4</v>
      </c>
      <c r="E8" t="s">
        <v>13</v>
      </c>
    </row>
    <row r="9" spans="1:11" x14ac:dyDescent="0.25">
      <c r="A9" t="s">
        <v>90</v>
      </c>
      <c r="B9" s="14" t="e" cm="1">
        <f t="array" aca="1" ref="B9" ca="1">_xll.RiskNormal(B7,B8)</f>
        <v>#NAME?</v>
      </c>
      <c r="C9" t="s">
        <v>14</v>
      </c>
      <c r="D9" t="s">
        <v>30</v>
      </c>
      <c r="E9" t="s">
        <v>15</v>
      </c>
    </row>
    <row r="10" spans="1:11" ht="15.75" x14ac:dyDescent="0.25">
      <c r="A10" s="1" t="s">
        <v>101</v>
      </c>
      <c r="B10" s="62"/>
      <c r="C10" s="2"/>
      <c r="D10" s="2"/>
      <c r="E10" s="2"/>
      <c r="F10" s="2"/>
      <c r="G10" s="2"/>
      <c r="H10" s="2"/>
      <c r="I10" s="2"/>
      <c r="J10" s="2"/>
      <c r="K10" s="2"/>
    </row>
    <row r="11" spans="1:11" ht="15.75" x14ac:dyDescent="0.25">
      <c r="A11" s="63" t="s">
        <v>102</v>
      </c>
      <c r="B11" s="6" t="s">
        <v>103</v>
      </c>
      <c r="C11" t="s">
        <v>104</v>
      </c>
    </row>
    <row r="12" spans="1:11" x14ac:dyDescent="0.25">
      <c r="A12" t="s">
        <v>105</v>
      </c>
      <c r="B12" s="64">
        <v>8.5099999999999995E-2</v>
      </c>
      <c r="C12" s="65">
        <f>SUM(B12:B12)</f>
        <v>8.5099999999999995E-2</v>
      </c>
      <c r="D12" t="s">
        <v>4</v>
      </c>
      <c r="E12" t="s">
        <v>106</v>
      </c>
      <c r="I12" t="s">
        <v>105</v>
      </c>
    </row>
    <row r="13" spans="1:11" x14ac:dyDescent="0.25">
      <c r="A13" t="s">
        <v>107</v>
      </c>
      <c r="B13" s="64">
        <v>0.24</v>
      </c>
      <c r="C13" s="65">
        <f>SUM(B12:B13)</f>
        <v>0.3251</v>
      </c>
      <c r="D13" t="s">
        <v>4</v>
      </c>
      <c r="E13" t="s">
        <v>106</v>
      </c>
      <c r="I13" t="s">
        <v>115</v>
      </c>
    </row>
    <row r="14" spans="1:11" x14ac:dyDescent="0.25">
      <c r="A14" t="s">
        <v>108</v>
      </c>
      <c r="B14" s="64">
        <v>2.98E-2</v>
      </c>
      <c r="C14" s="65">
        <f>SUM(B12:B14)</f>
        <v>0.35489999999999999</v>
      </c>
      <c r="D14" t="s">
        <v>4</v>
      </c>
      <c r="E14" t="s">
        <v>106</v>
      </c>
      <c r="I14" t="s">
        <v>116</v>
      </c>
    </row>
    <row r="15" spans="1:11" x14ac:dyDescent="0.25">
      <c r="A15" t="s">
        <v>109</v>
      </c>
      <c r="B15" s="64">
        <v>8.3400000000000002E-3</v>
      </c>
      <c r="C15" s="65">
        <f>SUM(B12:B15)</f>
        <v>0.36324000000000001</v>
      </c>
      <c r="D15" t="s">
        <v>4</v>
      </c>
      <c r="E15" t="s">
        <v>106</v>
      </c>
      <c r="I15" t="s">
        <v>109</v>
      </c>
    </row>
    <row r="16" spans="1:11" x14ac:dyDescent="0.25">
      <c r="A16" t="s">
        <v>110</v>
      </c>
      <c r="B16" s="64">
        <v>0.29199999999999998</v>
      </c>
      <c r="C16" s="65">
        <f>SUM(B12:B16)</f>
        <v>0.65524000000000004</v>
      </c>
      <c r="D16" t="s">
        <v>4</v>
      </c>
      <c r="E16" t="s">
        <v>106</v>
      </c>
      <c r="I16" t="s">
        <v>110</v>
      </c>
    </row>
    <row r="17" spans="1:11" x14ac:dyDescent="0.25">
      <c r="A17" t="s">
        <v>111</v>
      </c>
      <c r="B17" s="64">
        <v>0.187</v>
      </c>
      <c r="C17" s="65">
        <f>SUM(B12:B17)</f>
        <v>0.8422400000000001</v>
      </c>
      <c r="D17" t="s">
        <v>4</v>
      </c>
      <c r="E17" t="s">
        <v>106</v>
      </c>
      <c r="I17" t="s">
        <v>111</v>
      </c>
    </row>
    <row r="18" spans="1:11" x14ac:dyDescent="0.25">
      <c r="A18" t="s">
        <v>112</v>
      </c>
      <c r="B18" s="64">
        <f>1-(SUM(B12:B17))</f>
        <v>0.1577599999999999</v>
      </c>
      <c r="C18" s="65">
        <f>SUM(B12:B18)</f>
        <v>1</v>
      </c>
      <c r="D18" t="s">
        <v>4</v>
      </c>
      <c r="E18" t="s">
        <v>106</v>
      </c>
      <c r="I18" t="s">
        <v>112</v>
      </c>
    </row>
    <row r="19" spans="1:11" x14ac:dyDescent="0.25">
      <c r="A19" t="s">
        <v>113</v>
      </c>
      <c r="B19" s="66">
        <f ca="1">RAND()</f>
        <v>0.65927120473915879</v>
      </c>
      <c r="C19" s="65"/>
    </row>
    <row r="20" spans="1:11" x14ac:dyDescent="0.25">
      <c r="A20" t="s">
        <v>114</v>
      </c>
      <c r="B20" s="6" t="str" cm="1">
        <f t="array" aca="1" ref="B20" ca="1">INDEX(A12:A18,COUNTIF(C12:C18,"&lt;="&amp;B19)+1)</f>
        <v>Infantis</v>
      </c>
      <c r="C20" t="s">
        <v>102</v>
      </c>
    </row>
    <row r="21" spans="1:11" ht="18" customHeight="1" x14ac:dyDescent="0.3">
      <c r="A21" s="21" t="s">
        <v>19</v>
      </c>
      <c r="B21" s="21"/>
      <c r="C21" s="21"/>
      <c r="D21" s="21"/>
      <c r="E21" s="21"/>
      <c r="F21" s="28"/>
      <c r="G21" s="28"/>
      <c r="H21" s="28"/>
      <c r="I21" s="28"/>
      <c r="J21" s="28"/>
      <c r="K21" s="28"/>
    </row>
    <row r="22" spans="1:11" ht="18" customHeight="1" x14ac:dyDescent="0.3">
      <c r="A22" s="69" t="s">
        <v>117</v>
      </c>
      <c r="B22" s="70"/>
      <c r="C22" s="70"/>
      <c r="D22" s="70"/>
      <c r="E22" s="70"/>
      <c r="F22" s="71"/>
      <c r="G22" s="71"/>
      <c r="H22" s="71"/>
      <c r="I22" s="71"/>
      <c r="J22" s="71"/>
      <c r="K22" s="71"/>
    </row>
    <row r="23" spans="1:11" x14ac:dyDescent="0.25">
      <c r="A23" t="s">
        <v>29</v>
      </c>
      <c r="B23" s="15" t="e">
        <f ca="1">10^(B9)</f>
        <v>#NAME?</v>
      </c>
      <c r="C23" t="s">
        <v>3</v>
      </c>
    </row>
    <row r="24" spans="1:11" x14ac:dyDescent="0.25">
      <c r="A24" s="25" t="s">
        <v>145</v>
      </c>
      <c r="B24" s="26">
        <f>1/30*(400/1814)</f>
        <v>7.3502388827636897E-3</v>
      </c>
      <c r="C24" t="s">
        <v>3</v>
      </c>
      <c r="D24" t="s">
        <v>4</v>
      </c>
    </row>
    <row r="25" spans="1:11" x14ac:dyDescent="0.25">
      <c r="A25" t="s">
        <v>21</v>
      </c>
      <c r="B25" s="16" t="e" cm="1">
        <f t="array" aca="1" ref="B25" ca="1">_xll.RiskOutput()+IF(B23&gt;B24,1,0)</f>
        <v>#NAME?</v>
      </c>
      <c r="C25" t="s">
        <v>7</v>
      </c>
      <c r="D25" t="s">
        <v>8</v>
      </c>
    </row>
    <row r="26" spans="1:11" x14ac:dyDescent="0.25">
      <c r="A26" t="s">
        <v>137</v>
      </c>
      <c r="B26" s="17" t="e" cm="1">
        <f t="array" aca="1" ref="B26" ca="1">_xll.RiskMean(B25)</f>
        <v>#NAME?</v>
      </c>
    </row>
    <row r="27" spans="1:11" ht="18.75" x14ac:dyDescent="0.3">
      <c r="A27" s="72" t="s">
        <v>118</v>
      </c>
      <c r="B27" s="73"/>
      <c r="C27" s="74"/>
      <c r="D27" s="74"/>
      <c r="E27" s="74"/>
      <c r="F27" s="74"/>
      <c r="G27" s="74"/>
      <c r="H27" s="74"/>
      <c r="I27" s="74"/>
      <c r="J27" s="74"/>
      <c r="K27" s="74"/>
    </row>
    <row r="28" spans="1:11" x14ac:dyDescent="0.25">
      <c r="A28" t="s">
        <v>119</v>
      </c>
      <c r="B28" s="67" t="s">
        <v>105</v>
      </c>
    </row>
    <row r="29" spans="1:11" x14ac:dyDescent="0.25">
      <c r="A29" t="s">
        <v>119</v>
      </c>
      <c r="B29" s="67" t="s">
        <v>107</v>
      </c>
    </row>
    <row r="30" spans="1:11" x14ac:dyDescent="0.25">
      <c r="A30" t="s">
        <v>119</v>
      </c>
      <c r="B30" s="67" t="s">
        <v>111</v>
      </c>
    </row>
    <row r="31" spans="1:11" x14ac:dyDescent="0.25">
      <c r="A31" t="s">
        <v>122</v>
      </c>
      <c r="B31" s="6">
        <f ca="1">IF(ISNUMBER(MATCH(B20,B28:B30,0)),1,0)</f>
        <v>1</v>
      </c>
      <c r="C31" t="s">
        <v>7</v>
      </c>
    </row>
    <row r="32" spans="1:11" x14ac:dyDescent="0.25">
      <c r="A32" t="s">
        <v>121</v>
      </c>
      <c r="B32" s="68" t="e">
        <f ca="1">B25*B31</f>
        <v>#NAME?</v>
      </c>
      <c r="C32" t="s">
        <v>7</v>
      </c>
    </row>
    <row r="33" spans="1:11" x14ac:dyDescent="0.25">
      <c r="A33" t="s">
        <v>138</v>
      </c>
      <c r="B33" s="17" t="e" cm="1">
        <f t="array" aca="1" ref="B33" ca="1">_xll.RiskMean(B32)</f>
        <v>#NAME?</v>
      </c>
    </row>
    <row r="34" spans="1:11" x14ac:dyDescent="0.25">
      <c r="A34" t="s">
        <v>120</v>
      </c>
      <c r="B34" s="67" t="s">
        <v>110</v>
      </c>
    </row>
    <row r="35" spans="1:11" x14ac:dyDescent="0.25">
      <c r="A35" t="s">
        <v>140</v>
      </c>
      <c r="B35" s="6">
        <f ca="1">IF(ISNUMBER(MATCH(B20,B34,0)),1,0)</f>
        <v>0</v>
      </c>
    </row>
    <row r="36" spans="1:11" x14ac:dyDescent="0.25">
      <c r="A36" t="s">
        <v>139</v>
      </c>
      <c r="B36" s="68" t="e">
        <f ca="1">B25*B35</f>
        <v>#NAME?</v>
      </c>
      <c r="C36" t="s">
        <v>7</v>
      </c>
    </row>
    <row r="37" spans="1:11" x14ac:dyDescent="0.25">
      <c r="A37" t="s">
        <v>129</v>
      </c>
      <c r="B37" s="17" t="e" cm="1">
        <f t="array" aca="1" ref="B37" ca="1">_xll.RiskMean(B36)</f>
        <v>#NAME?</v>
      </c>
    </row>
    <row r="38" spans="1:11" x14ac:dyDescent="0.25">
      <c r="A38" t="s">
        <v>130</v>
      </c>
      <c r="B38" s="68" t="e">
        <f ca="1">B25*ABS(B35-1)</f>
        <v>#NAME?</v>
      </c>
    </row>
    <row r="39" spans="1:11" x14ac:dyDescent="0.25">
      <c r="A39" t="s">
        <v>131</v>
      </c>
      <c r="B39" s="17" t="e" cm="1">
        <f t="array" aca="1" ref="B39" ca="1">_xll.RiskMean(B38)</f>
        <v>#NAME?</v>
      </c>
    </row>
    <row r="40" spans="1:11" ht="18.75" x14ac:dyDescent="0.3">
      <c r="A40" s="22" t="s">
        <v>31</v>
      </c>
      <c r="B40" s="22"/>
      <c r="C40" s="22"/>
      <c r="D40" s="22"/>
      <c r="E40" s="22"/>
      <c r="F40" s="30"/>
      <c r="G40" s="30"/>
      <c r="H40" s="30"/>
      <c r="I40" s="30"/>
      <c r="J40" s="30"/>
      <c r="K40" s="30"/>
    </row>
    <row r="41" spans="1:11" x14ac:dyDescent="0.25">
      <c r="A41" t="s">
        <v>61</v>
      </c>
      <c r="B41" s="27">
        <v>2.06</v>
      </c>
      <c r="C41" t="s">
        <v>18</v>
      </c>
      <c r="D41" t="s">
        <v>4</v>
      </c>
      <c r="E41" t="s">
        <v>11</v>
      </c>
    </row>
    <row r="42" spans="1:11" x14ac:dyDescent="0.25">
      <c r="A42" t="s">
        <v>62</v>
      </c>
      <c r="B42" s="27">
        <v>0.23</v>
      </c>
      <c r="C42" t="s">
        <v>18</v>
      </c>
      <c r="D42" t="s">
        <v>4</v>
      </c>
      <c r="E42" t="s">
        <v>11</v>
      </c>
    </row>
    <row r="43" spans="1:11" x14ac:dyDescent="0.25">
      <c r="A43" t="s">
        <v>63</v>
      </c>
      <c r="B43" s="14" t="e" cm="1">
        <f t="array" aca="1" ref="B43" ca="1">_xll.RiskNormal(B41,B42)</f>
        <v>#NAME?</v>
      </c>
      <c r="C43" t="s">
        <v>18</v>
      </c>
      <c r="D43" t="s">
        <v>17</v>
      </c>
      <c r="E43" t="s">
        <v>11</v>
      </c>
    </row>
    <row r="44" spans="1:11" x14ac:dyDescent="0.25">
      <c r="A44" t="s">
        <v>64</v>
      </c>
      <c r="B44" s="14" t="e">
        <f ca="1">10^(B43)</f>
        <v>#NAME?</v>
      </c>
      <c r="C44" t="s">
        <v>5</v>
      </c>
    </row>
    <row r="45" spans="1:11" ht="15.75" x14ac:dyDescent="0.25">
      <c r="A45" s="3" t="s">
        <v>132</v>
      </c>
      <c r="B45" s="11"/>
      <c r="C45" s="3"/>
      <c r="D45" s="3"/>
      <c r="E45" s="3"/>
      <c r="F45" s="31"/>
      <c r="G45" s="31"/>
      <c r="H45" s="31"/>
      <c r="I45" s="31"/>
      <c r="J45" s="31"/>
      <c r="K45" s="31"/>
    </row>
    <row r="46" spans="1:11" x14ac:dyDescent="0.25">
      <c r="A46" s="45" t="s">
        <v>93</v>
      </c>
      <c r="B46" s="46" t="e">
        <f ca="1">B23*B44</f>
        <v>#NAME?</v>
      </c>
      <c r="C46" s="45" t="s">
        <v>10</v>
      </c>
      <c r="D46" s="45" t="s">
        <v>6</v>
      </c>
    </row>
    <row r="47" spans="1:11" x14ac:dyDescent="0.25">
      <c r="A47" s="76" t="s">
        <v>141</v>
      </c>
      <c r="B47" s="77" t="e">
        <f ca="1">IF(B$25=1,NA(),B$46)</f>
        <v>#NAME?</v>
      </c>
      <c r="C47" s="76" t="s">
        <v>10</v>
      </c>
    </row>
    <row r="48" spans="1:11" x14ac:dyDescent="0.25">
      <c r="A48" s="76" t="s">
        <v>142</v>
      </c>
      <c r="B48" s="77" t="e">
        <f ca="1">IF(B$25=0,NA(),B$46)</f>
        <v>#NAME?</v>
      </c>
      <c r="C48" s="76" t="s">
        <v>10</v>
      </c>
    </row>
    <row r="49" spans="1:11" x14ac:dyDescent="0.25">
      <c r="A49" s="75" t="s">
        <v>124</v>
      </c>
      <c r="B49" s="48"/>
      <c r="C49" s="47"/>
    </row>
    <row r="50" spans="1:11" x14ac:dyDescent="0.25">
      <c r="A50" s="47" t="s">
        <v>143</v>
      </c>
      <c r="B50" s="48" t="e">
        <f ca="1">IF(B32=0,NA(),B46)</f>
        <v>#NAME?</v>
      </c>
      <c r="C50" s="47" t="s">
        <v>10</v>
      </c>
    </row>
    <row r="51" spans="1:11" x14ac:dyDescent="0.25">
      <c r="A51" s="75" t="s">
        <v>133</v>
      </c>
      <c r="B51" s="48"/>
      <c r="C51" s="47"/>
    </row>
    <row r="52" spans="1:11" x14ac:dyDescent="0.25">
      <c r="A52" s="47" t="s">
        <v>134</v>
      </c>
      <c r="B52" s="48" t="e">
        <f ca="1">IF(B36=1,B46,NA())</f>
        <v>#NAME?</v>
      </c>
      <c r="C52" s="47"/>
    </row>
    <row r="53" spans="1:11" x14ac:dyDescent="0.25">
      <c r="A53" s="75" t="s">
        <v>135</v>
      </c>
      <c r="B53" s="48"/>
      <c r="C53" s="47"/>
    </row>
    <row r="54" spans="1:11" x14ac:dyDescent="0.25">
      <c r="A54" s="47" t="s">
        <v>136</v>
      </c>
      <c r="B54" s="48" t="e">
        <f ca="1">IF(B38=0,NA(),B46)</f>
        <v>#NAME?</v>
      </c>
      <c r="C54" s="47" t="s">
        <v>10</v>
      </c>
    </row>
    <row r="55" spans="1:11" ht="18.75" x14ac:dyDescent="0.3">
      <c r="A55" s="23" t="s">
        <v>89</v>
      </c>
      <c r="B55" s="23"/>
      <c r="C55" s="23"/>
      <c r="D55" s="23"/>
      <c r="E55" s="23"/>
      <c r="F55" s="32"/>
      <c r="G55" s="32"/>
      <c r="H55" s="32"/>
      <c r="I55" s="32"/>
      <c r="J55" s="32"/>
      <c r="K55" s="32"/>
    </row>
    <row r="56" spans="1:11" x14ac:dyDescent="0.25">
      <c r="A56" t="s">
        <v>88</v>
      </c>
      <c r="B56" s="6">
        <v>0.13239999999999999</v>
      </c>
      <c r="C56">
        <v>51.45</v>
      </c>
      <c r="D56" t="s">
        <v>85</v>
      </c>
      <c r="E56" t="s">
        <v>9</v>
      </c>
    </row>
    <row r="57" spans="1:11" x14ac:dyDescent="0.25">
      <c r="A57" t="s">
        <v>151</v>
      </c>
      <c r="B57" s="6">
        <v>0.318</v>
      </c>
      <c r="C57" s="93">
        <v>4729.8999999999996</v>
      </c>
      <c r="D57" s="94" t="s">
        <v>152</v>
      </c>
    </row>
    <row r="58" spans="1:11" x14ac:dyDescent="0.25">
      <c r="A58" t="s">
        <v>153</v>
      </c>
      <c r="B58" s="6">
        <f ca="1">IF(B20="Kentucky",B57,B56)</f>
        <v>0.13239999999999999</v>
      </c>
      <c r="C58" s="6" t="e">
        <f ca="1">IF(B23="Kentucky",C57,C56)</f>
        <v>#NAME?</v>
      </c>
      <c r="D58" s="94"/>
    </row>
    <row r="59" spans="1:11" ht="18.75" x14ac:dyDescent="0.3">
      <c r="A59" s="34" t="s">
        <v>100</v>
      </c>
      <c r="B59" s="35"/>
      <c r="C59" s="35"/>
      <c r="D59" s="35"/>
      <c r="E59" s="35"/>
      <c r="F59" s="33"/>
      <c r="G59" s="33"/>
      <c r="H59" s="33"/>
      <c r="I59" s="33"/>
      <c r="J59" s="33"/>
      <c r="K59" s="33"/>
    </row>
    <row r="60" spans="1:11" x14ac:dyDescent="0.25">
      <c r="A60" t="s">
        <v>94</v>
      </c>
      <c r="B60" s="8" t="e">
        <f ca="1">B46</f>
        <v>#NAME?</v>
      </c>
      <c r="C60" t="s">
        <v>10</v>
      </c>
      <c r="D60" t="s">
        <v>6</v>
      </c>
      <c r="E60" t="s">
        <v>20</v>
      </c>
    </row>
    <row r="61" spans="1:11" x14ac:dyDescent="0.25">
      <c r="A61" t="s">
        <v>32</v>
      </c>
      <c r="B61" s="123">
        <v>3.2000000000000001E-7</v>
      </c>
      <c r="D61" t="s">
        <v>4</v>
      </c>
      <c r="E61" t="s">
        <v>20</v>
      </c>
      <c r="F61" s="25"/>
    </row>
    <row r="62" spans="1:11" x14ac:dyDescent="0.25">
      <c r="A62" t="s">
        <v>33</v>
      </c>
      <c r="B62">
        <v>1</v>
      </c>
      <c r="C62" t="s">
        <v>91</v>
      </c>
    </row>
    <row r="63" spans="1:11" x14ac:dyDescent="0.25">
      <c r="A63" s="20" t="s">
        <v>123</v>
      </c>
      <c r="B63" s="49" t="e">
        <f ca="1">IF(B62=1,B60*B61,B60)</f>
        <v>#NAME?</v>
      </c>
      <c r="C63" s="20" t="s">
        <v>10</v>
      </c>
      <c r="D63" t="s">
        <v>6</v>
      </c>
      <c r="E63" t="s">
        <v>20</v>
      </c>
    </row>
    <row r="64" spans="1:11" x14ac:dyDescent="0.25">
      <c r="A64" s="76" t="str">
        <f>A47&amp;" (after scaling factor)"</f>
        <v>Level under the threshold (after scaling factor)</v>
      </c>
      <c r="B64" s="77" t="e">
        <f ca="1">B47*B61</f>
        <v>#NAME?</v>
      </c>
      <c r="C64" s="76" t="s">
        <v>10</v>
      </c>
      <c r="D64" t="s">
        <v>86</v>
      </c>
      <c r="J64" s="7"/>
    </row>
    <row r="65" spans="1:11" x14ac:dyDescent="0.25">
      <c r="A65" s="76" t="str">
        <f>A48&amp;" (after scaling factor)"</f>
        <v>Level over the threshold (after scaling factor)</v>
      </c>
      <c r="B65" s="77" t="e">
        <f ca="1">B48*B61</f>
        <v>#NAME?</v>
      </c>
      <c r="C65" s="76" t="s">
        <v>10</v>
      </c>
    </row>
    <row r="66" spans="1:11" x14ac:dyDescent="0.25">
      <c r="A66" s="47" t="str">
        <f>A50&amp; " (after scaling factor)"</f>
        <v>Inclusion list &amp; level over the threshold (after scaling factor)</v>
      </c>
      <c r="B66" s="48" t="e">
        <f ca="1">B50*B$61</f>
        <v>#NAME?</v>
      </c>
      <c r="C66" s="47" t="s">
        <v>10</v>
      </c>
    </row>
    <row r="67" spans="1:11" x14ac:dyDescent="0.25">
      <c r="A67" s="47" t="str">
        <f>A52&amp; " (after scaling factor)"</f>
        <v>Serotype Kentucky &amp; level over the threshold (after scaling factor)</v>
      </c>
      <c r="B67" s="48" t="e">
        <f ca="1">B52*B$61</f>
        <v>#NAME?</v>
      </c>
      <c r="C67" s="47" t="s">
        <v>10</v>
      </c>
    </row>
    <row r="68" spans="1:11" x14ac:dyDescent="0.25">
      <c r="A68" s="47" t="str">
        <f>A54&amp; " (after scaling factor)"</f>
        <v>Serotype not Kentucky &amp; level over the threshold (after scaling factor)</v>
      </c>
      <c r="B68" s="48" t="e">
        <f ca="1">B54*B61</f>
        <v>#NAME?</v>
      </c>
      <c r="C68" s="47" t="s">
        <v>10</v>
      </c>
    </row>
    <row r="69" spans="1:11" ht="15.75" x14ac:dyDescent="0.25">
      <c r="A69" s="34" t="s">
        <v>98</v>
      </c>
      <c r="B69" s="61" t="s">
        <v>96</v>
      </c>
      <c r="C69" s="61" t="s">
        <v>97</v>
      </c>
      <c r="D69" s="53"/>
      <c r="E69" s="53"/>
      <c r="F69" s="53"/>
      <c r="G69" s="53"/>
      <c r="H69" s="53"/>
      <c r="I69" s="53"/>
      <c r="J69" s="53"/>
      <c r="K69" s="53"/>
    </row>
    <row r="70" spans="1:11" x14ac:dyDescent="0.25">
      <c r="A70" s="56" t="s">
        <v>84</v>
      </c>
      <c r="B70" s="59" t="e" cm="1">
        <f t="array" aca="1" ref="B70" ca="1">_xll.RiskOutput()+1-(1+(B63/C56))^(-B56)</f>
        <v>#NAME?</v>
      </c>
      <c r="C70" s="60" t="e" cm="1">
        <f t="array" aca="1" ref="C70" ca="1">_xll.RiskOutput()+LOG10(B70)</f>
        <v>#NAME?</v>
      </c>
      <c r="D70" t="s">
        <v>99</v>
      </c>
      <c r="E70" t="s">
        <v>20</v>
      </c>
      <c r="F70" s="20" t="s">
        <v>87</v>
      </c>
    </row>
    <row r="71" spans="1:11" x14ac:dyDescent="0.25">
      <c r="A71" s="57" t="s">
        <v>22</v>
      </c>
      <c r="B71" s="58" t="e" cm="1">
        <f t="array" aca="1" ref="B71" ca="1">_xll.RiskMean(B70)</f>
        <v>#NAME?</v>
      </c>
      <c r="C71" s="55" t="e" cm="1">
        <f t="array" aca="1" ref="C71" ca="1">_xll.RiskOutput()+LOG10(B71)</f>
        <v>#NAME?</v>
      </c>
      <c r="E71" s="20"/>
    </row>
    <row r="72" spans="1:11" x14ac:dyDescent="0.25">
      <c r="A72" s="44" t="s">
        <v>25</v>
      </c>
      <c r="B72" s="10" t="e" cm="1">
        <f t="array" aca="1" ref="B72" ca="1">_xll.RiskPercentile(B70,0.05)</f>
        <v>#NAME?</v>
      </c>
      <c r="C72" s="54" t="e" cm="1">
        <f t="array" aca="1" ref="C72" ca="1">_xll.RiskOutput()+LOG10(B72)</f>
        <v>#NAME?</v>
      </c>
    </row>
    <row r="73" spans="1:11" x14ac:dyDescent="0.25">
      <c r="A73" s="44" t="s">
        <v>23</v>
      </c>
      <c r="B73" s="10" t="e" cm="1">
        <f t="array" aca="1" ref="B73" ca="1">_xll.RiskPercentile(B70,0.95)</f>
        <v>#NAME?</v>
      </c>
      <c r="C73" s="54" t="e" cm="1">
        <f t="array" aca="1" ref="C73" ca="1">_xll.RiskOutput()+LOG10(B73)</f>
        <v>#NAME?</v>
      </c>
    </row>
    <row r="74" spans="1:11" ht="18.75" x14ac:dyDescent="0.3">
      <c r="A74" s="34" t="s">
        <v>34</v>
      </c>
      <c r="B74" s="61" t="s">
        <v>96</v>
      </c>
      <c r="C74" s="61" t="s">
        <v>97</v>
      </c>
      <c r="D74" s="35"/>
      <c r="E74" s="35"/>
      <c r="F74" s="33"/>
      <c r="G74" s="33"/>
      <c r="H74" s="33"/>
      <c r="I74" s="33"/>
      <c r="J74" s="33"/>
      <c r="K74" s="33"/>
    </row>
    <row r="75" spans="1:11" x14ac:dyDescent="0.25">
      <c r="A75" s="50" t="str">
        <f>"P(ill) from " &amp;A47</f>
        <v>P(ill) from Level under the threshold</v>
      </c>
      <c r="B75" s="59" t="e" cm="1">
        <f t="array" aca="1" ref="B75" ca="1">_xll.RiskOutput()+1-(1+(B$64/C$56))^(-B$56)</f>
        <v>#NAME?</v>
      </c>
      <c r="C75" s="60" t="e" cm="1">
        <f t="array" aca="1" ref="C75" ca="1">_xll.RiskOutput()+LOG10(B75)</f>
        <v>#NAME?</v>
      </c>
      <c r="E75" t="s">
        <v>20</v>
      </c>
    </row>
    <row r="76" spans="1:11" x14ac:dyDescent="0.25">
      <c r="A76" s="44" t="str">
        <f>A$75&amp; "-mean"</f>
        <v>P(ill) from Level under the threshold-mean</v>
      </c>
      <c r="B76" s="18" t="e" cm="1">
        <f t="array" aca="1" ref="B76" ca="1">_xll.RiskMean(B75)</f>
        <v>#NAME?</v>
      </c>
      <c r="C76" s="55" t="e" cm="1">
        <f t="array" aca="1" ref="C76" ca="1">_xll.RiskOutput()+LOG10(B76)</f>
        <v>#NAME?</v>
      </c>
    </row>
    <row r="77" spans="1:11" x14ac:dyDescent="0.25">
      <c r="A77" s="44" t="str">
        <f>A$75&amp; "-5th"</f>
        <v>P(ill) from Level under the threshold-5th</v>
      </c>
      <c r="B77" s="19" t="e" cm="1">
        <f t="array" aca="1" ref="B77" ca="1">_xll.RiskPercentile(B75,0.05)</f>
        <v>#NAME?</v>
      </c>
      <c r="C77" s="54" t="e" cm="1">
        <f t="array" aca="1" ref="C77" ca="1">_xll.RiskOutput()+LOG10(B77)</f>
        <v>#NAME?</v>
      </c>
    </row>
    <row r="78" spans="1:11" x14ac:dyDescent="0.25">
      <c r="A78" s="44" t="str">
        <f>A$75&amp; "-95th"</f>
        <v>P(ill) from Level under the threshold-95th</v>
      </c>
      <c r="B78" s="19" t="e" cm="1">
        <f t="array" aca="1" ref="B78" ca="1">_xll.RiskPercentile(B75,0.95)</f>
        <v>#NAME?</v>
      </c>
      <c r="C78" s="54" t="e" cm="1">
        <f t="array" aca="1" ref="C78" ca="1">_xll.RiskOutput()+LOG10(B78)</f>
        <v>#NAME?</v>
      </c>
    </row>
    <row r="79" spans="1:11" x14ac:dyDescent="0.25">
      <c r="A79" s="2" t="str">
        <f>"P(ill) from "&amp;A48</f>
        <v>P(ill) from Level over the threshold</v>
      </c>
      <c r="B79" s="59" t="e" cm="1">
        <f t="array" aca="1" ref="B79" ca="1">_xll.RiskOutput()+1-(1+(B$65/C$56))^(-B$56)</f>
        <v>#NAME?</v>
      </c>
      <c r="C79" s="60" t="e" cm="1">
        <f t="array" aca="1" ref="C79" ca="1">_xll.RiskOutput()+LOG10(B79)</f>
        <v>#NAME?</v>
      </c>
      <c r="E79" t="s">
        <v>20</v>
      </c>
    </row>
    <row r="80" spans="1:11" x14ac:dyDescent="0.25">
      <c r="A80" s="44" t="str">
        <f>A$79&amp;"-mean"</f>
        <v>P(ill) from Level over the threshold-mean</v>
      </c>
      <c r="B80" s="18" t="e" cm="1">
        <f t="array" aca="1" ref="B80" ca="1">_xll.RiskMean(B79)</f>
        <v>#NAME?</v>
      </c>
      <c r="C80" s="55" t="e" cm="1">
        <f t="array" aca="1" ref="C80" ca="1">_xll.RiskOutput()+LOG10(B80)</f>
        <v>#NAME?</v>
      </c>
    </row>
    <row r="81" spans="1:11" x14ac:dyDescent="0.25">
      <c r="A81" s="44" t="str">
        <f>A$79&amp;"-5th"</f>
        <v>P(ill) from Level over the threshold-5th</v>
      </c>
      <c r="B81" s="19" t="e" cm="1">
        <f t="array" aca="1" ref="B81" ca="1">_xll.RiskPercentile(B79,0.05)</f>
        <v>#NAME?</v>
      </c>
      <c r="C81" s="54" t="e" cm="1">
        <f t="array" aca="1" ref="C81" ca="1">_xll.RiskOutput()+LOG10(B81)</f>
        <v>#NAME?</v>
      </c>
    </row>
    <row r="82" spans="1:11" x14ac:dyDescent="0.25">
      <c r="A82" s="44" t="str">
        <f>A$79&amp;"-95th"</f>
        <v>P(ill) from Level over the threshold-95th</v>
      </c>
      <c r="B82" s="19" t="e" cm="1">
        <f t="array" aca="1" ref="B82" ca="1">_xll.RiskPercentile(B79,0.95)</f>
        <v>#NAME?</v>
      </c>
      <c r="C82" s="54" t="e" cm="1">
        <f t="array" aca="1" ref="C82" ca="1">_xll.RiskOutput()+LOG10(B82)</f>
        <v>#NAME?</v>
      </c>
    </row>
    <row r="83" spans="1:11" x14ac:dyDescent="0.25">
      <c r="A83" s="50" t="str">
        <f>"P(ill) from " &amp; A50</f>
        <v>P(ill) from Inclusion list &amp; level over the threshold</v>
      </c>
      <c r="B83" s="59" t="e" cm="1">
        <f t="array" aca="1" ref="B83" ca="1">_xll.RiskOutput()+1-(1+(B$66/C$56))^(-B$56)</f>
        <v>#NAME?</v>
      </c>
      <c r="C83" s="60" t="e" cm="1">
        <f t="array" aca="1" ref="C83" ca="1">_xll.RiskOutput()+LOG10(B83)</f>
        <v>#NAME?</v>
      </c>
      <c r="E83" t="s">
        <v>20</v>
      </c>
    </row>
    <row r="84" spans="1:11" x14ac:dyDescent="0.25">
      <c r="A84" s="44" t="str">
        <f>A$83&amp;" -mean"</f>
        <v>P(ill) from Inclusion list &amp; level over the threshold -mean</v>
      </c>
      <c r="B84" s="18" t="e" cm="1">
        <f t="array" aca="1" ref="B84" ca="1">_xll.RiskMean(B83)</f>
        <v>#NAME?</v>
      </c>
      <c r="C84" s="55" t="e" cm="1">
        <f t="array" aca="1" ref="C84" ca="1">_xll.RiskOutput()+LOG10(B84)</f>
        <v>#NAME?</v>
      </c>
    </row>
    <row r="85" spans="1:11" x14ac:dyDescent="0.25">
      <c r="A85" s="44" t="str">
        <f>A$83&amp;" -5th"</f>
        <v>P(ill) from Inclusion list &amp; level over the threshold -5th</v>
      </c>
      <c r="B85" s="19" t="e" cm="1">
        <f t="array" aca="1" ref="B85" ca="1">_xll.RiskPercentile(B83,0.05)</f>
        <v>#NAME?</v>
      </c>
      <c r="C85" s="54" t="e" cm="1">
        <f t="array" aca="1" ref="C85" ca="1">_xll.RiskOutput()+LOG10(B85)</f>
        <v>#NAME?</v>
      </c>
    </row>
    <row r="86" spans="1:11" x14ac:dyDescent="0.25">
      <c r="A86" s="44" t="str">
        <f>A$83&amp;" -95th"</f>
        <v>P(ill) from Inclusion list &amp; level over the threshold -95th</v>
      </c>
      <c r="B86" s="19" t="e" cm="1">
        <f t="array" aca="1" ref="B86" ca="1">_xll.RiskPercentile(B83,0.95)</f>
        <v>#NAME?</v>
      </c>
      <c r="C86" s="54" t="e" cm="1">
        <f t="array" aca="1" ref="C86" ca="1">_xll.RiskOutput()+LOG10(B86)</f>
        <v>#NAME?</v>
      </c>
    </row>
    <row r="87" spans="1:11" x14ac:dyDescent="0.25">
      <c r="A87" s="50" t="str">
        <f>"P(ill) from "&amp;A$52</f>
        <v>P(ill) from Serotype Kentucky &amp; level over the threshold</v>
      </c>
      <c r="B87" s="59" t="e" cm="1">
        <f t="array" aca="1" ref="B87" ca="1">_xll.RiskOutput()+1-(1+(B$67/C$56))^(-B$56)</f>
        <v>#NAME?</v>
      </c>
      <c r="C87" s="60" t="e" cm="1">
        <f t="array" aca="1" ref="C87" ca="1">_xll.RiskOutput()+LOG10(B87)</f>
        <v>#NAME?</v>
      </c>
      <c r="E87" t="s">
        <v>20</v>
      </c>
    </row>
    <row r="88" spans="1:11" x14ac:dyDescent="0.25">
      <c r="A88" s="44" t="str">
        <f>A$87&amp; " -mean"</f>
        <v>P(ill) from Serotype Kentucky &amp; level over the threshold -mean</v>
      </c>
      <c r="B88" s="18" t="e" cm="1">
        <f t="array" aca="1" ref="B88" ca="1">_xll.RiskMean(B87)</f>
        <v>#NAME?</v>
      </c>
      <c r="C88" s="55" t="e" cm="1">
        <f t="array" aca="1" ref="C88" ca="1">_xll.RiskOutput()+LOG10(B88)</f>
        <v>#NAME?</v>
      </c>
    </row>
    <row r="89" spans="1:11" x14ac:dyDescent="0.25">
      <c r="A89" s="44" t="str">
        <f>A$87&amp; " -5th"</f>
        <v>P(ill) from Serotype Kentucky &amp; level over the threshold -5th</v>
      </c>
      <c r="B89" s="19" t="e" cm="1">
        <f t="array" aca="1" ref="B89" ca="1">_xll.RiskPercentile(B87,0.05)</f>
        <v>#NAME?</v>
      </c>
      <c r="C89" s="54" t="e" cm="1">
        <f t="array" aca="1" ref="C89" ca="1">_xll.RiskOutput()+LOG10(B89)</f>
        <v>#NAME?</v>
      </c>
    </row>
    <row r="90" spans="1:11" x14ac:dyDescent="0.25">
      <c r="A90" s="44" t="str">
        <f>A$87&amp; " -95th"</f>
        <v>P(ill) from Serotype Kentucky &amp; level over the threshold -95th</v>
      </c>
      <c r="B90" s="19" t="e" cm="1">
        <f t="array" aca="1" ref="B90" ca="1">_xll.RiskPercentile(B87,0.95)</f>
        <v>#NAME?</v>
      </c>
      <c r="C90" s="54" t="e" cm="1">
        <f t="array" aca="1" ref="C90" ca="1">_xll.RiskOutput()+LOG10(B90)</f>
        <v>#NAME?</v>
      </c>
    </row>
    <row r="91" spans="1:11" x14ac:dyDescent="0.25">
      <c r="A91" s="50" t="str">
        <f>"P(ill) from "&amp;A$54</f>
        <v>P(ill) from Serotype not Kentucky &amp; level over the threshold</v>
      </c>
      <c r="B91" s="59" t="e" cm="1">
        <f t="array" aca="1" ref="B91" ca="1">_xll.RiskOutput()+1-(1+(B$68/C$56))^(-B$56)</f>
        <v>#NAME?</v>
      </c>
      <c r="C91" s="60" t="e" cm="1">
        <f t="array" aca="1" ref="C91" ca="1">_xll.RiskOutput()+LOG10(B91)</f>
        <v>#NAME?</v>
      </c>
      <c r="E91" t="s">
        <v>20</v>
      </c>
    </row>
    <row r="92" spans="1:11" x14ac:dyDescent="0.25">
      <c r="A92" s="44" t="str">
        <f>A$91&amp; " -mean"</f>
        <v>P(ill) from Serotype not Kentucky &amp; level over the threshold -mean</v>
      </c>
      <c r="B92" s="18" t="e" cm="1">
        <f t="array" aca="1" ref="B92" ca="1">_xll.RiskMean(B91)</f>
        <v>#NAME?</v>
      </c>
      <c r="C92" s="55" t="e" cm="1">
        <f t="array" aca="1" ref="C92" ca="1">_xll.RiskOutput()+LOG10(B92)</f>
        <v>#NAME?</v>
      </c>
    </row>
    <row r="93" spans="1:11" x14ac:dyDescent="0.25">
      <c r="A93" s="44" t="str">
        <f>A$91&amp; " -5th"</f>
        <v>P(ill) from Serotype not Kentucky &amp; level over the threshold -5th</v>
      </c>
      <c r="B93" s="19" t="e" cm="1">
        <f t="array" aca="1" ref="B93" ca="1">_xll.RiskPercentile(B91,0.05)</f>
        <v>#NAME?</v>
      </c>
      <c r="C93" s="54" t="e" cm="1">
        <f t="array" aca="1" ref="C93" ca="1">_xll.RiskOutput()+LOG10(B93)</f>
        <v>#NAME?</v>
      </c>
    </row>
    <row r="94" spans="1:11" x14ac:dyDescent="0.25">
      <c r="A94" s="44" t="str">
        <f>A$91&amp; " -95th"</f>
        <v>P(ill) from Serotype not Kentucky &amp; level over the threshold -95th</v>
      </c>
      <c r="B94" s="19" t="e" cm="1">
        <f t="array" aca="1" ref="B94" ca="1">_xll.RiskPercentile(B91,0.95)</f>
        <v>#NAME?</v>
      </c>
      <c r="C94" s="54" t="e" cm="1">
        <f t="array" aca="1" ref="C94" ca="1">_xll.RiskOutput()+LOG10(B94)</f>
        <v>#NAME?</v>
      </c>
    </row>
    <row r="95" spans="1:11" ht="18.75" x14ac:dyDescent="0.3">
      <c r="A95" s="37" t="s">
        <v>24</v>
      </c>
      <c r="B95" s="38"/>
      <c r="C95" s="38"/>
      <c r="D95" s="38"/>
      <c r="E95" s="38"/>
      <c r="F95" s="36"/>
      <c r="G95" s="36"/>
      <c r="H95" s="36"/>
      <c r="I95" s="36"/>
      <c r="J95" s="36"/>
      <c r="K95" s="36"/>
    </row>
    <row r="96" spans="1:11" x14ac:dyDescent="0.25">
      <c r="A96" s="41" t="s">
        <v>36</v>
      </c>
      <c r="B96" s="41" t="e">
        <f ca="1">B71</f>
        <v>#NAME?</v>
      </c>
      <c r="C96" t="s">
        <v>37</v>
      </c>
      <c r="D96" s="7"/>
    </row>
    <row r="97" spans="1:18" x14ac:dyDescent="0.25">
      <c r="A97" t="str">
        <f>A80</f>
        <v>P(ill) from Level over the threshold-mean</v>
      </c>
      <c r="B97" s="7" t="e">
        <f ca="1">B80</f>
        <v>#NAME?</v>
      </c>
    </row>
    <row r="98" spans="1:18" x14ac:dyDescent="0.25">
      <c r="A98" t="str">
        <f>A84</f>
        <v>P(ill) from Inclusion list &amp; level over the threshold -mean</v>
      </c>
      <c r="B98" s="7" t="e">
        <f ca="1">B84</f>
        <v>#NAME?</v>
      </c>
    </row>
    <row r="99" spans="1:18" x14ac:dyDescent="0.25">
      <c r="A99" t="str">
        <f>A88</f>
        <v>P(ill) from Serotype Kentucky &amp; level over the threshold -mean</v>
      </c>
      <c r="B99" s="7" t="e">
        <f ca="1">B88</f>
        <v>#NAME?</v>
      </c>
    </row>
    <row r="100" spans="1:18" x14ac:dyDescent="0.25">
      <c r="A100" t="str">
        <f>A92</f>
        <v>P(ill) from Serotype not Kentucky &amp; level over the threshold -mean</v>
      </c>
      <c r="B100" s="7" t="e">
        <f ca="1">B92</f>
        <v>#NAME?</v>
      </c>
    </row>
    <row r="101" spans="1:18" x14ac:dyDescent="0.25">
      <c r="A101" t="str">
        <f>A96&amp;"-Relative Risk"</f>
        <v>No-Threshold-mean-Relative Risk</v>
      </c>
      <c r="B101" s="40" t="e">
        <f ca="1">B96/B$96</f>
        <v>#NAME?</v>
      </c>
      <c r="C101" s="78" t="s">
        <v>126</v>
      </c>
    </row>
    <row r="102" spans="1:18" x14ac:dyDescent="0.25">
      <c r="A102" t="str">
        <f>A79&amp;"-Relative Risk"</f>
        <v>P(ill) from Level over the threshold-Relative Risk</v>
      </c>
      <c r="B102" s="79" t="e">
        <f ca="1">B97/B96</f>
        <v>#NAME?</v>
      </c>
      <c r="C102" s="79" t="e">
        <f ca="1">B26</f>
        <v>#NAME?</v>
      </c>
    </row>
    <row r="103" spans="1:18" x14ac:dyDescent="0.25">
      <c r="A103" t="str">
        <f>A83&amp;"-Relative Risk"</f>
        <v>P(ill) from Inclusion list &amp; level over the threshold-Relative Risk</v>
      </c>
      <c r="B103" s="79" t="e">
        <f ca="1">B98/B96</f>
        <v>#NAME?</v>
      </c>
      <c r="C103" s="79" t="e">
        <f ca="1">B33</f>
        <v>#NAME?</v>
      </c>
    </row>
    <row r="104" spans="1:18" x14ac:dyDescent="0.25">
      <c r="A104" t="str">
        <f>A87&amp;"-Relative Risk"</f>
        <v>P(ill) from Serotype Kentucky &amp; level over the threshold-Relative Risk</v>
      </c>
      <c r="B104" s="79" t="e">
        <f ca="1">B99/B96</f>
        <v>#NAME?</v>
      </c>
      <c r="C104" s="79" t="e">
        <f ca="1">B37</f>
        <v>#NAME?</v>
      </c>
    </row>
    <row r="105" spans="1:18" x14ac:dyDescent="0.25">
      <c r="A105" t="str">
        <f>A91&amp; "-Relative Risk"</f>
        <v>P(ill) from Serotype not Kentucky &amp; level over the threshold-Relative Risk</v>
      </c>
      <c r="B105" s="79" t="e">
        <f ca="1">B100/B96</f>
        <v>#NAME?</v>
      </c>
      <c r="C105" s="79" t="e">
        <f ca="1">B39</f>
        <v>#NAME?</v>
      </c>
    </row>
    <row r="106" spans="1:18" x14ac:dyDescent="0.25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</row>
    <row r="107" spans="1:18" x14ac:dyDescent="0.25">
      <c r="A107" s="20" t="s">
        <v>177</v>
      </c>
      <c r="L107" s="7"/>
      <c r="M107" s="52"/>
      <c r="P107" s="7"/>
      <c r="Q107" s="7"/>
      <c r="R107" s="52"/>
    </row>
    <row r="108" spans="1:18" x14ac:dyDescent="0.25">
      <c r="A108" t="s">
        <v>178</v>
      </c>
      <c r="B108" s="80" t="s">
        <v>149</v>
      </c>
      <c r="C108" s="80"/>
      <c r="D108" s="80"/>
      <c r="E108" s="92" t="s">
        <v>150</v>
      </c>
      <c r="F108" s="92"/>
      <c r="G108" s="92"/>
      <c r="H108" s="92"/>
      <c r="L108" s="7"/>
      <c r="M108" s="52"/>
      <c r="P108" s="7"/>
      <c r="Q108" s="7"/>
      <c r="R108" s="52"/>
    </row>
    <row r="109" spans="1:18" x14ac:dyDescent="0.25">
      <c r="A109" t="s">
        <v>183</v>
      </c>
      <c r="B109" t="s">
        <v>145</v>
      </c>
      <c r="C109" t="s">
        <v>187</v>
      </c>
      <c r="D109" s="20" t="s">
        <v>128</v>
      </c>
      <c r="E109" t="s">
        <v>183</v>
      </c>
      <c r="F109" t="s">
        <v>145</v>
      </c>
      <c r="G109" t="s">
        <v>187</v>
      </c>
      <c r="H109" s="20" t="s">
        <v>128</v>
      </c>
    </row>
    <row r="110" spans="1:18" x14ac:dyDescent="0.25">
      <c r="A110" t="s">
        <v>176</v>
      </c>
      <c r="B110" s="90">
        <v>7.4000000000000003E-3</v>
      </c>
      <c r="C110" s="91" t="e">
        <f>#REF!</f>
        <v>#REF!</v>
      </c>
      <c r="D110" s="121" t="e">
        <f>#REF!</f>
        <v>#REF!</v>
      </c>
      <c r="E110" s="90" t="s">
        <v>176</v>
      </c>
      <c r="F110" s="90">
        <v>7.4000000000000003E-3</v>
      </c>
      <c r="G110" s="91" t="e">
        <f ca="1">C102</f>
        <v>#NAME?</v>
      </c>
      <c r="H110" s="121" t="e">
        <f ca="1">B102</f>
        <v>#NAME?</v>
      </c>
    </row>
    <row r="111" spans="1:18" x14ac:dyDescent="0.25">
      <c r="A111" t="s">
        <v>176</v>
      </c>
      <c r="B111" s="90">
        <v>1</v>
      </c>
      <c r="C111" s="91" t="e">
        <f>#REF!</f>
        <v>#REF!</v>
      </c>
      <c r="D111" s="121" t="e">
        <f>#REF!</f>
        <v>#REF!</v>
      </c>
      <c r="E111" s="90" t="s">
        <v>176</v>
      </c>
      <c r="F111" s="90">
        <v>1</v>
      </c>
      <c r="G111" s="91" t="e">
        <f>#REF!</f>
        <v>#REF!</v>
      </c>
      <c r="H111" s="121" t="e">
        <f>#REF!</f>
        <v>#REF!</v>
      </c>
      <c r="K111" s="42"/>
      <c r="L111" s="7"/>
    </row>
    <row r="112" spans="1:18" x14ac:dyDescent="0.25">
      <c r="A112" t="s">
        <v>176</v>
      </c>
      <c r="B112" s="90">
        <v>10</v>
      </c>
      <c r="C112" s="91" t="e">
        <f>#REF!</f>
        <v>#REF!</v>
      </c>
      <c r="D112" s="121" t="e">
        <f>#REF!</f>
        <v>#REF!</v>
      </c>
      <c r="E112" s="90" t="s">
        <v>176</v>
      </c>
      <c r="F112" s="90">
        <v>10</v>
      </c>
      <c r="G112" s="91" t="e">
        <f>#REF!</f>
        <v>#REF!</v>
      </c>
      <c r="H112" s="121" t="e">
        <f>#REF!</f>
        <v>#REF!</v>
      </c>
    </row>
    <row r="113" spans="1:10" x14ac:dyDescent="0.25">
      <c r="A113" t="s">
        <v>175</v>
      </c>
      <c r="B113">
        <v>7.4000000000000003E-3</v>
      </c>
      <c r="C113" s="116" t="e">
        <f>1-C110</f>
        <v>#REF!</v>
      </c>
      <c r="D113" s="120" t="e">
        <f>#REF!/#REF!</f>
        <v>#REF!</v>
      </c>
      <c r="E113" t="s">
        <v>175</v>
      </c>
      <c r="F113">
        <v>7.4000000000000003E-3</v>
      </c>
      <c r="G113" s="81" t="e">
        <f ca="1">1-G110</f>
        <v>#NAME?</v>
      </c>
      <c r="H113" s="122" t="e">
        <f ca="1">B76/B96</f>
        <v>#NAME?</v>
      </c>
    </row>
    <row r="114" spans="1:10" x14ac:dyDescent="0.25">
      <c r="A114" t="s">
        <v>175</v>
      </c>
      <c r="B114">
        <v>1</v>
      </c>
      <c r="C114" s="116" t="e">
        <f>1-C111</f>
        <v>#REF!</v>
      </c>
      <c r="D114" s="120" t="e">
        <f>#REF!/#REF!</f>
        <v>#REF!</v>
      </c>
      <c r="E114" t="s">
        <v>175</v>
      </c>
      <c r="F114">
        <v>1</v>
      </c>
      <c r="G114" s="81" t="e">
        <f>1-G111</f>
        <v>#REF!</v>
      </c>
      <c r="H114" s="122" t="e">
        <f>#REF!/#REF!</f>
        <v>#REF!</v>
      </c>
    </row>
    <row r="115" spans="1:10" x14ac:dyDescent="0.25">
      <c r="A115" t="s">
        <v>175</v>
      </c>
      <c r="B115">
        <v>10</v>
      </c>
      <c r="C115" s="116" t="e">
        <f>1-C112</f>
        <v>#REF!</v>
      </c>
      <c r="D115" s="120" t="e">
        <f>#REF!/#REF!</f>
        <v>#REF!</v>
      </c>
      <c r="E115" t="s">
        <v>175</v>
      </c>
      <c r="F115">
        <v>10</v>
      </c>
      <c r="G115" s="81" t="e">
        <f>1-G112</f>
        <v>#REF!</v>
      </c>
      <c r="H115" s="122" t="e">
        <f>#REF!/#REF!</f>
        <v>#REF!</v>
      </c>
    </row>
    <row r="116" spans="1:10" x14ac:dyDescent="0.25">
      <c r="A116" t="s">
        <v>184</v>
      </c>
      <c r="B116">
        <v>7.4000000000000003E-3</v>
      </c>
      <c r="C116" s="81" t="e">
        <f>#REF!</f>
        <v>#REF!</v>
      </c>
      <c r="D116" s="120" t="e">
        <f>#REF!</f>
        <v>#REF!</v>
      </c>
      <c r="E116" t="s">
        <v>184</v>
      </c>
      <c r="F116">
        <v>7.4000000000000003E-3</v>
      </c>
      <c r="G116" s="81" t="e">
        <f ca="1">C103</f>
        <v>#NAME?</v>
      </c>
      <c r="H116" s="120" t="e">
        <f ca="1">B103</f>
        <v>#NAME?</v>
      </c>
    </row>
    <row r="117" spans="1:10" x14ac:dyDescent="0.25">
      <c r="A117" t="s">
        <v>184</v>
      </c>
      <c r="B117">
        <v>1</v>
      </c>
      <c r="C117" s="81" t="e">
        <f>#REF!</f>
        <v>#REF!</v>
      </c>
      <c r="D117" s="120" t="e">
        <f>#REF!</f>
        <v>#REF!</v>
      </c>
      <c r="E117" t="s">
        <v>184</v>
      </c>
      <c r="F117">
        <v>1</v>
      </c>
      <c r="G117" s="81" t="e">
        <f>#REF!</f>
        <v>#REF!</v>
      </c>
      <c r="H117" s="120" t="e">
        <f>#REF!</f>
        <v>#REF!</v>
      </c>
    </row>
    <row r="118" spans="1:10" x14ac:dyDescent="0.25">
      <c r="A118" t="s">
        <v>184</v>
      </c>
      <c r="B118">
        <v>10</v>
      </c>
      <c r="C118" s="81" t="e">
        <f>#REF!</f>
        <v>#REF!</v>
      </c>
      <c r="D118" s="120" t="e">
        <f>#REF!</f>
        <v>#REF!</v>
      </c>
      <c r="E118" t="s">
        <v>184</v>
      </c>
      <c r="F118">
        <v>10</v>
      </c>
      <c r="G118" s="81" t="e">
        <f>#REF!</f>
        <v>#REF!</v>
      </c>
      <c r="H118" s="120" t="e">
        <f>#REF!</f>
        <v>#REF!</v>
      </c>
    </row>
    <row r="119" spans="1:10" x14ac:dyDescent="0.25">
      <c r="A119" t="s">
        <v>185</v>
      </c>
      <c r="B119">
        <v>7.4000000000000003E-3</v>
      </c>
      <c r="C119" s="81" t="e">
        <f>#REF!</f>
        <v>#REF!</v>
      </c>
      <c r="D119" s="120" t="e">
        <f>#REF!</f>
        <v>#REF!</v>
      </c>
      <c r="E119" t="s">
        <v>185</v>
      </c>
      <c r="F119">
        <v>7.4000000000000003E-3</v>
      </c>
      <c r="G119" s="81" t="e">
        <f ca="1">C104</f>
        <v>#NAME?</v>
      </c>
      <c r="H119" s="120" t="e">
        <f ca="1">B104</f>
        <v>#NAME?</v>
      </c>
    </row>
    <row r="120" spans="1:10" x14ac:dyDescent="0.25">
      <c r="A120" t="s">
        <v>185</v>
      </c>
      <c r="B120">
        <v>1</v>
      </c>
      <c r="C120" s="81" t="e">
        <f>#REF!</f>
        <v>#REF!</v>
      </c>
      <c r="D120" s="120" t="e">
        <f>#REF!</f>
        <v>#REF!</v>
      </c>
      <c r="E120" t="s">
        <v>185</v>
      </c>
      <c r="F120">
        <v>1</v>
      </c>
      <c r="G120" s="81" t="e">
        <f>#REF!</f>
        <v>#REF!</v>
      </c>
      <c r="H120" s="120" t="e">
        <f>#REF!</f>
        <v>#REF!</v>
      </c>
    </row>
    <row r="121" spans="1:10" x14ac:dyDescent="0.25">
      <c r="A121" t="s">
        <v>185</v>
      </c>
      <c r="B121">
        <v>10</v>
      </c>
      <c r="C121" s="81" t="e">
        <f>#REF!</f>
        <v>#REF!</v>
      </c>
      <c r="D121" s="120" t="e">
        <f>#REF!</f>
        <v>#REF!</v>
      </c>
      <c r="E121" t="s">
        <v>185</v>
      </c>
      <c r="F121">
        <v>10</v>
      </c>
      <c r="G121" s="81" t="e">
        <f>#REF!</f>
        <v>#REF!</v>
      </c>
      <c r="H121" s="120" t="e">
        <f>#REF!</f>
        <v>#REF!</v>
      </c>
    </row>
    <row r="122" spans="1:10" x14ac:dyDescent="0.25">
      <c r="A122" t="s">
        <v>186</v>
      </c>
      <c r="B122">
        <v>7.4000000000000003E-3</v>
      </c>
      <c r="C122" s="81" t="e">
        <f>#REF!</f>
        <v>#REF!</v>
      </c>
      <c r="D122" s="120" t="e">
        <f>#REF!</f>
        <v>#REF!</v>
      </c>
      <c r="E122" t="s">
        <v>186</v>
      </c>
      <c r="F122">
        <v>7.4000000000000003E-3</v>
      </c>
      <c r="G122" s="81" t="e">
        <f ca="1">C105</f>
        <v>#NAME?</v>
      </c>
      <c r="H122" s="120" t="e">
        <f ca="1">B105</f>
        <v>#NAME?</v>
      </c>
    </row>
    <row r="123" spans="1:10" x14ac:dyDescent="0.25">
      <c r="A123" t="s">
        <v>186</v>
      </c>
      <c r="B123">
        <v>1</v>
      </c>
      <c r="C123" s="81" t="e">
        <f>#REF!</f>
        <v>#REF!</v>
      </c>
      <c r="D123" s="120" t="e">
        <f>#REF!</f>
        <v>#REF!</v>
      </c>
      <c r="E123" t="s">
        <v>186</v>
      </c>
      <c r="F123">
        <v>1</v>
      </c>
      <c r="G123" s="81" t="e">
        <f>#REF!</f>
        <v>#REF!</v>
      </c>
      <c r="H123" s="120" t="e">
        <f>#REF!</f>
        <v>#REF!</v>
      </c>
    </row>
    <row r="124" spans="1:10" x14ac:dyDescent="0.25">
      <c r="A124" t="s">
        <v>186</v>
      </c>
      <c r="B124">
        <v>10</v>
      </c>
      <c r="C124" s="81" t="e">
        <f>#REF!</f>
        <v>#REF!</v>
      </c>
      <c r="D124" s="120" t="e">
        <f>#REF!</f>
        <v>#REF!</v>
      </c>
      <c r="E124" t="s">
        <v>186</v>
      </c>
      <c r="F124">
        <v>10</v>
      </c>
      <c r="G124" s="81" t="e">
        <f>#REF!</f>
        <v>#REF!</v>
      </c>
      <c r="H124" s="120" t="e">
        <f>#REF!</f>
        <v>#REF!</v>
      </c>
    </row>
    <row r="125" spans="1:10" x14ac:dyDescent="0.25">
      <c r="C125" s="81"/>
      <c r="D125" s="84"/>
      <c r="I125" s="81"/>
      <c r="J125" s="84"/>
    </row>
    <row r="126" spans="1:10" x14ac:dyDescent="0.25">
      <c r="A126" s="20" t="s">
        <v>182</v>
      </c>
      <c r="B126" s="80" t="s">
        <v>180</v>
      </c>
      <c r="C126" s="92" t="s">
        <v>179</v>
      </c>
    </row>
    <row r="127" spans="1:10" x14ac:dyDescent="0.25">
      <c r="A127" t="s">
        <v>148</v>
      </c>
      <c r="B127" s="82">
        <v>89969366913.233688</v>
      </c>
      <c r="C127" s="82">
        <v>89969366913.233688</v>
      </c>
    </row>
    <row r="128" spans="1:10" x14ac:dyDescent="0.25">
      <c r="A128" t="s">
        <v>181</v>
      </c>
      <c r="B128" s="7" t="e">
        <f>#REF!</f>
        <v>#REF!</v>
      </c>
      <c r="C128" s="7" t="e">
        <f ca="1">B71</f>
        <v>#NAME?</v>
      </c>
    </row>
    <row r="129" spans="1:12" x14ac:dyDescent="0.25">
      <c r="A129" t="s">
        <v>190</v>
      </c>
      <c r="B129" s="83" t="e">
        <f>B127*B128</f>
        <v>#REF!</v>
      </c>
      <c r="C129" s="83" t="e">
        <f ca="1">C128*B127</f>
        <v>#NAME?</v>
      </c>
    </row>
    <row r="131" spans="1:12" x14ac:dyDescent="0.25">
      <c r="A131" t="s">
        <v>144</v>
      </c>
      <c r="B131" s="80" t="s">
        <v>149</v>
      </c>
      <c r="C131" s="80"/>
      <c r="D131" s="80"/>
      <c r="E131" s="80"/>
      <c r="F131" s="80"/>
      <c r="G131" s="92" t="s">
        <v>150</v>
      </c>
      <c r="H131" s="92"/>
      <c r="I131" s="92"/>
      <c r="J131" s="92"/>
      <c r="K131" s="92"/>
      <c r="L131" s="92"/>
    </row>
    <row r="132" spans="1:12" x14ac:dyDescent="0.25">
      <c r="A132" t="s">
        <v>183</v>
      </c>
      <c r="B132" t="s">
        <v>145</v>
      </c>
      <c r="C132" t="s">
        <v>187</v>
      </c>
      <c r="D132" t="s">
        <v>188</v>
      </c>
      <c r="E132" t="s">
        <v>146</v>
      </c>
      <c r="F132" s="20" t="s">
        <v>189</v>
      </c>
      <c r="G132" t="s">
        <v>183</v>
      </c>
      <c r="H132" t="s">
        <v>145</v>
      </c>
      <c r="I132" t="s">
        <v>187</v>
      </c>
      <c r="J132" t="s">
        <v>188</v>
      </c>
      <c r="K132" t="s">
        <v>147</v>
      </c>
      <c r="L132" s="20" t="s">
        <v>189</v>
      </c>
    </row>
    <row r="133" spans="1:12" x14ac:dyDescent="0.25">
      <c r="A133" t="s">
        <v>176</v>
      </c>
      <c r="B133" s="51">
        <v>7.4000000000000003E-3</v>
      </c>
      <c r="C133" s="86" t="e">
        <f>C110</f>
        <v>#REF!</v>
      </c>
      <c r="D133" s="51" t="e">
        <f t="shared" ref="D133:D147" si="0">$B$127*C110</f>
        <v>#REF!</v>
      </c>
      <c r="E133" s="87" t="e">
        <f>#REF!</f>
        <v>#REF!</v>
      </c>
      <c r="F133" s="119" t="e">
        <f t="shared" ref="F133:F147" si="1">D133*E133/$B$129</f>
        <v>#REF!</v>
      </c>
      <c r="G133" s="51" t="s">
        <v>176</v>
      </c>
      <c r="H133" s="51">
        <v>7.4000000000000003E-3</v>
      </c>
      <c r="I133" s="88" t="e">
        <f ca="1">G110</f>
        <v>#NAME?</v>
      </c>
      <c r="J133" s="89" t="e">
        <f t="shared" ref="J133:J147" ca="1" si="2">$B$127*G110</f>
        <v>#NAME?</v>
      </c>
      <c r="K133" s="87" t="e">
        <f ca="1">B97</f>
        <v>#NAME?</v>
      </c>
      <c r="L133" s="117" t="e">
        <f t="shared" ref="L133:L147" ca="1" si="3">J133*K133/$C$129</f>
        <v>#NAME?</v>
      </c>
    </row>
    <row r="134" spans="1:12" x14ac:dyDescent="0.25">
      <c r="A134" t="s">
        <v>176</v>
      </c>
      <c r="B134" s="51">
        <v>1</v>
      </c>
      <c r="C134" s="86" t="e">
        <f>C111</f>
        <v>#REF!</v>
      </c>
      <c r="D134" s="51" t="e">
        <f t="shared" si="0"/>
        <v>#REF!</v>
      </c>
      <c r="E134" s="87" t="e">
        <f>#REF!</f>
        <v>#REF!</v>
      </c>
      <c r="F134" s="119" t="e">
        <f t="shared" si="1"/>
        <v>#REF!</v>
      </c>
      <c r="G134" s="51" t="s">
        <v>176</v>
      </c>
      <c r="H134" s="51">
        <v>1</v>
      </c>
      <c r="I134" s="88" t="e">
        <f>G111</f>
        <v>#REF!</v>
      </c>
      <c r="J134" s="89" t="e">
        <f t="shared" si="2"/>
        <v>#REF!</v>
      </c>
      <c r="K134" s="87" t="e">
        <f>#REF!</f>
        <v>#REF!</v>
      </c>
      <c r="L134" s="117" t="e">
        <f t="shared" ca="1" si="3"/>
        <v>#REF!</v>
      </c>
    </row>
    <row r="135" spans="1:12" x14ac:dyDescent="0.25">
      <c r="A135" t="s">
        <v>176</v>
      </c>
      <c r="B135" s="51">
        <v>10</v>
      </c>
      <c r="C135" s="86" t="e">
        <f>C112</f>
        <v>#REF!</v>
      </c>
      <c r="D135" s="51" t="e">
        <f t="shared" si="0"/>
        <v>#REF!</v>
      </c>
      <c r="E135" s="87" t="e">
        <f>#REF!</f>
        <v>#REF!</v>
      </c>
      <c r="F135" s="119" t="e">
        <f t="shared" si="1"/>
        <v>#REF!</v>
      </c>
      <c r="G135" s="51" t="s">
        <v>176</v>
      </c>
      <c r="H135" s="51">
        <v>10</v>
      </c>
      <c r="I135" s="88" t="e">
        <f>G112</f>
        <v>#REF!</v>
      </c>
      <c r="J135" s="89" t="e">
        <f t="shared" si="2"/>
        <v>#REF!</v>
      </c>
      <c r="K135" s="87" t="e">
        <f>#REF!</f>
        <v>#REF!</v>
      </c>
      <c r="L135" s="117" t="e">
        <f t="shared" ca="1" si="3"/>
        <v>#REF!</v>
      </c>
    </row>
    <row r="136" spans="1:12" x14ac:dyDescent="0.25">
      <c r="A136" t="s">
        <v>175</v>
      </c>
      <c r="B136">
        <v>7.4000000000000003E-3</v>
      </c>
      <c r="C136" s="116" t="e">
        <f>1-C133</f>
        <v>#REF!</v>
      </c>
      <c r="D136" t="e">
        <f t="shared" si="0"/>
        <v>#REF!</v>
      </c>
      <c r="E136" s="7" t="e">
        <f>#REF!</f>
        <v>#REF!</v>
      </c>
      <c r="F136" s="120" t="e">
        <f t="shared" si="1"/>
        <v>#REF!</v>
      </c>
      <c r="G136" t="s">
        <v>175</v>
      </c>
      <c r="H136">
        <v>7.4000000000000003E-3</v>
      </c>
      <c r="I136" s="81" t="e">
        <f ca="1">1-I133</f>
        <v>#NAME?</v>
      </c>
      <c r="J136" s="83" t="e">
        <f t="shared" ca="1" si="2"/>
        <v>#NAME?</v>
      </c>
      <c r="K136" s="7" t="e">
        <f ca="1">B76</f>
        <v>#NAME?</v>
      </c>
      <c r="L136" s="118" t="e">
        <f t="shared" ca="1" si="3"/>
        <v>#NAME?</v>
      </c>
    </row>
    <row r="137" spans="1:12" x14ac:dyDescent="0.25">
      <c r="A137" t="s">
        <v>175</v>
      </c>
      <c r="B137">
        <v>1</v>
      </c>
      <c r="C137" s="116" t="e">
        <f>1-C134</f>
        <v>#REF!</v>
      </c>
      <c r="D137" t="e">
        <f t="shared" si="0"/>
        <v>#REF!</v>
      </c>
      <c r="E137" s="7" t="e">
        <f>#REF!</f>
        <v>#REF!</v>
      </c>
      <c r="F137" s="120" t="e">
        <f t="shared" si="1"/>
        <v>#REF!</v>
      </c>
      <c r="G137" t="s">
        <v>175</v>
      </c>
      <c r="H137">
        <v>1</v>
      </c>
      <c r="I137" s="81" t="e">
        <f>1-I134</f>
        <v>#REF!</v>
      </c>
      <c r="J137" s="83" t="e">
        <f t="shared" si="2"/>
        <v>#REF!</v>
      </c>
      <c r="K137" s="7" t="e">
        <f>#REF!</f>
        <v>#REF!</v>
      </c>
      <c r="L137" s="118" t="e">
        <f t="shared" ca="1" si="3"/>
        <v>#REF!</v>
      </c>
    </row>
    <row r="138" spans="1:12" x14ac:dyDescent="0.25">
      <c r="A138" t="s">
        <v>175</v>
      </c>
      <c r="B138">
        <v>10</v>
      </c>
      <c r="C138" s="116" t="e">
        <f>1-C135</f>
        <v>#REF!</v>
      </c>
      <c r="D138" t="e">
        <f t="shared" si="0"/>
        <v>#REF!</v>
      </c>
      <c r="E138" s="7" t="e">
        <f>#REF!</f>
        <v>#REF!</v>
      </c>
      <c r="F138" s="120" t="e">
        <f t="shared" si="1"/>
        <v>#REF!</v>
      </c>
      <c r="G138" t="s">
        <v>175</v>
      </c>
      <c r="H138">
        <v>10</v>
      </c>
      <c r="I138" s="81" t="e">
        <f>1-I135</f>
        <v>#REF!</v>
      </c>
      <c r="J138" s="83" t="e">
        <f t="shared" si="2"/>
        <v>#REF!</v>
      </c>
      <c r="K138" s="7" t="e">
        <f>#REF!</f>
        <v>#REF!</v>
      </c>
      <c r="L138" s="118" t="e">
        <f t="shared" ca="1" si="3"/>
        <v>#REF!</v>
      </c>
    </row>
    <row r="139" spans="1:12" x14ac:dyDescent="0.25">
      <c r="A139" t="s">
        <v>184</v>
      </c>
      <c r="B139">
        <v>7.4000000000000003E-3</v>
      </c>
      <c r="C139" s="95" t="e">
        <f t="shared" ref="C139:C147" si="4">C116</f>
        <v>#REF!</v>
      </c>
      <c r="D139" t="e">
        <f t="shared" si="0"/>
        <v>#REF!</v>
      </c>
      <c r="E139" s="7" t="e">
        <f>#REF!</f>
        <v>#REF!</v>
      </c>
      <c r="F139" s="120" t="e">
        <f t="shared" si="1"/>
        <v>#REF!</v>
      </c>
      <c r="G139" t="s">
        <v>184</v>
      </c>
      <c r="H139">
        <v>7.4000000000000003E-3</v>
      </c>
      <c r="I139" s="81" t="e">
        <f t="shared" ref="I139:I147" ca="1" si="5">G116</f>
        <v>#NAME?</v>
      </c>
      <c r="J139" s="83" t="e">
        <f t="shared" ca="1" si="2"/>
        <v>#NAME?</v>
      </c>
      <c r="K139" s="7" t="e">
        <f ca="1">B98</f>
        <v>#NAME?</v>
      </c>
      <c r="L139" s="118" t="e">
        <f t="shared" ca="1" si="3"/>
        <v>#NAME?</v>
      </c>
    </row>
    <row r="140" spans="1:12" x14ac:dyDescent="0.25">
      <c r="A140" t="s">
        <v>184</v>
      </c>
      <c r="B140">
        <v>1</v>
      </c>
      <c r="C140" s="95" t="e">
        <f t="shared" si="4"/>
        <v>#REF!</v>
      </c>
      <c r="D140" t="e">
        <f t="shared" si="0"/>
        <v>#REF!</v>
      </c>
      <c r="E140" s="7" t="e">
        <f>#REF!</f>
        <v>#REF!</v>
      </c>
      <c r="F140" s="120" t="e">
        <f t="shared" si="1"/>
        <v>#REF!</v>
      </c>
      <c r="G140" t="s">
        <v>184</v>
      </c>
      <c r="H140">
        <v>1</v>
      </c>
      <c r="I140" s="81" t="e">
        <f t="shared" si="5"/>
        <v>#REF!</v>
      </c>
      <c r="J140" s="83" t="e">
        <f t="shared" si="2"/>
        <v>#REF!</v>
      </c>
      <c r="K140" s="7" t="e">
        <f>#REF!</f>
        <v>#REF!</v>
      </c>
      <c r="L140" s="118" t="e">
        <f t="shared" ca="1" si="3"/>
        <v>#REF!</v>
      </c>
    </row>
    <row r="141" spans="1:12" x14ac:dyDescent="0.25">
      <c r="A141" t="s">
        <v>184</v>
      </c>
      <c r="B141">
        <v>10</v>
      </c>
      <c r="C141" s="95" t="e">
        <f t="shared" si="4"/>
        <v>#REF!</v>
      </c>
      <c r="D141" t="e">
        <f t="shared" si="0"/>
        <v>#REF!</v>
      </c>
      <c r="E141" s="7" t="e">
        <f>#REF!</f>
        <v>#REF!</v>
      </c>
      <c r="F141" s="120" t="e">
        <f t="shared" si="1"/>
        <v>#REF!</v>
      </c>
      <c r="G141" t="s">
        <v>184</v>
      </c>
      <c r="H141">
        <v>10</v>
      </c>
      <c r="I141" s="81" t="e">
        <f t="shared" si="5"/>
        <v>#REF!</v>
      </c>
      <c r="J141" s="83" t="e">
        <f t="shared" si="2"/>
        <v>#REF!</v>
      </c>
      <c r="K141" s="7" t="e">
        <f>#REF!</f>
        <v>#REF!</v>
      </c>
      <c r="L141" s="118" t="e">
        <f t="shared" ca="1" si="3"/>
        <v>#REF!</v>
      </c>
    </row>
    <row r="142" spans="1:12" x14ac:dyDescent="0.25">
      <c r="A142" t="s">
        <v>185</v>
      </c>
      <c r="B142">
        <v>7.4000000000000003E-3</v>
      </c>
      <c r="C142" s="95" t="e">
        <f t="shared" si="4"/>
        <v>#REF!</v>
      </c>
      <c r="D142" t="e">
        <f t="shared" si="0"/>
        <v>#REF!</v>
      </c>
      <c r="E142" s="7" t="e">
        <f>#REF!</f>
        <v>#REF!</v>
      </c>
      <c r="F142" s="120" t="e">
        <f t="shared" si="1"/>
        <v>#REF!</v>
      </c>
      <c r="G142" t="s">
        <v>185</v>
      </c>
      <c r="H142">
        <v>7.4000000000000003E-3</v>
      </c>
      <c r="I142" s="81" t="e">
        <f t="shared" ca="1" si="5"/>
        <v>#NAME?</v>
      </c>
      <c r="J142" s="83" t="e">
        <f t="shared" ca="1" si="2"/>
        <v>#NAME?</v>
      </c>
      <c r="K142" s="7" t="e">
        <f ca="1">B99</f>
        <v>#NAME?</v>
      </c>
      <c r="L142" s="118" t="e">
        <f t="shared" ca="1" si="3"/>
        <v>#NAME?</v>
      </c>
    </row>
    <row r="143" spans="1:12" x14ac:dyDescent="0.25">
      <c r="A143" t="s">
        <v>185</v>
      </c>
      <c r="B143">
        <v>1</v>
      </c>
      <c r="C143" s="95" t="e">
        <f t="shared" si="4"/>
        <v>#REF!</v>
      </c>
      <c r="D143" t="e">
        <f t="shared" si="0"/>
        <v>#REF!</v>
      </c>
      <c r="E143" s="7" t="e">
        <f>#REF!</f>
        <v>#REF!</v>
      </c>
      <c r="F143" s="120" t="e">
        <f t="shared" si="1"/>
        <v>#REF!</v>
      </c>
      <c r="G143" t="s">
        <v>185</v>
      </c>
      <c r="H143">
        <v>1</v>
      </c>
      <c r="I143" s="81" t="e">
        <f t="shared" si="5"/>
        <v>#REF!</v>
      </c>
      <c r="J143" s="83" t="e">
        <f t="shared" si="2"/>
        <v>#REF!</v>
      </c>
      <c r="K143" s="7" t="e">
        <f>#REF!</f>
        <v>#REF!</v>
      </c>
      <c r="L143" s="118" t="e">
        <f t="shared" ca="1" si="3"/>
        <v>#REF!</v>
      </c>
    </row>
    <row r="144" spans="1:12" x14ac:dyDescent="0.25">
      <c r="A144" t="s">
        <v>185</v>
      </c>
      <c r="B144">
        <v>10</v>
      </c>
      <c r="C144" s="95" t="e">
        <f t="shared" si="4"/>
        <v>#REF!</v>
      </c>
      <c r="D144" t="e">
        <f t="shared" si="0"/>
        <v>#REF!</v>
      </c>
      <c r="E144" s="7" t="e">
        <f>#REF!</f>
        <v>#REF!</v>
      </c>
      <c r="F144" s="120" t="e">
        <f t="shared" si="1"/>
        <v>#REF!</v>
      </c>
      <c r="G144" t="s">
        <v>185</v>
      </c>
      <c r="H144">
        <v>10</v>
      </c>
      <c r="I144" s="81" t="e">
        <f t="shared" si="5"/>
        <v>#REF!</v>
      </c>
      <c r="J144" s="83" t="e">
        <f t="shared" si="2"/>
        <v>#REF!</v>
      </c>
      <c r="K144" s="7" t="e">
        <f>#REF!</f>
        <v>#REF!</v>
      </c>
      <c r="L144" s="118" t="e">
        <f t="shared" ca="1" si="3"/>
        <v>#REF!</v>
      </c>
    </row>
    <row r="145" spans="1:12" x14ac:dyDescent="0.25">
      <c r="A145" t="s">
        <v>186</v>
      </c>
      <c r="B145">
        <v>7.4000000000000003E-3</v>
      </c>
      <c r="C145" s="95" t="e">
        <f t="shared" si="4"/>
        <v>#REF!</v>
      </c>
      <c r="D145" t="e">
        <f t="shared" si="0"/>
        <v>#REF!</v>
      </c>
      <c r="E145" s="7" t="e">
        <f>#REF!</f>
        <v>#REF!</v>
      </c>
      <c r="F145" s="120" t="e">
        <f t="shared" si="1"/>
        <v>#REF!</v>
      </c>
      <c r="G145" t="s">
        <v>186</v>
      </c>
      <c r="H145">
        <v>7.4000000000000003E-3</v>
      </c>
      <c r="I145" s="81" t="e">
        <f t="shared" ca="1" si="5"/>
        <v>#NAME?</v>
      </c>
      <c r="J145" s="83" t="e">
        <f t="shared" ca="1" si="2"/>
        <v>#NAME?</v>
      </c>
      <c r="K145" s="7" t="e">
        <f ca="1">B100</f>
        <v>#NAME?</v>
      </c>
      <c r="L145" s="118" t="e">
        <f t="shared" ca="1" si="3"/>
        <v>#NAME?</v>
      </c>
    </row>
    <row r="146" spans="1:12" x14ac:dyDescent="0.25">
      <c r="A146" t="s">
        <v>186</v>
      </c>
      <c r="B146">
        <v>1</v>
      </c>
      <c r="C146" s="95" t="e">
        <f t="shared" si="4"/>
        <v>#REF!</v>
      </c>
      <c r="D146" t="e">
        <f t="shared" si="0"/>
        <v>#REF!</v>
      </c>
      <c r="E146" s="7" t="e">
        <f>#REF!</f>
        <v>#REF!</v>
      </c>
      <c r="F146" s="120" t="e">
        <f t="shared" si="1"/>
        <v>#REF!</v>
      </c>
      <c r="G146" t="s">
        <v>186</v>
      </c>
      <c r="H146">
        <v>1</v>
      </c>
      <c r="I146" s="81" t="e">
        <f t="shared" si="5"/>
        <v>#REF!</v>
      </c>
      <c r="J146" s="83" t="e">
        <f t="shared" si="2"/>
        <v>#REF!</v>
      </c>
      <c r="K146" s="7" t="e">
        <f>#REF!</f>
        <v>#REF!</v>
      </c>
      <c r="L146" s="118" t="e">
        <f t="shared" ca="1" si="3"/>
        <v>#REF!</v>
      </c>
    </row>
    <row r="147" spans="1:12" x14ac:dyDescent="0.25">
      <c r="A147" t="s">
        <v>186</v>
      </c>
      <c r="B147">
        <v>10</v>
      </c>
      <c r="C147" s="95" t="e">
        <f t="shared" si="4"/>
        <v>#REF!</v>
      </c>
      <c r="D147" t="e">
        <f t="shared" si="0"/>
        <v>#REF!</v>
      </c>
      <c r="E147" s="7" t="e">
        <f>#REF!</f>
        <v>#REF!</v>
      </c>
      <c r="F147" s="120" t="e">
        <f t="shared" si="1"/>
        <v>#REF!</v>
      </c>
      <c r="G147" t="s">
        <v>186</v>
      </c>
      <c r="H147">
        <v>10</v>
      </c>
      <c r="I147" s="81" t="e">
        <f t="shared" si="5"/>
        <v>#REF!</v>
      </c>
      <c r="J147" s="83" t="e">
        <f t="shared" si="2"/>
        <v>#REF!</v>
      </c>
      <c r="K147" s="7" t="e">
        <f>#REF!</f>
        <v>#REF!</v>
      </c>
      <c r="L147" s="118" t="e">
        <f t="shared" ca="1" si="3"/>
        <v>#REF!</v>
      </c>
    </row>
    <row r="148" spans="1:12" x14ac:dyDescent="0.25">
      <c r="C148" s="95"/>
      <c r="E148" s="7"/>
      <c r="F148" s="84"/>
      <c r="I148" s="81"/>
      <c r="J148" s="83"/>
      <c r="K148" s="7"/>
      <c r="L148" s="85"/>
    </row>
    <row r="149" spans="1:12" x14ac:dyDescent="0.25">
      <c r="C149" s="95"/>
      <c r="E149" s="7"/>
      <c r="F149" s="84"/>
      <c r="I149" s="81"/>
      <c r="J149" s="83"/>
      <c r="K149" s="7"/>
      <c r="L149" s="85"/>
    </row>
    <row r="150" spans="1:12" x14ac:dyDescent="0.25">
      <c r="C150" s="95"/>
      <c r="E150" s="7"/>
      <c r="F150" s="84"/>
      <c r="I150" s="81"/>
      <c r="J150" s="83"/>
      <c r="K150" s="7"/>
      <c r="L150" s="85"/>
    </row>
    <row r="151" spans="1:12" x14ac:dyDescent="0.25">
      <c r="C151" s="95"/>
      <c r="E151" s="7"/>
      <c r="F151" s="84"/>
      <c r="I151" s="81"/>
      <c r="J151" s="83"/>
      <c r="K151" s="7"/>
      <c r="L151" s="85"/>
    </row>
    <row r="152" spans="1:12" x14ac:dyDescent="0.25">
      <c r="C152" s="95"/>
      <c r="E152" s="7"/>
      <c r="F152" s="84"/>
      <c r="I152" s="81"/>
      <c r="J152" s="83"/>
      <c r="K152" s="7"/>
      <c r="L152" s="85"/>
    </row>
    <row r="153" spans="1:12" x14ac:dyDescent="0.25">
      <c r="C153" s="95"/>
      <c r="E153" s="7"/>
      <c r="F153" s="84"/>
      <c r="I153" s="81"/>
      <c r="J153" s="83"/>
      <c r="K153" s="7"/>
      <c r="L153" s="85"/>
    </row>
    <row r="154" spans="1:12" x14ac:dyDescent="0.25">
      <c r="C154" s="95"/>
      <c r="E154" s="7"/>
      <c r="F154" s="84"/>
      <c r="I154" s="81"/>
      <c r="J154" s="83"/>
      <c r="K154" s="7"/>
      <c r="L154" s="85"/>
    </row>
    <row r="155" spans="1:12" x14ac:dyDescent="0.25">
      <c r="C155" s="95"/>
      <c r="E155" s="7"/>
      <c r="F155" s="84"/>
      <c r="I155" s="81"/>
      <c r="J155" s="83"/>
      <c r="K155" s="7"/>
      <c r="L155" s="85"/>
    </row>
    <row r="156" spans="1:12" x14ac:dyDescent="0.25">
      <c r="C156" s="95"/>
      <c r="E156" s="7"/>
      <c r="F156" s="84"/>
      <c r="I156" s="81"/>
      <c r="J156" s="83"/>
      <c r="K156" s="7"/>
      <c r="L156" s="85"/>
    </row>
    <row r="157" spans="1:12" x14ac:dyDescent="0.25">
      <c r="C157" s="95"/>
      <c r="E157" s="7"/>
      <c r="F157" s="84"/>
      <c r="I157" s="81"/>
      <c r="J157" s="83"/>
      <c r="K157" s="7"/>
      <c r="L157" s="85"/>
    </row>
    <row r="158" spans="1:12" x14ac:dyDescent="0.25">
      <c r="C158" s="95"/>
      <c r="E158" s="7"/>
      <c r="F158" s="84"/>
      <c r="I158" s="81"/>
      <c r="J158" s="83"/>
      <c r="K158" s="7"/>
      <c r="L158" s="85"/>
    </row>
    <row r="159" spans="1:12" x14ac:dyDescent="0.25">
      <c r="C159" s="95"/>
      <c r="E159" s="7"/>
      <c r="F159" s="84"/>
      <c r="I159" s="81"/>
      <c r="J159" s="83"/>
      <c r="K159" s="7"/>
      <c r="L159" s="85"/>
    </row>
    <row r="160" spans="1:12" x14ac:dyDescent="0.25">
      <c r="C160" s="95"/>
      <c r="E160" s="7"/>
      <c r="F160" s="84"/>
      <c r="I160" s="81"/>
      <c r="J160" s="83"/>
      <c r="K160" s="7"/>
      <c r="L160" s="85"/>
    </row>
    <row r="161" spans="3:12" x14ac:dyDescent="0.25">
      <c r="C161" s="95"/>
      <c r="E161" s="7"/>
      <c r="F161" s="84"/>
      <c r="I161" s="81"/>
      <c r="J161" s="83"/>
      <c r="K161" s="7"/>
      <c r="L161" s="85"/>
    </row>
    <row r="162" spans="3:12" x14ac:dyDescent="0.25">
      <c r="C162" s="95"/>
      <c r="E162" s="7"/>
      <c r="F162" s="84"/>
      <c r="I162" s="81"/>
      <c r="J162" s="83"/>
      <c r="K162" s="7"/>
      <c r="L162" s="85"/>
    </row>
    <row r="163" spans="3:12" x14ac:dyDescent="0.25">
      <c r="C163" s="95"/>
      <c r="E163" s="7"/>
      <c r="F163" s="84"/>
      <c r="I163" s="81"/>
      <c r="J163" s="83"/>
      <c r="K163" s="7"/>
      <c r="L163" s="85"/>
    </row>
    <row r="164" spans="3:12" x14ac:dyDescent="0.25">
      <c r="C164" s="95"/>
      <c r="E164" s="7"/>
      <c r="F164" s="84"/>
      <c r="I164" s="81"/>
      <c r="J164" s="83"/>
      <c r="K164" s="7"/>
      <c r="L164" s="85"/>
    </row>
    <row r="165" spans="3:12" x14ac:dyDescent="0.25">
      <c r="C165" s="95"/>
      <c r="E165" s="7"/>
      <c r="F165" s="84"/>
      <c r="I165" s="81"/>
      <c r="J165" s="83"/>
      <c r="K165" s="7"/>
      <c r="L165" s="85"/>
    </row>
    <row r="166" spans="3:12" x14ac:dyDescent="0.25">
      <c r="C166" s="95"/>
      <c r="E166" s="7"/>
      <c r="F166" s="84"/>
      <c r="I166" s="81"/>
      <c r="J166" s="83"/>
      <c r="K166" s="7"/>
      <c r="L166" s="85"/>
    </row>
    <row r="167" spans="3:12" x14ac:dyDescent="0.25">
      <c r="C167" s="95"/>
      <c r="E167" s="7"/>
      <c r="F167" s="84"/>
      <c r="I167" s="81"/>
      <c r="J167" s="83"/>
      <c r="K167" s="7"/>
      <c r="L167" s="85"/>
    </row>
    <row r="168" spans="3:12" x14ac:dyDescent="0.25">
      <c r="C168" s="95"/>
      <c r="E168" s="7"/>
      <c r="F168" s="84"/>
      <c r="I168" s="81"/>
      <c r="J168" s="83"/>
      <c r="K168" s="7"/>
      <c r="L168" s="85"/>
    </row>
    <row r="169" spans="3:12" x14ac:dyDescent="0.25">
      <c r="C169" s="95"/>
      <c r="E169" s="7"/>
      <c r="F169" s="84"/>
      <c r="I169" s="81"/>
      <c r="J169" s="83"/>
      <c r="K169" s="7"/>
      <c r="L169" s="85"/>
    </row>
    <row r="170" spans="3:12" x14ac:dyDescent="0.25">
      <c r="C170" s="95"/>
      <c r="E170" s="7"/>
      <c r="F170" s="84"/>
      <c r="I170" s="81"/>
      <c r="J170" s="83"/>
      <c r="K170" s="7"/>
      <c r="L170" s="85"/>
    </row>
    <row r="171" spans="3:12" x14ac:dyDescent="0.25">
      <c r="C171" s="95"/>
      <c r="E171" s="7"/>
      <c r="F171" s="84"/>
      <c r="I171" s="81"/>
      <c r="J171" s="83"/>
      <c r="K171" s="7"/>
      <c r="L171" s="85"/>
    </row>
    <row r="172" spans="3:12" x14ac:dyDescent="0.25">
      <c r="C172" s="95"/>
      <c r="E172" s="7"/>
      <c r="F172" s="84"/>
      <c r="I172" s="81"/>
      <c r="J172" s="83"/>
      <c r="K172" s="7"/>
      <c r="L172" s="85"/>
    </row>
    <row r="173" spans="3:12" x14ac:dyDescent="0.25">
      <c r="C173" s="95"/>
      <c r="E173" s="7"/>
      <c r="F173" s="84"/>
      <c r="I173" s="81"/>
      <c r="J173" s="83"/>
      <c r="K173" s="7"/>
      <c r="L173" s="85"/>
    </row>
    <row r="174" spans="3:12" x14ac:dyDescent="0.25">
      <c r="C174" s="95"/>
      <c r="E174" s="7"/>
      <c r="F174" s="84"/>
      <c r="I174" s="81"/>
      <c r="J174" s="83"/>
      <c r="K174" s="7"/>
      <c r="L174" s="85"/>
    </row>
    <row r="175" spans="3:12" x14ac:dyDescent="0.25">
      <c r="C175" s="95"/>
      <c r="E175" s="7"/>
      <c r="F175" s="84"/>
      <c r="I175" s="81"/>
      <c r="J175" s="83"/>
      <c r="K175" s="7"/>
      <c r="L175" s="85"/>
    </row>
    <row r="176" spans="3:12" x14ac:dyDescent="0.25">
      <c r="C176" s="95"/>
      <c r="E176" s="7"/>
      <c r="F176" s="84"/>
      <c r="I176" s="81"/>
      <c r="J176" s="83"/>
      <c r="K176" s="7"/>
      <c r="L176" s="85"/>
    </row>
    <row r="177" spans="1:12" x14ac:dyDescent="0.25">
      <c r="C177" s="95"/>
      <c r="E177" s="7"/>
      <c r="F177" s="84"/>
      <c r="I177" s="81"/>
      <c r="J177" s="83"/>
      <c r="K177" s="7"/>
      <c r="L177" s="85"/>
    </row>
    <row r="178" spans="1:12" x14ac:dyDescent="0.25">
      <c r="C178" s="95"/>
      <c r="E178" s="7"/>
      <c r="F178" s="84"/>
      <c r="I178" s="81"/>
      <c r="J178" s="83"/>
      <c r="K178" s="7"/>
      <c r="L178" s="85"/>
    </row>
    <row r="179" spans="1:12" x14ac:dyDescent="0.25">
      <c r="C179" s="95"/>
      <c r="E179" s="7"/>
      <c r="F179" s="84"/>
      <c r="I179" s="81"/>
      <c r="J179" s="83"/>
      <c r="K179" s="7"/>
      <c r="L179" s="85"/>
    </row>
    <row r="180" spans="1:12" x14ac:dyDescent="0.25">
      <c r="A180" s="20" t="s">
        <v>154</v>
      </c>
      <c r="C180" t="s">
        <v>155</v>
      </c>
    </row>
    <row r="181" spans="1:12" x14ac:dyDescent="0.25">
      <c r="A181" s="42" t="e">
        <f>#REF!&amp;" Simulation "&amp;C181</f>
        <v>#REF!</v>
      </c>
      <c r="B181" s="96" t="e" cm="1">
        <f t="array" aca="1" ref="B181" ca="1">_xll.RiskMean(#REF!,1)</f>
        <v>#NAME?</v>
      </c>
      <c r="C181" s="42">
        <v>1</v>
      </c>
    </row>
    <row r="182" spans="1:12" x14ac:dyDescent="0.25">
      <c r="A182" t="e">
        <f>#REF!&amp;" Simulation "&amp;C182</f>
        <v>#REF!</v>
      </c>
      <c r="B182" s="96" t="e" cm="1">
        <f t="array" aca="1" ref="B182" ca="1">_xll.RiskMean(#REF!,C182)</f>
        <v>#NAME?</v>
      </c>
      <c r="C182">
        <f>C181+1</f>
        <v>2</v>
      </c>
    </row>
    <row r="183" spans="1:12" x14ac:dyDescent="0.25">
      <c r="A183" t="e">
        <f>#REF!&amp;" Simulation "&amp;C183</f>
        <v>#REF!</v>
      </c>
      <c r="B183" s="96" t="e" cm="1">
        <f t="array" aca="1" ref="B183" ca="1">_xll.RiskMean(#REF!,C183)</f>
        <v>#NAME?</v>
      </c>
      <c r="C183">
        <f t="shared" ref="C183:C190" si="6">C182+1</f>
        <v>3</v>
      </c>
    </row>
    <row r="184" spans="1:12" x14ac:dyDescent="0.25">
      <c r="A184" t="e">
        <f>#REF!&amp;" Simulation "&amp;C184</f>
        <v>#REF!</v>
      </c>
      <c r="B184" s="96" t="e" cm="1">
        <f t="array" aca="1" ref="B184" ca="1">_xll.RiskMean(#REF!,C184)</f>
        <v>#NAME?</v>
      </c>
      <c r="C184">
        <f t="shared" si="6"/>
        <v>4</v>
      </c>
    </row>
    <row r="185" spans="1:12" x14ac:dyDescent="0.25">
      <c r="A185" t="e">
        <f>#REF!&amp;" Simulation "&amp;C185</f>
        <v>#REF!</v>
      </c>
      <c r="B185" s="96" t="e" cm="1">
        <f t="array" aca="1" ref="B185" ca="1">_xll.RiskMean(#REF!,C185)</f>
        <v>#NAME?</v>
      </c>
      <c r="C185">
        <f t="shared" si="6"/>
        <v>5</v>
      </c>
    </row>
    <row r="186" spans="1:12" x14ac:dyDescent="0.25">
      <c r="A186" t="e">
        <f>#REF!&amp;" Simulation "&amp;C186</f>
        <v>#REF!</v>
      </c>
      <c r="B186" s="96" t="e" cm="1">
        <f t="array" aca="1" ref="B186" ca="1">_xll.RiskMean(#REF!,C186)</f>
        <v>#NAME?</v>
      </c>
      <c r="C186">
        <f t="shared" si="6"/>
        <v>6</v>
      </c>
    </row>
    <row r="187" spans="1:12" x14ac:dyDescent="0.25">
      <c r="A187" t="e">
        <f>#REF!&amp;" Simulation "&amp;C187</f>
        <v>#REF!</v>
      </c>
      <c r="B187" s="96" t="e" cm="1">
        <f t="array" aca="1" ref="B187" ca="1">_xll.RiskMean(#REF!,C187)</f>
        <v>#NAME?</v>
      </c>
      <c r="C187">
        <f t="shared" si="6"/>
        <v>7</v>
      </c>
    </row>
    <row r="188" spans="1:12" x14ac:dyDescent="0.25">
      <c r="A188" t="e">
        <f>#REF!&amp;" Simulation "&amp;C188</f>
        <v>#REF!</v>
      </c>
      <c r="B188" s="96" t="e" cm="1">
        <f t="array" aca="1" ref="B188" ca="1">_xll.RiskMean(#REF!,C188)</f>
        <v>#NAME?</v>
      </c>
      <c r="C188">
        <f t="shared" si="6"/>
        <v>8</v>
      </c>
    </row>
    <row r="189" spans="1:12" x14ac:dyDescent="0.25">
      <c r="A189" t="e">
        <f>#REF!&amp;" Simulation "&amp;C189</f>
        <v>#REF!</v>
      </c>
      <c r="B189" s="96" t="e" cm="1">
        <f t="array" aca="1" ref="B189" ca="1">_xll.RiskMean(#REF!,C189)</f>
        <v>#NAME?</v>
      </c>
      <c r="C189">
        <f t="shared" si="6"/>
        <v>9</v>
      </c>
    </row>
    <row r="190" spans="1:12" x14ac:dyDescent="0.25">
      <c r="A190" t="e">
        <f>#REF!&amp;" Simulation "&amp;C190</f>
        <v>#REF!</v>
      </c>
      <c r="B190" s="96" t="e" cm="1">
        <f t="array" aca="1" ref="B190" ca="1">_xll.RiskMean(#REF!,C190)</f>
        <v>#NAME?</v>
      </c>
      <c r="C190">
        <f t="shared" si="6"/>
        <v>10</v>
      </c>
    </row>
    <row r="191" spans="1:12" x14ac:dyDescent="0.25">
      <c r="A191" s="20" t="s">
        <v>156</v>
      </c>
    </row>
    <row r="192" spans="1:12" x14ac:dyDescent="0.25">
      <c r="A192" t="e">
        <f>#REF!&amp;" Simulation "&amp;C192</f>
        <v>#REF!</v>
      </c>
      <c r="B192" s="7" t="e">
        <f ca="1">MAX(B181:B190)</f>
        <v>#NAME?</v>
      </c>
      <c r="C192" t="s">
        <v>157</v>
      </c>
    </row>
    <row r="193" spans="1:4" x14ac:dyDescent="0.25">
      <c r="A193" t="e">
        <f>#REF!&amp;" Simulation "&amp;C193</f>
        <v>#REF!</v>
      </c>
      <c r="B193" s="7" t="e">
        <f ca="1">MIN(B181:B190)</f>
        <v>#NAME?</v>
      </c>
      <c r="C193" t="s">
        <v>158</v>
      </c>
    </row>
    <row r="194" spans="1:4" x14ac:dyDescent="0.25">
      <c r="A194" t="e">
        <f>#REF!&amp;" Simulation "&amp;C194</f>
        <v>#REF!</v>
      </c>
      <c r="B194" s="7" t="e">
        <f ca="1" xml:space="preserve"> B192-B193</f>
        <v>#NAME?</v>
      </c>
      <c r="C194" t="s">
        <v>159</v>
      </c>
    </row>
    <row r="195" spans="1:4" x14ac:dyDescent="0.25">
      <c r="A195" s="97" t="e">
        <f>#REF!&amp;" Simulation "&amp;C195</f>
        <v>#REF!</v>
      </c>
      <c r="B195" s="98" t="e">
        <f ca="1">AVERAGE(B181:B190)</f>
        <v>#NAME?</v>
      </c>
      <c r="C195" s="99" t="s">
        <v>160</v>
      </c>
    </row>
    <row r="196" spans="1:4" x14ac:dyDescent="0.25">
      <c r="A196" t="e">
        <f>#REF!&amp;" Simulation "&amp;C196</f>
        <v>#REF!</v>
      </c>
      <c r="B196" s="7" t="e">
        <f ca="1">_xlfn.STDEV.P(B181:B190)</f>
        <v>#NAME?</v>
      </c>
      <c r="C196" t="s">
        <v>161</v>
      </c>
    </row>
    <row r="197" spans="1:4" x14ac:dyDescent="0.25">
      <c r="A197" s="20" t="e">
        <f>#REF!&amp;" Simulation "&amp;C197</f>
        <v>#REF!</v>
      </c>
      <c r="B197" s="100" t="e">
        <f ca="1">B196/B195</f>
        <v>#NAME?</v>
      </c>
      <c r="C197" s="101" t="s">
        <v>162</v>
      </c>
    </row>
    <row r="200" spans="1:4" ht="15.75" thickBot="1" x14ac:dyDescent="0.3"/>
    <row r="201" spans="1:4" ht="15.75" thickBot="1" x14ac:dyDescent="0.3">
      <c r="A201" s="102" t="s">
        <v>191</v>
      </c>
      <c r="B201" s="103" t="s">
        <v>163</v>
      </c>
      <c r="C201" s="104" t="s">
        <v>164</v>
      </c>
      <c r="D201" s="105" t="s">
        <v>162</v>
      </c>
    </row>
    <row r="202" spans="1:4" x14ac:dyDescent="0.25">
      <c r="A202" s="106" t="s">
        <v>165</v>
      </c>
      <c r="B202" s="107">
        <v>1.2E-4</v>
      </c>
      <c r="C202" s="108">
        <v>2.0030361979519694E-6</v>
      </c>
      <c r="D202" s="109">
        <v>0.1</v>
      </c>
    </row>
    <row r="203" spans="1:4" x14ac:dyDescent="0.25">
      <c r="A203" s="110" t="s">
        <v>166</v>
      </c>
      <c r="B203" s="107">
        <v>1.2E-4</v>
      </c>
      <c r="C203" s="111">
        <v>2.036666138271791E-6</v>
      </c>
      <c r="D203" s="112">
        <v>0.11</v>
      </c>
    </row>
    <row r="204" spans="1:4" x14ac:dyDescent="0.25">
      <c r="A204" s="110" t="s">
        <v>167</v>
      </c>
      <c r="B204" s="107">
        <v>1.2E-4</v>
      </c>
      <c r="C204" s="111">
        <v>1.9555811406552987E-6</v>
      </c>
      <c r="D204" s="112">
        <v>7.0000000000000007E-2</v>
      </c>
    </row>
    <row r="205" spans="1:4" x14ac:dyDescent="0.25">
      <c r="A205" s="110" t="s">
        <v>168</v>
      </c>
      <c r="B205" s="107">
        <v>1.2E-4</v>
      </c>
      <c r="C205" s="111">
        <v>2.0161212596955231E-6</v>
      </c>
      <c r="D205" s="112">
        <v>0.1</v>
      </c>
    </row>
    <row r="206" spans="1:4" x14ac:dyDescent="0.25">
      <c r="A206" s="110" t="s">
        <v>169</v>
      </c>
      <c r="B206" s="107">
        <v>1.2E-4</v>
      </c>
      <c r="C206" s="111">
        <v>1.9575397292662169E-6</v>
      </c>
      <c r="D206" s="112">
        <v>0.09</v>
      </c>
    </row>
    <row r="207" spans="1:4" x14ac:dyDescent="0.25">
      <c r="A207" s="110" t="s">
        <v>170</v>
      </c>
      <c r="B207" s="107">
        <v>1.2E-4</v>
      </c>
      <c r="C207" s="111">
        <v>2.1059860548806799E-6</v>
      </c>
      <c r="D207" s="112">
        <v>0.12</v>
      </c>
    </row>
    <row r="208" spans="1:4" x14ac:dyDescent="0.25">
      <c r="A208" s="110" t="s">
        <v>171</v>
      </c>
      <c r="B208" s="107">
        <v>1.2E-4</v>
      </c>
      <c r="C208" s="111">
        <v>2.0929669715327234E-6</v>
      </c>
      <c r="D208" s="112">
        <v>0.1</v>
      </c>
    </row>
    <row r="209" spans="1:4" x14ac:dyDescent="0.25">
      <c r="A209" s="110" t="s">
        <v>172</v>
      </c>
      <c r="B209" s="107">
        <v>1.2E-4</v>
      </c>
      <c r="C209" s="111">
        <v>1.9757697427076265E-6</v>
      </c>
      <c r="D209" s="112">
        <v>7.0000000000000007E-2</v>
      </c>
    </row>
    <row r="210" spans="1:4" x14ac:dyDescent="0.25">
      <c r="A210" s="110" t="s">
        <v>173</v>
      </c>
      <c r="B210" s="107">
        <v>1.2E-4</v>
      </c>
      <c r="C210" s="111">
        <v>1.9232485891823256E-6</v>
      </c>
      <c r="D210" s="112">
        <v>0.06</v>
      </c>
    </row>
    <row r="211" spans="1:4" ht="15.75" thickBot="1" x14ac:dyDescent="0.3">
      <c r="A211" s="113" t="s">
        <v>174</v>
      </c>
      <c r="B211" s="124">
        <v>1.2E-4</v>
      </c>
      <c r="C211" s="114">
        <v>2.0934206163837305E-6</v>
      </c>
      <c r="D211" s="115">
        <v>0.15</v>
      </c>
    </row>
    <row r="212" spans="1:4" x14ac:dyDescent="0.25">
      <c r="C212" s="7">
        <f>AVERAGE(C202:C211)</f>
        <v>2.0160336440527887E-6</v>
      </c>
      <c r="D212" s="65">
        <f>AVERAGE(D202:D211)</f>
        <v>9.7000000000000003E-2</v>
      </c>
    </row>
  </sheetData>
  <mergeCells count="1">
    <mergeCell ref="D1:E1"/>
  </mergeCells>
  <phoneticPr fontId="9" type="noConversion"/>
  <hyperlinks>
    <hyperlink ref="D57" r:id="rId1" xr:uid="{B8C25017-7287-4A4D-B4B5-4A1E413BA790}"/>
  </hyperlinks>
  <pageMargins left="0.7" right="0.7" top="0.75" bottom="0.75" header="0.3" footer="0.3"/>
  <pageSetup scale="36" orientation="portrait" r:id="rId2"/>
  <headerFooter>
    <oddHeader>&amp;C&amp;Z&amp;F&amp;R&amp;P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goalSeekInfo</vt:lpstr>
      <vt:lpstr>RiskSerializationData8</vt:lpstr>
      <vt:lpstr>Chicken Parts</vt:lpstr>
      <vt:lpstr>RiskSerializationData8!BrowseRecords</vt:lpstr>
      <vt:lpstr>'Chicken Parts'!Print_Area</vt:lpstr>
      <vt:lpstr>RiskSerializationData8!SerializationHeader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Chavez Viteri, Ruben Alexander</dc:creator>
  <cp:lastModifiedBy>Kim, Minho</cp:lastModifiedBy>
  <cp:lastPrinted>2023-06-15T16:04:01Z</cp:lastPrinted>
  <dcterms:created xsi:type="dcterms:W3CDTF">2023-01-06T19:28:37Z</dcterms:created>
  <dcterms:modified xsi:type="dcterms:W3CDTF">2024-01-08T02:45:46Z</dcterms:modified>
</cp:coreProperties>
</file>