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nho3\Box\Poultry\USPoultry work\risk models\Chicken Parts Model\Chicken parts model 1-WHO\"/>
    </mc:Choice>
  </mc:AlternateContent>
  <xr:revisionPtr revIDLastSave="0" documentId="13_ncr:1_{FCDFF2E8-7BE2-4E4F-BAF1-4563771699B9}" xr6:coauthVersionLast="47" xr6:coauthVersionMax="47" xr10:uidLastSave="{00000000-0000-0000-0000-000000000000}"/>
  <bookViews>
    <workbookView xWindow="-120" yWindow="-120" windowWidth="29040" windowHeight="15840" firstSheet="2" activeTab="2" xr2:uid="{8649FD71-15AB-4D1C-8F8E-DD1C260038CD}"/>
  </bookViews>
  <sheets>
    <sheet name="goalSeekInfo" sheetId="167" state="hidden" r:id="rId1"/>
    <sheet name="RiskSerializationData8" sheetId="269" state="hidden" r:id="rId2"/>
    <sheet name="Chicken Parts" sheetId="142" r:id="rId3"/>
  </sheets>
  <definedNames>
    <definedName name="_AtRisk_ReportsSetting_ReportGraphOptions" hidden="1">"REP:VER:8.1.1GRA:OUT:00INS:00SUM:T00DET:T00SCE:02SC1:33DAT:2|TRUE,.75,1|TRUE,0,.25|TRUE,.9,1SE1:38DAT:3,10,2,.95,5,16,FALSE,0,TRUE,TRUE,TRUESE2:38DAT:3,10,2,.95,5,16,FALSE,0,TRUE,TRUE,TRUETSI:002"</definedName>
    <definedName name="_AtRisk_ReportsSetting_ReportMulitSelections" hidden="1">"REP:VER:8.1.1MUL:OUT:T20INS:F11SUM:F21DET:F20SEN:F11SCE:F11TEM:F"</definedName>
    <definedName name="_AtRisk_ReportsSetting_ReportOptions" hidden="1">"REP:VER:8.1.1OPT:RAP:02RWE:00RLS:04ROT:00RST:00RRT:04AGR:FAFN:114DAT:C:\Users\rubenc2\Desktop\Chicken Parts Inclusion and Non inclusion Simulation Serotype D-R Detailed Statistics.pdfOGR:T"</definedName>
    <definedName name="_AtRisk_ReportsSetting_ReportSelectedRangeDetails" hidden="1">#REF!,#REF!,#REF!,#REF!,#REF!,#REF!,#REF!,#REF!,#REF!,#REF!,#REF!,#REF!,#REF!,#REF!,#REF!,#REF!,#REF!,#REF!,#REF!,#REF!,#REF!,#REF!,#REF!,#REF!,#REF!,#REF!</definedName>
    <definedName name="_AtRisk_ReportsSetting_ReportSelectedRangeOutputs" hidden="1">#REF!,#REF!,#REF!,#REF!,#REF!,#REF!,#REF!,#REF!,#REF!,#REF!,#REF!,#REF!,#REF!,#REF!,#REF!,#REF!,#REF!,#REF!,#REF!,#REF!,#REF!,#REF!,#REF!,#REF!,#REF!,#REF!</definedName>
    <definedName name="_AtRisk_ReportsSetting_ReportSelectedRangeSummary" hidden="1">#REF!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7</definedName>
    <definedName name="_AtRisk_SimSetting_MultipleCPUManualCount" hidden="1">7</definedName>
    <definedName name="_AtRisk_SimSetting_MultipleCPUMode" hidden="1">1</definedName>
    <definedName name="_AtRisk_SimSetting_MultipleCPUModeV8" hidden="1">1</definedName>
    <definedName name="_AtRisk_SimSetting_RandomNumberGenerator" hidden="1">0</definedName>
    <definedName name="_AtRisk_SimSetting_ShowSimulationProgressWindow" hidden="1">TRUE</definedName>
    <definedName name="_AtRisk_SimSetting_SimName001" hidden="1">""</definedName>
    <definedName name="_AtRisk_SimSetting_SimName002" hidden="1">""</definedName>
    <definedName name="_AtRisk_SimSetting_SimName003" hidden="1">""</definedName>
    <definedName name="_AtRisk_SimSetting_SimName004" hidden="1">""</definedName>
    <definedName name="_AtRisk_SimSetting_SimName005" hidden="1">""</definedName>
    <definedName name="_AtRisk_SimSetting_SimName006" hidden="1">""</definedName>
    <definedName name="_AtRisk_SimSetting_SimName007" hidden="1">""</definedName>
    <definedName name="_AtRisk_SimSetting_SimName008" hidden="1">""</definedName>
    <definedName name="_AtRisk_SimSetting_SimName009" hidden="1">""</definedName>
    <definedName name="_AtRisk_SimSetting_SimName010" hidden="1">""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BrowseRecords" localSheetId="1">RiskSerializationData8!$6:$9</definedName>
    <definedName name="Pal_Workbook_GUID" hidden="1">"WVNZPGZDHMCWZNLGFYTUZKMK"</definedName>
    <definedName name="_xlnm.Print_Area" localSheetId="2">'Chicken Parts'!$A$1:$AJ$104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2</definedName>
    <definedName name="RiskSimulationResultsStorageLocation" hidden="1">"2"</definedName>
    <definedName name="RiskStandardRecalc" hidden="1">2</definedName>
    <definedName name="RiskUpdateDisplay" hidden="1">FALSE</definedName>
    <definedName name="RiskUseDifferentSeedForEachSim" hidden="1">TRUE</definedName>
    <definedName name="RiskUseFixedSeed" hidden="1">FALSE</definedName>
    <definedName name="RiskUseMultipleCPUs" hidden="1">TRUE</definedName>
    <definedName name="SerializationHeader" localSheetId="1">RiskSerializationData8!$A$1:$B$3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" i="269" l="1"/>
  <c r="L8" i="269"/>
  <c r="A8" i="269"/>
  <c r="L7" i="269"/>
  <c r="A7" i="269"/>
  <c r="L6" i="269"/>
  <c r="A6" i="269"/>
  <c r="B43" i="142" a="1"/>
  <c r="B43" i="142" s="1"/>
  <c r="AL9" i="142" a="1"/>
  <c r="AL9" i="142" s="1"/>
  <c r="AL23" i="142" s="1"/>
  <c r="AX23" i="142" s="1"/>
  <c r="B9" i="142" a="1"/>
  <c r="B9" i="142" s="1"/>
  <c r="N9" i="142" s="1"/>
  <c r="B19" i="142"/>
  <c r="B20" i="142" s="1" a="1"/>
  <c r="B20" i="142" s="1"/>
  <c r="Z59" i="142"/>
  <c r="N59" i="142"/>
  <c r="AX8" i="142"/>
  <c r="BJ8" i="142"/>
  <c r="AX7" i="142"/>
  <c r="BJ7" i="142"/>
  <c r="BI99" i="142"/>
  <c r="BI89" i="142"/>
  <c r="BI91" i="142"/>
  <c r="BI85" i="142"/>
  <c r="BI81" i="142"/>
  <c r="BI83" i="142"/>
  <c r="BI84" i="142"/>
  <c r="BI77" i="142"/>
  <c r="BI80" i="142"/>
  <c r="BI73" i="142"/>
  <c r="BI66" i="142"/>
  <c r="BI65" i="142"/>
  <c r="BI64" i="142"/>
  <c r="BI63" i="142"/>
  <c r="BI62" i="142"/>
  <c r="AW99" i="142"/>
  <c r="AW89" i="142"/>
  <c r="AW103" i="142"/>
  <c r="AW85" i="142"/>
  <c r="AW88" i="142"/>
  <c r="AW81" i="142"/>
  <c r="AW77" i="142"/>
  <c r="AW78" i="142"/>
  <c r="AW95" i="142"/>
  <c r="AW73" i="142"/>
  <c r="AW74" i="142"/>
  <c r="AW76" i="142"/>
  <c r="AW66" i="142"/>
  <c r="AW65" i="142"/>
  <c r="AW64" i="142"/>
  <c r="AW63" i="142"/>
  <c r="AW62" i="142"/>
  <c r="AK99" i="142"/>
  <c r="AK89" i="142"/>
  <c r="AK85" i="142"/>
  <c r="AK102" i="142"/>
  <c r="AK81" i="142"/>
  <c r="AK82" i="142"/>
  <c r="AK96" i="142"/>
  <c r="AK77" i="142"/>
  <c r="AK73" i="142"/>
  <c r="AK74" i="142"/>
  <c r="AK66" i="142"/>
  <c r="AK65" i="142"/>
  <c r="AK64" i="142"/>
  <c r="AK63" i="142"/>
  <c r="AK62" i="142"/>
  <c r="Y99" i="142"/>
  <c r="Y89" i="142"/>
  <c r="Y92" i="142"/>
  <c r="Y85" i="142"/>
  <c r="Y81" i="142"/>
  <c r="Y77" i="142"/>
  <c r="Y78" i="142"/>
  <c r="Y95" i="142"/>
  <c r="Y73" i="142"/>
  <c r="Y76" i="142"/>
  <c r="Y66" i="142"/>
  <c r="Y65" i="142"/>
  <c r="Y64" i="142"/>
  <c r="Y63" i="142"/>
  <c r="Y62" i="142"/>
  <c r="M99" i="142"/>
  <c r="M89" i="142"/>
  <c r="M91" i="142"/>
  <c r="M90" i="142"/>
  <c r="M98" i="142"/>
  <c r="M85" i="142"/>
  <c r="M87" i="142"/>
  <c r="M81" i="142"/>
  <c r="M83" i="142"/>
  <c r="M77" i="142"/>
  <c r="M100" i="142"/>
  <c r="M73" i="142"/>
  <c r="M76" i="142"/>
  <c r="M66" i="142"/>
  <c r="M65" i="142"/>
  <c r="M64" i="142"/>
  <c r="M63" i="142"/>
  <c r="M62" i="142"/>
  <c r="A77" i="142"/>
  <c r="A80" i="142"/>
  <c r="A73" i="142"/>
  <c r="A76" i="142"/>
  <c r="A66" i="142"/>
  <c r="A65" i="142"/>
  <c r="A64" i="142"/>
  <c r="A63" i="142"/>
  <c r="A62" i="142"/>
  <c r="AL24" i="142"/>
  <c r="BJ18" i="142"/>
  <c r="BK18" i="142"/>
  <c r="AX18" i="142"/>
  <c r="AY18" i="142"/>
  <c r="AL18" i="142"/>
  <c r="AM18" i="142"/>
  <c r="BK17" i="142"/>
  <c r="AY17" i="142"/>
  <c r="AM17" i="142"/>
  <c r="BK16" i="142"/>
  <c r="AY16" i="142"/>
  <c r="AM16" i="142"/>
  <c r="BK15" i="142"/>
  <c r="AY15" i="142"/>
  <c r="AM15" i="142"/>
  <c r="BK14" i="142"/>
  <c r="AY14" i="142"/>
  <c r="AM14" i="142"/>
  <c r="BK13" i="142"/>
  <c r="AY13" i="142"/>
  <c r="AM13" i="142"/>
  <c r="BK12" i="142"/>
  <c r="AY12" i="142"/>
  <c r="AM12" i="142"/>
  <c r="Z18" i="142"/>
  <c r="AA18" i="142"/>
  <c r="AA17" i="142"/>
  <c r="AA16" i="142"/>
  <c r="AA15" i="142"/>
  <c r="AA14" i="142"/>
  <c r="AA13" i="142"/>
  <c r="AA12" i="142"/>
  <c r="N18" i="142"/>
  <c r="O18" i="142"/>
  <c r="O17" i="142"/>
  <c r="O16" i="142"/>
  <c r="O15" i="142"/>
  <c r="O14" i="142"/>
  <c r="O13" i="142"/>
  <c r="O12" i="142"/>
  <c r="A99" i="142"/>
  <c r="A89" i="142"/>
  <c r="A90" i="142"/>
  <c r="A98" i="142"/>
  <c r="A85" i="142"/>
  <c r="A81" i="142"/>
  <c r="A82" i="142"/>
  <c r="A96" i="142"/>
  <c r="A83" i="142"/>
  <c r="B18" i="142"/>
  <c r="C18" i="142"/>
  <c r="C17" i="142"/>
  <c r="C16" i="142"/>
  <c r="C15" i="142"/>
  <c r="C14" i="142"/>
  <c r="C13" i="142"/>
  <c r="C12" i="142"/>
  <c r="B24" i="142"/>
  <c r="B2" i="167"/>
  <c r="A2" i="167"/>
  <c r="AW75" i="142"/>
  <c r="AK75" i="142"/>
  <c r="BI78" i="142"/>
  <c r="BI95" i="142"/>
  <c r="Y74" i="142"/>
  <c r="AW83" i="142"/>
  <c r="BI100" i="142"/>
  <c r="M75" i="142"/>
  <c r="A92" i="142"/>
  <c r="M84" i="142"/>
  <c r="M101" i="142"/>
  <c r="AK103" i="142"/>
  <c r="Y82" i="142"/>
  <c r="Y96" i="142"/>
  <c r="M82" i="142"/>
  <c r="M96" i="142"/>
  <c r="A101" i="142"/>
  <c r="AW90" i="142"/>
  <c r="AW98" i="142"/>
  <c r="AK84" i="142"/>
  <c r="BI74" i="142"/>
  <c r="BI76" i="142"/>
  <c r="BI75" i="142"/>
  <c r="Y100" i="142"/>
  <c r="BI82" i="142"/>
  <c r="BI96" i="142"/>
  <c r="BI101" i="142"/>
  <c r="M80" i="142"/>
  <c r="AW92" i="142"/>
  <c r="BI103" i="142"/>
  <c r="A75" i="142"/>
  <c r="M78" i="142"/>
  <c r="M95" i="142"/>
  <c r="AK76" i="142"/>
  <c r="M79" i="142"/>
  <c r="AW91" i="142"/>
  <c r="BI92" i="142"/>
  <c r="Y80" i="142"/>
  <c r="M74" i="142"/>
  <c r="BI90" i="142"/>
  <c r="BI98" i="142"/>
  <c r="Y79" i="142"/>
  <c r="AW100" i="142"/>
  <c r="A100" i="142"/>
  <c r="M103" i="142"/>
  <c r="A103" i="142"/>
  <c r="AK87" i="142"/>
  <c r="A91" i="142"/>
  <c r="AW80" i="142"/>
  <c r="M92" i="142"/>
  <c r="AK88" i="142"/>
  <c r="AW79" i="142"/>
  <c r="AK86" i="142"/>
  <c r="AK97" i="142"/>
  <c r="BI102" i="142"/>
  <c r="BI86" i="142"/>
  <c r="BI97" i="142"/>
  <c r="BI88" i="142"/>
  <c r="BI87" i="142"/>
  <c r="BI79" i="142"/>
  <c r="A74" i="142"/>
  <c r="M102" i="142"/>
  <c r="Y101" i="142"/>
  <c r="Y83" i="142"/>
  <c r="Y84" i="142"/>
  <c r="A84" i="142"/>
  <c r="AK91" i="142"/>
  <c r="AK92" i="142"/>
  <c r="AK90" i="142"/>
  <c r="AK98" i="142"/>
  <c r="AW101" i="142"/>
  <c r="AW84" i="142"/>
  <c r="AW82" i="142"/>
  <c r="AW96" i="142"/>
  <c r="AK79" i="142"/>
  <c r="AK80" i="142"/>
  <c r="AK78" i="142"/>
  <c r="AK95" i="142"/>
  <c r="AK100" i="142"/>
  <c r="A102" i="142"/>
  <c r="A88" i="142"/>
  <c r="A87" i="142"/>
  <c r="A86" i="142"/>
  <c r="A97" i="142"/>
  <c r="Y88" i="142"/>
  <c r="Y102" i="142"/>
  <c r="Y87" i="142"/>
  <c r="Y86" i="142"/>
  <c r="Y97" i="142"/>
  <c r="AK83" i="142"/>
  <c r="AW102" i="142"/>
  <c r="AW87" i="142"/>
  <c r="AW86" i="142"/>
  <c r="AW97" i="142"/>
  <c r="Y75" i="142"/>
  <c r="A78" i="142"/>
  <c r="A95" i="142"/>
  <c r="A79" i="142"/>
  <c r="M88" i="142"/>
  <c r="M86" i="142"/>
  <c r="M97" i="142"/>
  <c r="Y91" i="142"/>
  <c r="Y103" i="142"/>
  <c r="Y90" i="142"/>
  <c r="Y98" i="142"/>
  <c r="AK101" i="142"/>
  <c r="AL25" i="142" a="1"/>
  <c r="AX25" i="142" a="1"/>
  <c r="N43" i="142" l="1"/>
  <c r="Z43" i="142" s="1"/>
  <c r="AL43" i="142" s="1"/>
  <c r="AX43" i="142" s="1"/>
  <c r="BJ43" i="142" s="1"/>
  <c r="B44" i="142"/>
  <c r="N44" i="142" s="1"/>
  <c r="Z44" i="142" s="1"/>
  <c r="AL44" i="142" s="1"/>
  <c r="AX44" i="142" s="1"/>
  <c r="BJ44" i="142" s="1"/>
  <c r="AX9" i="142"/>
  <c r="BJ9" i="142" s="1"/>
  <c r="N19" i="142"/>
  <c r="Z19" i="142" s="1"/>
  <c r="AX25" i="142"/>
  <c r="AL25" i="142"/>
  <c r="BJ23" i="142"/>
  <c r="Z9" i="142"/>
  <c r="Z23" i="142" s="1"/>
  <c r="N23" i="142"/>
  <c r="B23" i="142"/>
  <c r="B35" i="142"/>
  <c r="B31" i="142"/>
  <c r="BJ25" i="142" a="1"/>
  <c r="AX26" i="142" a="1"/>
  <c r="Z25" i="142" a="1"/>
  <c r="AL26" i="142" a="1"/>
  <c r="N25" i="142" a="1"/>
  <c r="B25" i="142" a="1"/>
  <c r="N20" i="142" l="1" a="1"/>
  <c r="N20" i="142" s="1"/>
  <c r="N35" i="142" s="1"/>
  <c r="AX46" i="142"/>
  <c r="AX58" i="142" s="1"/>
  <c r="AX61" i="142" s="1"/>
  <c r="AL46" i="142"/>
  <c r="AL58" i="142" s="1"/>
  <c r="AL61" i="142" s="1"/>
  <c r="B25" i="142"/>
  <c r="N25" i="142"/>
  <c r="AL26" i="142"/>
  <c r="AM100" i="142" s="1"/>
  <c r="I114" i="142" s="1"/>
  <c r="Z25" i="142"/>
  <c r="AX26" i="142"/>
  <c r="AY100" i="142" s="1"/>
  <c r="I115" i="142" s="1"/>
  <c r="BJ25" i="142"/>
  <c r="B46" i="142"/>
  <c r="B58" i="142" s="1"/>
  <c r="B61" i="142" s="1"/>
  <c r="AL19" i="142"/>
  <c r="AX19" i="142" s="1"/>
  <c r="BJ19" i="142" s="1"/>
  <c r="BJ20" i="142" s="1" a="1"/>
  <c r="BJ20" i="142" s="1"/>
  <c r="Z20" i="142" a="1"/>
  <c r="Z20" i="142" s="1"/>
  <c r="N46" i="142"/>
  <c r="N58" i="142" s="1"/>
  <c r="N61" i="142" s="1"/>
  <c r="AL48" i="142"/>
  <c r="AL63" i="142" s="1"/>
  <c r="Z46" i="142"/>
  <c r="Z58" i="142" s="1"/>
  <c r="Z61" i="142" s="1"/>
  <c r="AX48" i="142"/>
  <c r="AX63" i="142" s="1"/>
  <c r="AX47" i="142"/>
  <c r="AX62" i="142" s="1"/>
  <c r="BJ46" i="142"/>
  <c r="BJ58" i="142" s="1"/>
  <c r="BJ61" i="142" s="1"/>
  <c r="AX68" i="142" a="1"/>
  <c r="AL68" i="142" a="1"/>
  <c r="B26" i="142" a="1"/>
  <c r="BJ26" i="142" a="1"/>
  <c r="AL77" i="142" a="1"/>
  <c r="BJ68" i="142" a="1"/>
  <c r="AX77" i="142" a="1"/>
  <c r="N26" i="142" a="1"/>
  <c r="N68" i="142" a="1"/>
  <c r="Z26" i="142" a="1"/>
  <c r="B68" i="142" a="1"/>
  <c r="AX73" i="142" a="1"/>
  <c r="Z68" i="142" a="1"/>
  <c r="AX68" i="142" l="1"/>
  <c r="N31" i="142"/>
  <c r="N32" i="142" s="1"/>
  <c r="AL47" i="142"/>
  <c r="AL62" i="142" s="1"/>
  <c r="AL68" i="142"/>
  <c r="Z68" i="142"/>
  <c r="AX73" i="142"/>
  <c r="B68" i="142"/>
  <c r="Z26" i="142"/>
  <c r="AA100" i="142" s="1"/>
  <c r="C116" i="142" s="1"/>
  <c r="N68" i="142"/>
  <c r="N26" i="142"/>
  <c r="O100" i="142" s="1"/>
  <c r="C115" i="142" s="1"/>
  <c r="AX77" i="142"/>
  <c r="BJ68" i="142"/>
  <c r="AL77" i="142"/>
  <c r="BJ26" i="142"/>
  <c r="BK100" i="142" s="1"/>
  <c r="I116" i="142" s="1"/>
  <c r="B26" i="142"/>
  <c r="C100" i="142" s="1"/>
  <c r="C114" i="142" s="1"/>
  <c r="BJ31" i="142"/>
  <c r="BJ32" i="142" s="1"/>
  <c r="BJ35" i="142"/>
  <c r="BJ38" i="142" s="1"/>
  <c r="J115" i="142"/>
  <c r="I118" i="142"/>
  <c r="J118" i="142" s="1"/>
  <c r="Z48" i="142"/>
  <c r="Z63" i="142" s="1"/>
  <c r="Z47" i="142"/>
  <c r="Z62" i="142" s="1"/>
  <c r="J114" i="142"/>
  <c r="I117" i="142"/>
  <c r="J117" i="142" s="1"/>
  <c r="N38" i="142"/>
  <c r="N36" i="142"/>
  <c r="N48" i="142"/>
  <c r="N63" i="142" s="1"/>
  <c r="N47" i="142"/>
  <c r="N62" i="142" s="1"/>
  <c r="Z35" i="142"/>
  <c r="Z38" i="142" s="1"/>
  <c r="Z31" i="142"/>
  <c r="Z32" i="142" s="1"/>
  <c r="AL20" i="142"/>
  <c r="BJ48" i="142"/>
  <c r="BJ63" i="142" s="1"/>
  <c r="BJ47" i="142"/>
  <c r="BJ62" i="142" s="1"/>
  <c r="B38" i="142"/>
  <c r="B36" i="142"/>
  <c r="B32" i="142"/>
  <c r="B47" i="142"/>
  <c r="B62" i="142" s="1"/>
  <c r="B48" i="142"/>
  <c r="B63" i="142" s="1"/>
  <c r="AL73" i="142" a="1"/>
  <c r="AX71" i="142" a="1"/>
  <c r="AX70" i="142" a="1"/>
  <c r="AY68" i="142" a="1"/>
  <c r="AX69" i="142" a="1"/>
  <c r="AL71" i="142" a="1"/>
  <c r="AL70" i="142" a="1"/>
  <c r="AL69" i="142" a="1"/>
  <c r="AM68" i="142" a="1"/>
  <c r="BJ73" i="142" a="1"/>
  <c r="C68" i="142" a="1"/>
  <c r="B71" i="142" a="1"/>
  <c r="B69" i="142" a="1"/>
  <c r="B70" i="142" a="1"/>
  <c r="Z73" i="142" a="1"/>
  <c r="N77" i="142" a="1"/>
  <c r="B37" i="142" a="1"/>
  <c r="B39" i="142" a="1"/>
  <c r="N71" i="142" a="1"/>
  <c r="N69" i="142" a="1"/>
  <c r="N70" i="142" a="1"/>
  <c r="O68" i="142" a="1"/>
  <c r="AX79" i="142" a="1"/>
  <c r="AY77" i="142" a="1"/>
  <c r="AX80" i="142" a="1"/>
  <c r="AX78" i="142" a="1"/>
  <c r="BK68" i="142" a="1"/>
  <c r="BJ70" i="142" a="1"/>
  <c r="BJ69" i="142" a="1"/>
  <c r="BJ71" i="142" a="1"/>
  <c r="N73" i="142" a="1"/>
  <c r="B33" i="142" a="1"/>
  <c r="AY73" i="142" a="1"/>
  <c r="AX76" i="142" a="1"/>
  <c r="AX74" i="142" a="1"/>
  <c r="AX75" i="142" a="1"/>
  <c r="AM77" i="142" a="1"/>
  <c r="AL78" i="142" a="1"/>
  <c r="AL79" i="142" a="1"/>
  <c r="AL80" i="142" a="1"/>
  <c r="N33" i="142" a="1"/>
  <c r="BJ77" i="142" a="1"/>
  <c r="B73" i="142" a="1"/>
  <c r="AA68" i="142" a="1"/>
  <c r="Z69" i="142" a="1"/>
  <c r="Z70" i="142" a="1"/>
  <c r="Z71" i="142" a="1"/>
  <c r="Z77" i="142" a="1"/>
  <c r="B77" i="142" a="1"/>
  <c r="N39" i="142" a="1"/>
  <c r="N37" i="142" a="1"/>
  <c r="BJ33" i="142" a="1"/>
  <c r="BJ39" i="142" a="1"/>
  <c r="Z39" i="142" a="1"/>
  <c r="Z33" i="142" a="1"/>
  <c r="Z36" i="142" l="1"/>
  <c r="AX69" i="142"/>
  <c r="AY68" i="142"/>
  <c r="AX70" i="142"/>
  <c r="AX71" i="142"/>
  <c r="AL73" i="142"/>
  <c r="AM68" i="142"/>
  <c r="AL69" i="142"/>
  <c r="AL94" i="142" s="1"/>
  <c r="AL99" i="142" s="1"/>
  <c r="AL70" i="142"/>
  <c r="AL71" i="142"/>
  <c r="Z33" i="142"/>
  <c r="AA101" i="142" s="1"/>
  <c r="C122" i="142" s="1"/>
  <c r="D122" i="142" s="1"/>
  <c r="Z39" i="142"/>
  <c r="AA103" i="142" s="1"/>
  <c r="C128" i="142" s="1"/>
  <c r="D128" i="142" s="1"/>
  <c r="BJ39" i="142"/>
  <c r="BK103" i="142" s="1"/>
  <c r="I128" i="142" s="1"/>
  <c r="J128" i="142" s="1"/>
  <c r="BJ33" i="142"/>
  <c r="BK101" i="142" s="1"/>
  <c r="I122" i="142" s="1"/>
  <c r="J122" i="142" s="1"/>
  <c r="N37" i="142"/>
  <c r="O102" i="142" s="1"/>
  <c r="C124" i="142" s="1"/>
  <c r="D124" i="142" s="1"/>
  <c r="N39" i="142"/>
  <c r="O103" i="142" s="1"/>
  <c r="C127" i="142" s="1"/>
  <c r="D127" i="142" s="1"/>
  <c r="B77" i="142"/>
  <c r="Z77" i="142"/>
  <c r="Z71" i="142"/>
  <c r="Z70" i="142"/>
  <c r="Z69" i="142"/>
  <c r="AA68" i="142"/>
  <c r="B73" i="142"/>
  <c r="BJ77" i="142"/>
  <c r="N33" i="142"/>
  <c r="O101" i="142" s="1"/>
  <c r="C121" i="142" s="1"/>
  <c r="D121" i="142" s="1"/>
  <c r="AL80" i="142"/>
  <c r="AL79" i="142"/>
  <c r="AL78" i="142"/>
  <c r="AM77" i="142"/>
  <c r="AX75" i="142"/>
  <c r="AX74" i="142"/>
  <c r="AX76" i="142"/>
  <c r="AY73" i="142"/>
  <c r="B33" i="142"/>
  <c r="C101" i="142" s="1"/>
  <c r="C120" i="142" s="1"/>
  <c r="D120" i="142" s="1"/>
  <c r="N73" i="142"/>
  <c r="BJ71" i="142"/>
  <c r="BJ69" i="142"/>
  <c r="BJ70" i="142"/>
  <c r="BK68" i="142"/>
  <c r="AX78" i="142"/>
  <c r="AX80" i="142"/>
  <c r="AY77" i="142"/>
  <c r="AX79" i="142"/>
  <c r="O68" i="142"/>
  <c r="N70" i="142"/>
  <c r="N69" i="142"/>
  <c r="N71" i="142"/>
  <c r="B39" i="142"/>
  <c r="C103" i="142" s="1"/>
  <c r="C126" i="142" s="1"/>
  <c r="D126" i="142" s="1"/>
  <c r="B37" i="142"/>
  <c r="C102" i="142" s="1"/>
  <c r="C123" i="142" s="1"/>
  <c r="D123" i="142" s="1"/>
  <c r="N77" i="142"/>
  <c r="Z73" i="142"/>
  <c r="B70" i="142"/>
  <c r="B69" i="142"/>
  <c r="B71" i="142"/>
  <c r="C68" i="142"/>
  <c r="BJ73" i="142"/>
  <c r="Z50" i="142"/>
  <c r="Z64" i="142" s="1"/>
  <c r="Z54" i="142"/>
  <c r="Z66" i="142" s="1"/>
  <c r="BJ54" i="142"/>
  <c r="BJ66" i="142" s="1"/>
  <c r="BJ50" i="142"/>
  <c r="BJ64" i="142" s="1"/>
  <c r="AL31" i="142"/>
  <c r="AL32" i="142" s="1"/>
  <c r="AL35" i="142"/>
  <c r="AX20" i="142"/>
  <c r="N52" i="142"/>
  <c r="N65" i="142" s="1"/>
  <c r="D116" i="142"/>
  <c r="C119" i="142"/>
  <c r="D119" i="142" s="1"/>
  <c r="N54" i="142"/>
  <c r="N66" i="142" s="1"/>
  <c r="D114" i="142"/>
  <c r="C117" i="142"/>
  <c r="D117" i="142" s="1"/>
  <c r="J116" i="142"/>
  <c r="I119" i="142"/>
  <c r="J119" i="142" s="1"/>
  <c r="N50" i="142"/>
  <c r="N64" i="142" s="1"/>
  <c r="B50" i="142"/>
  <c r="B64" i="142" s="1"/>
  <c r="BJ36" i="142"/>
  <c r="B54" i="142"/>
  <c r="B66" i="142" s="1"/>
  <c r="D115" i="142"/>
  <c r="C118" i="142"/>
  <c r="D118" i="142" s="1"/>
  <c r="B52" i="142"/>
  <c r="B65" i="142" s="1"/>
  <c r="Z52" i="142"/>
  <c r="Z65" i="142" s="1"/>
  <c r="Z37" i="142" a="1"/>
  <c r="AY70" i="142" a="1"/>
  <c r="AY71" i="142" a="1"/>
  <c r="AL75" i="142" a="1"/>
  <c r="AM73" i="142" a="1"/>
  <c r="AL74" i="142" a="1"/>
  <c r="AL76" i="142" a="1"/>
  <c r="AY69" i="142" a="1"/>
  <c r="AM71" i="142" a="1"/>
  <c r="AM70" i="142" a="1"/>
  <c r="AM69" i="142" a="1"/>
  <c r="BJ80" i="142" a="1"/>
  <c r="BJ78" i="142" a="1"/>
  <c r="BK77" i="142" a="1"/>
  <c r="BJ79" i="142" a="1"/>
  <c r="N75" i="142" a="1"/>
  <c r="O73" i="142" a="1"/>
  <c r="N76" i="142" a="1"/>
  <c r="N74" i="142" a="1"/>
  <c r="AY78" i="142" a="1"/>
  <c r="O69" i="142" a="1"/>
  <c r="O77" i="142" a="1"/>
  <c r="N78" i="142" a="1"/>
  <c r="N79" i="142" a="1"/>
  <c r="N80" i="142" a="1"/>
  <c r="AL33" i="142" a="1"/>
  <c r="N89" i="142" a="1"/>
  <c r="B85" i="142" a="1"/>
  <c r="N81" i="142" a="1"/>
  <c r="Z79" i="142" a="1"/>
  <c r="AA77" i="142" a="1"/>
  <c r="Z80" i="142" a="1"/>
  <c r="Z78" i="142" a="1"/>
  <c r="AA70" i="142" a="1"/>
  <c r="AM80" i="142" a="1"/>
  <c r="AY74" i="142" a="1"/>
  <c r="BK69" i="142" a="1"/>
  <c r="Z76" i="142" a="1"/>
  <c r="Z74" i="142" a="1"/>
  <c r="AA73" i="142" a="1"/>
  <c r="Z75" i="142" a="1"/>
  <c r="Z81" i="142" a="1"/>
  <c r="BJ37" i="142" a="1"/>
  <c r="AY75" i="142" a="1"/>
  <c r="AA69" i="142" a="1"/>
  <c r="AM79" i="142" a="1"/>
  <c r="AY76" i="142" a="1"/>
  <c r="BK70" i="142" a="1"/>
  <c r="AY79" i="142" a="1"/>
  <c r="C70" i="142" a="1"/>
  <c r="Z89" i="142" a="1"/>
  <c r="N85" i="142" a="1"/>
  <c r="B89" i="142" a="1"/>
  <c r="C73" i="142" a="1"/>
  <c r="B76" i="142" a="1"/>
  <c r="B75" i="142" a="1"/>
  <c r="B74" i="142" a="1"/>
  <c r="BK71" i="142" a="1"/>
  <c r="AY80" i="142" a="1"/>
  <c r="O71" i="142" a="1"/>
  <c r="BJ74" i="142" a="1"/>
  <c r="BK73" i="142" a="1"/>
  <c r="BJ75" i="142" a="1"/>
  <c r="BJ76" i="142" a="1"/>
  <c r="AM78" i="142" a="1"/>
  <c r="C69" i="142" a="1"/>
  <c r="BJ89" i="142" a="1"/>
  <c r="B81" i="142" a="1"/>
  <c r="O70" i="142" a="1"/>
  <c r="C71" i="142" a="1"/>
  <c r="BJ81" i="142" a="1"/>
  <c r="C77" i="142" a="1"/>
  <c r="B80" i="142" a="1"/>
  <c r="B78" i="142" a="1"/>
  <c r="B79" i="142" a="1"/>
  <c r="AA71" i="142" a="1"/>
  <c r="Z85" i="142" a="1"/>
  <c r="Z37" i="142" l="1"/>
  <c r="AA102" i="142" s="1"/>
  <c r="C125" i="142" s="1"/>
  <c r="D125" i="142" s="1"/>
  <c r="AY69" i="142"/>
  <c r="AL76" i="142"/>
  <c r="AL74" i="142"/>
  <c r="K117" i="142" s="1"/>
  <c r="AM73" i="142"/>
  <c r="AL75" i="142"/>
  <c r="AY71" i="142"/>
  <c r="AY70" i="142"/>
  <c r="AX94" i="142"/>
  <c r="AX99" i="142" s="1"/>
  <c r="AM69" i="142"/>
  <c r="AM70" i="142"/>
  <c r="AM71" i="142"/>
  <c r="C109" i="142"/>
  <c r="C110" i="142" s="1"/>
  <c r="Z85" i="142"/>
  <c r="AA71" i="142"/>
  <c r="B79" i="142"/>
  <c r="B78" i="142"/>
  <c r="B80" i="142"/>
  <c r="C77" i="142"/>
  <c r="BJ81" i="142"/>
  <c r="C71" i="142"/>
  <c r="O70" i="142"/>
  <c r="B81" i="142"/>
  <c r="BJ89" i="142"/>
  <c r="C69" i="142"/>
  <c r="AM78" i="142"/>
  <c r="BJ76" i="142"/>
  <c r="BJ75" i="142"/>
  <c r="BK73" i="142"/>
  <c r="BJ74" i="142"/>
  <c r="O71" i="142"/>
  <c r="AY80" i="142"/>
  <c r="BK71" i="142"/>
  <c r="B74" i="142"/>
  <c r="B75" i="142"/>
  <c r="B76" i="142"/>
  <c r="C73" i="142"/>
  <c r="B89" i="142"/>
  <c r="N85" i="142"/>
  <c r="Z89" i="142"/>
  <c r="C70" i="142"/>
  <c r="AY79" i="142"/>
  <c r="BK70" i="142"/>
  <c r="AY76" i="142"/>
  <c r="AM79" i="142"/>
  <c r="AA69" i="142"/>
  <c r="AY75" i="142"/>
  <c r="BJ37" i="142"/>
  <c r="BK102" i="142" s="1"/>
  <c r="I125" i="142" s="1"/>
  <c r="J125" i="142" s="1"/>
  <c r="Z81" i="142"/>
  <c r="Z75" i="142"/>
  <c r="AA73" i="142"/>
  <c r="Z74" i="142"/>
  <c r="Z76" i="142"/>
  <c r="BK69" i="142"/>
  <c r="AY74" i="142"/>
  <c r="AM80" i="142"/>
  <c r="AA70" i="142"/>
  <c r="Z78" i="142"/>
  <c r="Z80" i="142"/>
  <c r="AA77" i="142"/>
  <c r="Z79" i="142"/>
  <c r="N81" i="142"/>
  <c r="B85" i="142"/>
  <c r="N89" i="142"/>
  <c r="AL33" i="142"/>
  <c r="AM101" i="142" s="1"/>
  <c r="I120" i="142" s="1"/>
  <c r="J120" i="142" s="1"/>
  <c r="N80" i="142"/>
  <c r="N79" i="142"/>
  <c r="N78" i="142"/>
  <c r="O77" i="142"/>
  <c r="O69" i="142"/>
  <c r="AY78" i="142"/>
  <c r="N74" i="142"/>
  <c r="N76" i="142"/>
  <c r="O73" i="142"/>
  <c r="N75" i="142"/>
  <c r="BJ79" i="142"/>
  <c r="BK77" i="142"/>
  <c r="BJ78" i="142"/>
  <c r="BJ80" i="142"/>
  <c r="B94" i="142"/>
  <c r="AL95" i="142"/>
  <c r="AL36" i="142"/>
  <c r="AL38" i="142"/>
  <c r="Z94" i="142"/>
  <c r="Z99" i="142" s="1"/>
  <c r="BJ52" i="142"/>
  <c r="BJ65" i="142" s="1"/>
  <c r="AX35" i="142"/>
  <c r="AX31" i="142"/>
  <c r="AX32" i="142" s="1"/>
  <c r="BJ94" i="142"/>
  <c r="BJ99" i="142" s="1"/>
  <c r="K118" i="142"/>
  <c r="AL50" i="142"/>
  <c r="AL64" i="142" s="1"/>
  <c r="N94" i="142"/>
  <c r="N99" i="142" s="1"/>
  <c r="AX95" i="142"/>
  <c r="AM76" i="142" a="1"/>
  <c r="AM74" i="142" a="1"/>
  <c r="AM75" i="142" a="1"/>
  <c r="BK76" i="142" a="1"/>
  <c r="B90" i="142" a="1"/>
  <c r="B92" i="142" a="1"/>
  <c r="B91" i="142" a="1"/>
  <c r="C89" i="142" a="1"/>
  <c r="Z82" i="142" a="1"/>
  <c r="AA81" i="142" a="1"/>
  <c r="Z83" i="142" a="1"/>
  <c r="Z84" i="142" a="1"/>
  <c r="AA79" i="142" a="1"/>
  <c r="O79" i="142" a="1"/>
  <c r="O76" i="142" a="1"/>
  <c r="BK80" i="142" a="1"/>
  <c r="AL39" i="142" a="1"/>
  <c r="C79" i="142" a="1"/>
  <c r="BK75" i="142" a="1"/>
  <c r="C74" i="142" a="1"/>
  <c r="N87" i="142" a="1"/>
  <c r="O85" i="142" a="1"/>
  <c r="N86" i="142" a="1"/>
  <c r="N88" i="142" a="1"/>
  <c r="AA75" i="142" a="1"/>
  <c r="N84" i="142" a="1"/>
  <c r="N82" i="142" a="1"/>
  <c r="N83" i="142" a="1"/>
  <c r="O81" i="142" a="1"/>
  <c r="AX33" i="142" a="1"/>
  <c r="C78" i="142" a="1"/>
  <c r="C81" i="142" a="1"/>
  <c r="B83" i="142" a="1"/>
  <c r="B84" i="142" a="1"/>
  <c r="B82" i="142" a="1"/>
  <c r="C75" i="142" a="1"/>
  <c r="AA89" i="142" a="1"/>
  <c r="Z90" i="142" a="1"/>
  <c r="Z92" i="142" a="1"/>
  <c r="Z91" i="142" a="1"/>
  <c r="B86" i="142" a="1"/>
  <c r="C85" i="142" a="1"/>
  <c r="B87" i="142" a="1"/>
  <c r="B88" i="142" a="1"/>
  <c r="O75" i="142" a="1"/>
  <c r="O78" i="142" a="1"/>
  <c r="C80" i="142" a="1"/>
  <c r="BJ91" i="142" a="1"/>
  <c r="BK89" i="142" a="1"/>
  <c r="BJ90" i="142" a="1"/>
  <c r="BJ92" i="142" a="1"/>
  <c r="BK74" i="142" a="1"/>
  <c r="C76" i="142" a="1"/>
  <c r="AA74" i="142" a="1"/>
  <c r="AA78" i="142" a="1"/>
  <c r="O89" i="142" a="1"/>
  <c r="N90" i="142" a="1"/>
  <c r="N91" i="142" a="1"/>
  <c r="N92" i="142" a="1"/>
  <c r="BK79" i="142" a="1"/>
  <c r="BJ85" i="142" a="1"/>
  <c r="AA76" i="142" a="1"/>
  <c r="AA80" i="142" a="1"/>
  <c r="Z86" i="142" a="1"/>
  <c r="AA85" i="142" a="1"/>
  <c r="Z87" i="142" a="1"/>
  <c r="Z88" i="142" a="1"/>
  <c r="BK81" i="142" a="1"/>
  <c r="BJ83" i="142" a="1"/>
  <c r="BJ84" i="142" a="1"/>
  <c r="BJ82" i="142" a="1"/>
  <c r="O80" i="142" a="1"/>
  <c r="O74" i="142" a="1"/>
  <c r="BK78" i="142" a="1"/>
  <c r="AL37" i="142" a="1"/>
  <c r="AL81" i="142" a="1"/>
  <c r="AM75" i="142" l="1"/>
  <c r="AM74" i="142"/>
  <c r="AM76" i="142"/>
  <c r="L117" i="142"/>
  <c r="L118" i="142"/>
  <c r="AL81" i="142"/>
  <c r="AL37" i="142"/>
  <c r="AM102" i="142" s="1"/>
  <c r="I123" i="142" s="1"/>
  <c r="J123" i="142" s="1"/>
  <c r="BK78" i="142"/>
  <c r="O74" i="142"/>
  <c r="O80" i="142"/>
  <c r="BJ82" i="142"/>
  <c r="BJ84" i="142"/>
  <c r="BJ83" i="142"/>
  <c r="BK81" i="142"/>
  <c r="Z88" i="142"/>
  <c r="Z87" i="142"/>
  <c r="AA85" i="142"/>
  <c r="Z86" i="142"/>
  <c r="AA80" i="142"/>
  <c r="AA76" i="142"/>
  <c r="BJ85" i="142"/>
  <c r="BK79" i="142"/>
  <c r="N92" i="142"/>
  <c r="N91" i="142"/>
  <c r="N90" i="142"/>
  <c r="O89" i="142"/>
  <c r="AA78" i="142"/>
  <c r="AA74" i="142"/>
  <c r="C76" i="142"/>
  <c r="BK74" i="142"/>
  <c r="BJ92" i="142"/>
  <c r="BJ90" i="142"/>
  <c r="BK89" i="142"/>
  <c r="BJ91" i="142"/>
  <c r="C80" i="142"/>
  <c r="O78" i="142"/>
  <c r="O75" i="142"/>
  <c r="B88" i="142"/>
  <c r="B87" i="142"/>
  <c r="C85" i="142"/>
  <c r="B86" i="142"/>
  <c r="Z91" i="142"/>
  <c r="Z92" i="142"/>
  <c r="Z90" i="142"/>
  <c r="AA89" i="142"/>
  <c r="C75" i="142"/>
  <c r="B82" i="142"/>
  <c r="B84" i="142"/>
  <c r="B83" i="142"/>
  <c r="C81" i="142"/>
  <c r="C78" i="142"/>
  <c r="AX33" i="142"/>
  <c r="AY101" i="142" s="1"/>
  <c r="I121" i="142" s="1"/>
  <c r="J121" i="142" s="1"/>
  <c r="O81" i="142"/>
  <c r="N83" i="142"/>
  <c r="N82" i="142"/>
  <c r="N84" i="142"/>
  <c r="AA75" i="142"/>
  <c r="N88" i="142"/>
  <c r="N86" i="142"/>
  <c r="O85" i="142"/>
  <c r="N87" i="142"/>
  <c r="C74" i="142"/>
  <c r="BK75" i="142"/>
  <c r="C79" i="142"/>
  <c r="AL39" i="142"/>
  <c r="AM103" i="142" s="1"/>
  <c r="I126" i="142" s="1"/>
  <c r="J126" i="142" s="1"/>
  <c r="BK80" i="142"/>
  <c r="O76" i="142"/>
  <c r="O79" i="142"/>
  <c r="AA79" i="142"/>
  <c r="Z84" i="142"/>
  <c r="Z83" i="142"/>
  <c r="AA81" i="142"/>
  <c r="Z82" i="142"/>
  <c r="C89" i="142"/>
  <c r="B91" i="142"/>
  <c r="B92" i="142"/>
  <c r="B90" i="142"/>
  <c r="BK76" i="142"/>
  <c r="AL52" i="142"/>
  <c r="AL65" i="142" s="1"/>
  <c r="BJ95" i="142"/>
  <c r="E118" i="142"/>
  <c r="F118" i="142" s="1"/>
  <c r="K115" i="142"/>
  <c r="L115" i="142" s="1"/>
  <c r="AX100" i="142"/>
  <c r="AL100" i="142"/>
  <c r="K114" i="142"/>
  <c r="L114" i="142" s="1"/>
  <c r="Z95" i="142"/>
  <c r="E119" i="142"/>
  <c r="F119" i="142" s="1"/>
  <c r="K119" i="142"/>
  <c r="L119" i="142" s="1"/>
  <c r="N95" i="142"/>
  <c r="B109" i="142"/>
  <c r="B110" i="142" s="1"/>
  <c r="B99" i="142"/>
  <c r="B95" i="142"/>
  <c r="AX50" i="142"/>
  <c r="AX64" i="142" s="1"/>
  <c r="E117" i="142"/>
  <c r="AX38" i="142"/>
  <c r="AX36" i="142"/>
  <c r="AL54" i="142"/>
  <c r="AL66" i="142" s="1"/>
  <c r="AA87" i="142" a="1"/>
  <c r="BK91" i="142" a="1"/>
  <c r="O88" i="142" a="1"/>
  <c r="AA84" i="142" a="1"/>
  <c r="C92" i="142" a="1"/>
  <c r="AL84" i="142" a="1"/>
  <c r="AL82" i="142" a="1"/>
  <c r="AM81" i="142" a="1"/>
  <c r="AL83" i="142" a="1"/>
  <c r="BK84" i="142" a="1"/>
  <c r="AA86" i="142" a="1"/>
  <c r="O91" i="142" a="1"/>
  <c r="AA91" i="142" a="1"/>
  <c r="C84" i="142" a="1"/>
  <c r="O83" i="142" a="1"/>
  <c r="BK83" i="142" a="1"/>
  <c r="O90" i="142" a="1"/>
  <c r="BK92" i="142" a="1"/>
  <c r="AA92" i="142" a="1"/>
  <c r="C83" i="142" a="1"/>
  <c r="O87" i="142" a="1"/>
  <c r="AA82" i="142" a="1"/>
  <c r="AL85" i="142" a="1"/>
  <c r="BK90" i="142" a="1"/>
  <c r="C88" i="142" a="1"/>
  <c r="O84" i="142" a="1"/>
  <c r="AA88" i="142" a="1"/>
  <c r="C87" i="142" a="1"/>
  <c r="BK82" i="142" a="1"/>
  <c r="O92" i="142" a="1"/>
  <c r="C86" i="142" a="1"/>
  <c r="C82" i="142" a="1"/>
  <c r="O86" i="142" a="1"/>
  <c r="AA83" i="142" a="1"/>
  <c r="C90" i="142" a="1"/>
  <c r="AX81" i="142" a="1"/>
  <c r="O82" i="142" a="1"/>
  <c r="AX39" i="142" a="1"/>
  <c r="AA90" i="142" a="1"/>
  <c r="AX37" i="142" a="1"/>
  <c r="BJ86" i="142" a="1"/>
  <c r="BJ88" i="142" a="1"/>
  <c r="BK85" i="142" a="1"/>
  <c r="BJ87" i="142" a="1"/>
  <c r="C91" i="142" a="1"/>
  <c r="AL89" i="142" a="1"/>
  <c r="AL89" i="142" l="1"/>
  <c r="C91" i="142"/>
  <c r="BJ87" i="142"/>
  <c r="BK85" i="142"/>
  <c r="BJ88" i="142"/>
  <c r="BJ86" i="142"/>
  <c r="AX37" i="142"/>
  <c r="AY102" i="142" s="1"/>
  <c r="I124" i="142" s="1"/>
  <c r="J124" i="142" s="1"/>
  <c r="AA90" i="142"/>
  <c r="AX39" i="142"/>
  <c r="AY103" i="142" s="1"/>
  <c r="I127" i="142" s="1"/>
  <c r="J127" i="142" s="1"/>
  <c r="O82" i="142"/>
  <c r="AX81" i="142"/>
  <c r="C90" i="142"/>
  <c r="AA83" i="142"/>
  <c r="O86" i="142"/>
  <c r="C82" i="142"/>
  <c r="C86" i="142"/>
  <c r="O92" i="142"/>
  <c r="BK82" i="142"/>
  <c r="C87" i="142"/>
  <c r="AA88" i="142"/>
  <c r="O84" i="142"/>
  <c r="C88" i="142"/>
  <c r="BK90" i="142"/>
  <c r="AL85" i="142"/>
  <c r="AA82" i="142"/>
  <c r="O87" i="142"/>
  <c r="C83" i="142"/>
  <c r="AA92" i="142"/>
  <c r="BK92" i="142"/>
  <c r="O90" i="142"/>
  <c r="BK83" i="142"/>
  <c r="O83" i="142"/>
  <c r="C84" i="142"/>
  <c r="AA91" i="142"/>
  <c r="O91" i="142"/>
  <c r="AA86" i="142"/>
  <c r="BK84" i="142"/>
  <c r="AL83" i="142"/>
  <c r="AM81" i="142"/>
  <c r="AL82" i="142"/>
  <c r="AL84" i="142"/>
  <c r="C92" i="142"/>
  <c r="AA84" i="142"/>
  <c r="O88" i="142"/>
  <c r="BK91" i="142"/>
  <c r="AA87" i="142"/>
  <c r="AX52" i="142"/>
  <c r="AX65" i="142" s="1"/>
  <c r="E116" i="142"/>
  <c r="F116" i="142" s="1"/>
  <c r="Z100" i="142"/>
  <c r="Z98" i="142"/>
  <c r="AX54" i="142"/>
  <c r="AX66" i="142" s="1"/>
  <c r="N96" i="142"/>
  <c r="N100" i="142"/>
  <c r="E115" i="142"/>
  <c r="F115" i="142" s="1"/>
  <c r="B98" i="142"/>
  <c r="N97" i="142"/>
  <c r="B96" i="142"/>
  <c r="B97" i="142"/>
  <c r="BJ96" i="142"/>
  <c r="BJ100" i="142"/>
  <c r="K116" i="142"/>
  <c r="L116" i="142" s="1"/>
  <c r="BJ98" i="142"/>
  <c r="Z96" i="142"/>
  <c r="N98" i="142"/>
  <c r="F117" i="142"/>
  <c r="Z97" i="142"/>
  <c r="B100" i="142"/>
  <c r="E114" i="142"/>
  <c r="F114" i="142" s="1"/>
  <c r="AM83" i="142" a="1"/>
  <c r="BK86" i="142" a="1"/>
  <c r="AM85" i="142" a="1"/>
  <c r="AL87" i="142" a="1"/>
  <c r="AL88" i="142" a="1"/>
  <c r="AL86" i="142" a="1"/>
  <c r="AL91" i="142" a="1"/>
  <c r="AL90" i="142" a="1"/>
  <c r="AL92" i="142" a="1"/>
  <c r="AM89" i="142" a="1"/>
  <c r="BK87" i="142" a="1"/>
  <c r="AX89" i="142" a="1"/>
  <c r="AM82" i="142" a="1"/>
  <c r="BK88" i="142" a="1"/>
  <c r="AX82" i="142" a="1"/>
  <c r="AX83" i="142" a="1"/>
  <c r="AY81" i="142" a="1"/>
  <c r="AX84" i="142" a="1"/>
  <c r="AM84" i="142" a="1"/>
  <c r="AX85" i="142" a="1"/>
  <c r="AX85" i="142" l="1"/>
  <c r="AM84" i="142"/>
  <c r="AX84" i="142"/>
  <c r="AY81" i="142"/>
  <c r="AX83" i="142"/>
  <c r="AX82" i="142"/>
  <c r="BK88" i="142"/>
  <c r="AM82" i="142"/>
  <c r="AX89" i="142"/>
  <c r="BK87" i="142"/>
  <c r="AM89" i="142"/>
  <c r="AL92" i="142"/>
  <c r="AL90" i="142"/>
  <c r="AL91" i="142"/>
  <c r="AL86" i="142"/>
  <c r="AL88" i="142"/>
  <c r="AL87" i="142"/>
  <c r="AM85" i="142"/>
  <c r="BK86" i="142"/>
  <c r="AM83" i="142"/>
  <c r="K128" i="142"/>
  <c r="L128" i="142" s="1"/>
  <c r="BJ103" i="142"/>
  <c r="N102" i="142"/>
  <c r="E124" i="142"/>
  <c r="F124" i="142" s="1"/>
  <c r="E121" i="142"/>
  <c r="F121" i="142" s="1"/>
  <c r="N101" i="142"/>
  <c r="AL96" i="142"/>
  <c r="K122" i="142"/>
  <c r="L122" i="142" s="1"/>
  <c r="BJ101" i="142"/>
  <c r="E127" i="142"/>
  <c r="F127" i="142" s="1"/>
  <c r="N103" i="142"/>
  <c r="Z101" i="142"/>
  <c r="E122" i="142"/>
  <c r="F122" i="142" s="1"/>
  <c r="E123" i="142"/>
  <c r="F123" i="142" s="1"/>
  <c r="B102" i="142"/>
  <c r="BJ97" i="142"/>
  <c r="B101" i="142"/>
  <c r="E120" i="142"/>
  <c r="F120" i="142" s="1"/>
  <c r="E125" i="142"/>
  <c r="F125" i="142" s="1"/>
  <c r="Z102" i="142"/>
  <c r="E126" i="142"/>
  <c r="F126" i="142" s="1"/>
  <c r="B103" i="142"/>
  <c r="E128" i="142"/>
  <c r="F128" i="142" s="1"/>
  <c r="Z103" i="142"/>
  <c r="AX86" i="142" a="1"/>
  <c r="AX87" i="142" a="1"/>
  <c r="AY85" i="142" a="1"/>
  <c r="AX88" i="142" a="1"/>
  <c r="AM90" i="142" a="1"/>
  <c r="AY84" i="142" a="1"/>
  <c r="AY83" i="142" a="1"/>
  <c r="AY82" i="142" a="1"/>
  <c r="AM92" i="142" a="1"/>
  <c r="AM91" i="142" a="1"/>
  <c r="AY89" i="142" a="1"/>
  <c r="AX90" i="142" a="1"/>
  <c r="AX91" i="142" a="1"/>
  <c r="AX92" i="142" a="1"/>
  <c r="AM86" i="142" a="1"/>
  <c r="AM88" i="142" a="1"/>
  <c r="AM87" i="142" a="1"/>
  <c r="AM87" i="142" l="1"/>
  <c r="AM88" i="142"/>
  <c r="AM86" i="142"/>
  <c r="AX92" i="142"/>
  <c r="AX91" i="142"/>
  <c r="AX90" i="142"/>
  <c r="AY89" i="142"/>
  <c r="AM91" i="142"/>
  <c r="AM92" i="142"/>
  <c r="AY82" i="142"/>
  <c r="AY83" i="142"/>
  <c r="AY84" i="142"/>
  <c r="AM90" i="142"/>
  <c r="AX88" i="142"/>
  <c r="AY85" i="142"/>
  <c r="AX87" i="142"/>
  <c r="AX86" i="142"/>
  <c r="AL101" i="142"/>
  <c r="K120" i="142"/>
  <c r="L120" i="142" s="1"/>
  <c r="AL97" i="142"/>
  <c r="K125" i="142"/>
  <c r="L125" i="142" s="1"/>
  <c r="BJ102" i="142"/>
  <c r="AX96" i="142"/>
  <c r="AL98" i="142"/>
  <c r="AY87" i="142" a="1"/>
  <c r="AY91" i="142" a="1"/>
  <c r="AY86" i="142" a="1"/>
  <c r="AY88" i="142" a="1"/>
  <c r="AY90" i="142" a="1"/>
  <c r="AY92" i="142" a="1"/>
  <c r="AY92" i="142" l="1"/>
  <c r="AY90" i="142"/>
  <c r="AY88" i="142"/>
  <c r="AY86" i="142"/>
  <c r="AY91" i="142"/>
  <c r="AY87" i="142"/>
  <c r="AX98" i="142"/>
  <c r="K121" i="142"/>
  <c r="L121" i="142" s="1"/>
  <c r="AX101" i="142"/>
  <c r="AL102" i="142"/>
  <c r="K123" i="142"/>
  <c r="L123" i="142" s="1"/>
  <c r="K126" i="142"/>
  <c r="L126" i="142" s="1"/>
  <c r="AL103" i="142"/>
  <c r="AX97" i="142"/>
  <c r="K124" i="142" l="1"/>
  <c r="L124" i="142" s="1"/>
  <c r="AX102" i="142"/>
  <c r="K127" i="142"/>
  <c r="L127" i="142" s="1"/>
  <c r="AX103" i="14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<sst xmlns="http://schemas.openxmlformats.org/spreadsheetml/2006/main" count="1071" uniqueCount="168">
  <si>
    <t>Salmonella Standard Deviation</t>
  </si>
  <si>
    <t>Units</t>
  </si>
  <si>
    <t>Data Source</t>
  </si>
  <si>
    <t>CFU/g</t>
  </si>
  <si>
    <t>Constant</t>
  </si>
  <si>
    <t>g</t>
  </si>
  <si>
    <t>Numeric Value</t>
  </si>
  <si>
    <t>1 = yes, 0 = no</t>
  </si>
  <si>
    <t>Estimated</t>
  </si>
  <si>
    <t>WHO/FAO (2002)</t>
  </si>
  <si>
    <t>CFU</t>
  </si>
  <si>
    <t>CDC 2016, Lambertini  et al. (2019)</t>
  </si>
  <si>
    <t>Value</t>
  </si>
  <si>
    <t>Baseline Survey 2012 (Parts)</t>
  </si>
  <si>
    <t>Log CFU/g</t>
  </si>
  <si>
    <t>Williams &amp; Ebel at al. 2012</t>
  </si>
  <si>
    <t>Salmonella Levels- From Censored Data Fit</t>
  </si>
  <si>
    <t>Normal</t>
  </si>
  <si>
    <t>Log (g)</t>
  </si>
  <si>
    <t>Product Standard Module</t>
  </si>
  <si>
    <t>Calculated</t>
  </si>
  <si>
    <t>Are levels above microbial threshold?</t>
  </si>
  <si>
    <t>Baseline mean</t>
  </si>
  <si>
    <t>Baseline 95th</t>
  </si>
  <si>
    <t>Key Outputs</t>
  </si>
  <si>
    <t>Baseline 5th</t>
  </si>
  <si>
    <t>Hazard in Finished Product (Salmonella Level and Serotype)</t>
  </si>
  <si>
    <t>Type</t>
  </si>
  <si>
    <t>Salmonella Mean Level</t>
  </si>
  <si>
    <t>Salmonella Level in Serving</t>
  </si>
  <si>
    <t>Normal distribution</t>
  </si>
  <si>
    <t>Consumption Module</t>
  </si>
  <si>
    <t>Scaling factor, WHO/FAO</t>
  </si>
  <si>
    <t>Use scaling factor</t>
  </si>
  <si>
    <t>Probability of Illness based on Microbial Compliance</t>
  </si>
  <si>
    <t>Chicken parts model description</t>
  </si>
  <si>
    <t>No-Threshold-mean</t>
  </si>
  <si>
    <t>This is the overall baseline risk</t>
  </si>
  <si>
    <t>Written By Version</t>
  </si>
  <si>
    <t>8.1.1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</si>
  <si>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</si>
  <si>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</si>
  <si>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</si>
  <si>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</si>
  <si>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</si>
  <si>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</si>
  <si>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</si>
  <si>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</si>
  <si>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</si>
  <si>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</si>
  <si>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</si>
  <si>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</si>
  <si>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</si>
  <si>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</si>
  <si>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</si>
  <si>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</si>
  <si>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</si>
  <si>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</si>
  <si>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</si>
  <si>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</si>
  <si>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2,10,2,.95,5,16,FALSE,0,TRUE,TRUE,TRUE</t>
  </si>
  <si>
    <t>Mean amount of product consumed per day by an individual</t>
  </si>
  <si>
    <t>Standard Deviation of the amount of product consumed per day by an individual</t>
  </si>
  <si>
    <t>Portion Size consumed, in log g</t>
  </si>
  <si>
    <t>Portion Size consumed, in g</t>
  </si>
  <si>
    <t>ChangingCell</t>
  </si>
  <si>
    <t>GoalCell</t>
  </si>
  <si>
    <t>GoalValue</t>
  </si>
  <si>
    <t>GoalStatisticOldFormat</t>
  </si>
  <si>
    <t>ComparisonAccuracyPercent</t>
  </si>
  <si>
    <t>MaxNumSimulations</t>
  </si>
  <si>
    <t>VariationMinimum</t>
  </si>
  <si>
    <t>VariationMaximum</t>
  </si>
  <si>
    <t>VariationMinimumInf</t>
  </si>
  <si>
    <t>VariationMaximumInf</t>
  </si>
  <si>
    <t>AccuracyIsPercent</t>
  </si>
  <si>
    <t>GenerateSimulationForSolution</t>
  </si>
  <si>
    <t>GoalStatisticPercentile</t>
  </si>
  <si>
    <t>ComparisonAccuracyValue</t>
  </si>
  <si>
    <t>GoalStatistic</t>
  </si>
  <si>
    <t>RecommendedVersion</t>
  </si>
  <si>
    <t>RequiredVersion</t>
  </si>
  <si>
    <t>8.1.0</t>
  </si>
  <si>
    <t>0.0.0</t>
  </si>
  <si>
    <t>Overall Pr Ill</t>
  </si>
  <si>
    <t>NOTE. WHO/FAO assume everyone infected gets ill (Pill|inf=1); and uses same Beta-Poisson, just lists variables as alpha and beta</t>
  </si>
  <si>
    <t>should not need this</t>
  </si>
  <si>
    <t>KEY, because this is what matters</t>
  </si>
  <si>
    <t xml:space="preserve">WHO/FAO (2002) Alpha &amp; Beta </t>
  </si>
  <si>
    <t>Dose Response Module</t>
  </si>
  <si>
    <t>Salmonella Level in Serving from the distribution</t>
  </si>
  <si>
    <t>1=yes, 0=no</t>
  </si>
  <si>
    <t>GF1_rK0qDwEAEwANAQwjACcAPAB0AIgAiQCXAKUA5wAJAQMBKwD//wAAAAAAAAEEAAAAAAdHZW5lcmFsAAAAAS1BcmUgbGV2ZWxzIGFib3ZlIG1pY3JvYmlhbCB0aHJlc2hvbGQ/IC8gVmFsdWUBBVNpbSAyAQEQAAIAAQpTdGF0aXN0aWNzAwEBAP8BAQEBAQABAQEABAAAAAEBAQEBAAEBAQAEAAAAAakAAjoALUFyZSBsZXZlbHMgYWJvdmUgbWljcm9iaWFsIHRocmVzaG9sZD8gLyBWYWx1ZQAAAP/cFDwBAAACAAIA7wD5AAEBAwGamZmZmZmpPwAAZmZmZmZm7j8AAAUAAQEBAAEBAQA=</t>
  </si>
  <si>
    <t>Dose in one serving (raw product)</t>
  </si>
  <si>
    <t>Dose in one serving (calcuated above), unscaled</t>
  </si>
  <si>
    <t>GF1_rK0qDwEAEwDfAAwjACcAPQBeAHIAcwCBAI8AugDbANUAKwD//wAAAAAAAAEEAAAAAAgwLjAwRSswMAAAAAEWT3ZlcmFsbCBQciBJbGwgLyBWYWx1ZQEFU2ltIDEBARAAAgABClN0YXRpc3RpY3MDAQEA/wEBAQEBAAEBAQAEAAAAAQEBAQEAAQEBAAQAAAABkwACIwAWT3ZlcmFsbCBQciBJbGwgLyBWYWx1ZQAAAP/cFDwBAAACAAIAwgDMAAEBAwGamZmZmZmpPwAAAAAAAAAA8H8BBQABAQEAAQEBAA==</t>
  </si>
  <si>
    <t>Linear probability</t>
  </si>
  <si>
    <t>Log10 Probability</t>
  </si>
  <si>
    <t>Probability of illness calculated with no threshold (after scaling factor)</t>
  </si>
  <si>
    <t>Beta-poisson DR model</t>
  </si>
  <si>
    <t>Dose with scaling factor</t>
  </si>
  <si>
    <t>Salmonella Serotype - From Distributions in sampling data</t>
  </si>
  <si>
    <t>Serotype</t>
  </si>
  <si>
    <t>Probability</t>
  </si>
  <si>
    <t>Cummulative Probability</t>
  </si>
  <si>
    <t>Typhimurium</t>
  </si>
  <si>
    <t>HACCP 2015 - 2022 Parts</t>
  </si>
  <si>
    <t>Enteritidis</t>
  </si>
  <si>
    <t>Heidelberg</t>
  </si>
  <si>
    <t>4,[5],12:i:−</t>
  </si>
  <si>
    <t>Kentucky</t>
  </si>
  <si>
    <t>Infantis</t>
  </si>
  <si>
    <t>Other serotypes</t>
  </si>
  <si>
    <t>Serotype draw</t>
  </si>
  <si>
    <t>Serotype in serving</t>
  </si>
  <si>
    <t>Enteriditis</t>
  </si>
  <si>
    <t>Heidelbreg</t>
  </si>
  <si>
    <t>Level based standard</t>
  </si>
  <si>
    <t>Serotype based standard</t>
  </si>
  <si>
    <t>Serotype inclusion list</t>
  </si>
  <si>
    <t>Serotype exclusion list</t>
  </si>
  <si>
    <t>Is level above threshold AND from inclusion list subtype?</t>
  </si>
  <si>
    <t>Is serotype on Inclusion List</t>
  </si>
  <si>
    <t>Dose host exposed to (after scaling factor)</t>
  </si>
  <si>
    <t>Inclusion list &amp; level based MC dose</t>
  </si>
  <si>
    <t>GF1_rK0qDwEAEwCMAQwjACcAOQCzAMcAyADWAOQAaAGIAYIBKwD//wAAAAAAAAEEAAAAAAQwLjAwAAAAATlTYWxtb25lbGxhIExldmVsIGluIFNlcnZpbmcgZnJvbSB0aGUgZGlzdHJpYnV0aW9uIC8gVmFsdWUBO0NvbXBhcmlzb24gd2l0aCBSaXNrTm9ybWFsKC0zLjE5MTU5MTE3NiwxLjI4NTkyMTA4NikNClNpbSAxAQEQAAIAAQpTdGF0aXN0aWNzAwEBAP8BAQEBAQABAQEABAAAAAEBAQEBAAEBAQAEAAAAAusAAjUBAEYAOVNhbG1vbmVsbGEgTGV2ZWwgaW4gU2VydmluZyBmcm9tIHRoZSBkaXN0cmlidXRpb24gLyBWYWx1ZQAAAP8AAP8BAAACAAIAMQAkUmlza05vcm1hbCgtMy4xOTE1OTExNzYsMS4yODU5MjEwODYpAAEA/wAAAAEAAAIAcAF5AQEBAwEAAAAAAADw/wEAAAAAAADwPwEFAAEBAQABAQEA</t>
  </si>
  <si>
    <t>non-compliant</t>
  </si>
  <si>
    <t>HACCP</t>
  </si>
  <si>
    <t>Baseline</t>
  </si>
  <si>
    <t>Relative risk</t>
  </si>
  <si>
    <t>Proportion Kentucky&amp;over level threshold</t>
  </si>
  <si>
    <t>Is level above threshold AND from subtype not on exclusion list?</t>
  </si>
  <si>
    <t>Proportion not Kentucky&amp;over the level threshold</t>
  </si>
  <si>
    <t>Total Dose, unscaled</t>
  </si>
  <si>
    <t>Kentucky&amp; level over the threshold dose</t>
  </si>
  <si>
    <t>Serotype Kentucky &amp; level over the threshold</t>
  </si>
  <si>
    <t>Exclusion list(not-Kentucky) &amp; level over the threshold dose</t>
  </si>
  <si>
    <t>Serotype not Kentucky &amp; level over the threshold</t>
  </si>
  <si>
    <t xml:space="preserve">Proportion above threshold level </t>
  </si>
  <si>
    <t>Proportion above threshold level, and serotype on inclusion list</t>
  </si>
  <si>
    <t>Is level above threshold AND serotype Kentucky?</t>
  </si>
  <si>
    <t>Is serotype on Exclusion List(=Kentucky)?</t>
  </si>
  <si>
    <t>Level under the threshold</t>
  </si>
  <si>
    <t>Level over the threshold</t>
  </si>
  <si>
    <t>Inclusion list &amp; level over the threshold</t>
  </si>
  <si>
    <t>Level threshold</t>
  </si>
  <si>
    <t>average P ill</t>
  </si>
  <si>
    <t>Average p ill</t>
  </si>
  <si>
    <t>No. servings in US per year</t>
  </si>
  <si>
    <t>Dataset Baseline</t>
  </si>
  <si>
    <t>Dataset HACCP</t>
  </si>
  <si>
    <t>Key result for the result table</t>
  </si>
  <si>
    <t>Over the threshold</t>
  </si>
  <si>
    <t>Under the threshold</t>
  </si>
  <si>
    <t xml:space="preserve">Predicted No. illnesses with simulated probability of illnesses </t>
  </si>
  <si>
    <t>Average no threshold P ill</t>
  </si>
  <si>
    <t>No illnesses predicted in a year</t>
  </si>
  <si>
    <t>Baseline P ill from the baseline survey dataset</t>
  </si>
  <si>
    <t>Baseline P ill from HACCP dataset</t>
  </si>
  <si>
    <t>Kentucky&amp;over the level threshold</t>
  </si>
  <si>
    <t>Not-Kentucky&amp;over the level threshold</t>
  </si>
  <si>
    <t xml:space="preserve">Product characteristic </t>
  </si>
  <si>
    <t>Proportion meeting the product characteristic</t>
  </si>
  <si>
    <t>No. of servings meeting the product characteristic</t>
  </si>
  <si>
    <t>Inclusion list&amp;over the level threshold</t>
  </si>
  <si>
    <t>Over the level threshold</t>
  </si>
  <si>
    <t>Under the level threshold</t>
  </si>
  <si>
    <t>illness proportion from the product characterized (relative risk)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</si>
</sst>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"/>
    <numFmt numFmtId="165" formatCode="0.000"/>
    <numFmt numFmtId="166" formatCode="0.0%"/>
    <numFmt numFmtId="167" formatCode="0.000%"/>
    <numFmt numFmtId="168" formatCode="_(* #,##0_);_(* \(#,##0\);_(* &quot;-&quot;??_);_(@_)"/>
    <numFmt numFmtId="169" formatCode="0.0000%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FC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10">
    <xf numFmtId="0" fontId="0" fillId="0" borderId="0"/>
    <xf numFmtId="0" fontId="3" fillId="7" borderId="3" applyNumberFormat="0" applyAlignment="0" applyProtection="0"/>
    <xf numFmtId="9" fontId="4" fillId="0" borderId="0" applyFont="0" applyFill="0" applyBorder="0" applyAlignment="0" applyProtection="0"/>
    <xf numFmtId="0" fontId="7" fillId="10" borderId="4" applyNumberFormat="0" applyAlignment="0" applyProtection="0"/>
    <xf numFmtId="0" fontId="10" fillId="13" borderId="0" applyNumberFormat="0" applyBorder="0" applyAlignment="0" applyProtection="0"/>
    <xf numFmtId="0" fontId="12" fillId="20" borderId="0" applyNumberFormat="0" applyBorder="0" applyAlignment="0" applyProtection="0"/>
    <xf numFmtId="0" fontId="4" fillId="21" borderId="6" applyNumberFormat="0" applyFont="0" applyAlignment="0" applyProtection="0"/>
    <xf numFmtId="0" fontId="14" fillId="22" borderId="0" applyNumberFormat="0" applyBorder="0" applyAlignment="0" applyProtection="0"/>
    <xf numFmtId="43" fontId="4" fillId="0" borderId="0" applyFont="0" applyFill="0" applyBorder="0" applyAlignment="0" applyProtection="0"/>
    <xf numFmtId="0" fontId="15" fillId="23" borderId="0" applyNumberFormat="0" applyBorder="0" applyAlignment="0" applyProtection="0"/>
  </cellStyleXfs>
  <cellXfs count="99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6" borderId="0" xfId="0" applyFont="1" applyFill="1"/>
    <xf numFmtId="0" fontId="0" fillId="0" borderId="1" xfId="0" applyBorder="1"/>
    <xf numFmtId="0" fontId="1" fillId="0" borderId="1" xfId="0" applyFont="1" applyBorder="1"/>
    <xf numFmtId="0" fontId="0" fillId="0" borderId="0" xfId="0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0" fillId="8" borderId="0" xfId="0" applyFill="1"/>
    <xf numFmtId="11" fontId="3" fillId="7" borderId="3" xfId="1" applyNumberFormat="1" applyAlignment="1">
      <alignment horizontal="center"/>
    </xf>
    <xf numFmtId="0" fontId="1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3" fillId="7" borderId="3" xfId="1" applyAlignment="1">
      <alignment horizontal="center"/>
    </xf>
    <xf numFmtId="166" fontId="3" fillId="7" borderId="3" xfId="2" applyNumberFormat="1" applyFont="1" applyFill="1" applyBorder="1" applyAlignment="1">
      <alignment horizontal="center"/>
    </xf>
    <xf numFmtId="11" fontId="3" fillId="9" borderId="3" xfId="2" applyNumberFormat="1" applyFont="1" applyFill="1" applyBorder="1" applyAlignment="1">
      <alignment horizontal="center"/>
    </xf>
    <xf numFmtId="11" fontId="3" fillId="7" borderId="3" xfId="2" applyNumberFormat="1" applyFont="1" applyFill="1" applyBorder="1" applyAlignment="1">
      <alignment horizontal="center"/>
    </xf>
    <xf numFmtId="0" fontId="5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/>
    <xf numFmtId="0" fontId="6" fillId="0" borderId="0" xfId="0" applyFont="1"/>
    <xf numFmtId="164" fontId="7" fillId="10" borderId="4" xfId="3" applyNumberFormat="1" applyAlignment="1">
      <alignment horizontal="center"/>
    </xf>
    <xf numFmtId="0" fontId="7" fillId="10" borderId="4" xfId="3" applyAlignment="1">
      <alignment horizontal="center"/>
    </xf>
    <xf numFmtId="0" fontId="0" fillId="3" borderId="0" xfId="0" applyFill="1"/>
    <xf numFmtId="0" fontId="2" fillId="8" borderId="2" xfId="0" applyFont="1" applyFill="1" applyBorder="1"/>
    <xf numFmtId="0" fontId="0" fillId="4" borderId="0" xfId="0" applyFill="1"/>
    <xf numFmtId="0" fontId="0" fillId="6" borderId="0" xfId="0" applyFill="1"/>
    <xf numFmtId="0" fontId="0" fillId="5" borderId="0" xfId="0" applyFill="1"/>
    <xf numFmtId="0" fontId="0" fillId="11" borderId="0" xfId="0" applyFill="1"/>
    <xf numFmtId="0" fontId="1" fillId="11" borderId="0" xfId="0" applyFont="1" applyFill="1"/>
    <xf numFmtId="0" fontId="2" fillId="11" borderId="0" xfId="0" applyFont="1" applyFill="1" applyAlignment="1">
      <alignment horizontal="center"/>
    </xf>
    <xf numFmtId="0" fontId="0" fillId="12" borderId="0" xfId="0" applyFill="1"/>
    <xf numFmtId="0" fontId="1" fillId="12" borderId="0" xfId="0" applyFont="1" applyFill="1"/>
    <xf numFmtId="0" fontId="2" fillId="12" borderId="0" xfId="0" applyFont="1" applyFill="1" applyAlignment="1">
      <alignment horizontal="center"/>
    </xf>
    <xf numFmtId="0" fontId="8" fillId="0" borderId="0" xfId="0" applyFont="1" applyAlignment="1">
      <alignment horizontal="right"/>
    </xf>
    <xf numFmtId="0" fontId="8" fillId="0" borderId="0" xfId="0" applyFont="1"/>
    <xf numFmtId="0" fontId="5" fillId="0" borderId="0" xfId="0" applyFont="1" applyAlignment="1">
      <alignment horizontal="right"/>
    </xf>
    <xf numFmtId="166" fontId="0" fillId="0" borderId="0" xfId="2" applyNumberFormat="1" applyFont="1" applyFill="1"/>
    <xf numFmtId="11" fontId="5" fillId="0" borderId="0" xfId="0" applyNumberFormat="1" applyFont="1"/>
    <xf numFmtId="0" fontId="10" fillId="13" borderId="0" xfId="4"/>
    <xf numFmtId="2" fontId="7" fillId="10" borderId="4" xfId="3" applyNumberFormat="1" applyAlignment="1">
      <alignment horizontal="center"/>
    </xf>
    <xf numFmtId="0" fontId="0" fillId="16" borderId="0" xfId="0" applyFill="1"/>
    <xf numFmtId="0" fontId="0" fillId="17" borderId="0" xfId="0" applyFill="1"/>
    <xf numFmtId="11" fontId="0" fillId="17" borderId="0" xfId="0" applyNumberFormat="1" applyFill="1" applyAlignment="1">
      <alignment horizontal="center"/>
    </xf>
    <xf numFmtId="0" fontId="0" fillId="18" borderId="0" xfId="0" applyFill="1"/>
    <xf numFmtId="11" fontId="0" fillId="18" borderId="0" xfId="0" applyNumberFormat="1" applyFill="1" applyAlignment="1">
      <alignment horizontal="center"/>
    </xf>
    <xf numFmtId="11" fontId="5" fillId="0" borderId="0" xfId="0" applyNumberFormat="1" applyFont="1" applyAlignment="1">
      <alignment horizontal="center"/>
    </xf>
    <xf numFmtId="0" fontId="0" fillId="19" borderId="0" xfId="0" applyFill="1"/>
    <xf numFmtId="0" fontId="0" fillId="15" borderId="0" xfId="0" applyFill="1"/>
    <xf numFmtId="9" fontId="0" fillId="0" borderId="0" xfId="2" applyFont="1" applyFill="1" applyBorder="1"/>
    <xf numFmtId="0" fontId="11" fillId="11" borderId="0" xfId="0" applyFont="1" applyFill="1"/>
    <xf numFmtId="2" fontId="3" fillId="7" borderId="3" xfId="1" applyNumberFormat="1"/>
    <xf numFmtId="2" fontId="3" fillId="9" borderId="3" xfId="1" applyNumberFormat="1" applyFill="1"/>
    <xf numFmtId="0" fontId="5" fillId="19" borderId="0" xfId="0" applyFont="1" applyFill="1"/>
    <xf numFmtId="0" fontId="5" fillId="16" borderId="0" xfId="0" applyFont="1" applyFill="1"/>
    <xf numFmtId="11" fontId="3" fillId="9" borderId="3" xfId="1" applyNumberFormat="1" applyFill="1" applyAlignment="1">
      <alignment horizontal="center"/>
    </xf>
    <xf numFmtId="11" fontId="3" fillId="12" borderId="3" xfId="1" applyNumberFormat="1" applyFill="1" applyAlignment="1">
      <alignment horizontal="center"/>
    </xf>
    <xf numFmtId="2" fontId="3" fillId="12" borderId="3" xfId="1" applyNumberFormat="1" applyFill="1"/>
    <xf numFmtId="0" fontId="1" fillId="11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1" fillId="0" borderId="0" xfId="0" applyFont="1"/>
    <xf numFmtId="9" fontId="7" fillId="10" borderId="4" xfId="3" applyNumberFormat="1" applyAlignment="1">
      <alignment horizontal="center"/>
    </xf>
    <xf numFmtId="9" fontId="0" fillId="0" borderId="0" xfId="0" applyNumberFormat="1"/>
    <xf numFmtId="9" fontId="0" fillId="0" borderId="0" xfId="0" applyNumberFormat="1" applyAlignment="1">
      <alignment horizontal="center"/>
    </xf>
    <xf numFmtId="166" fontId="3" fillId="7" borderId="0" xfId="2" applyNumberFormat="1" applyFont="1" applyFill="1" applyBorder="1" applyAlignment="1">
      <alignment horizontal="center"/>
    </xf>
    <xf numFmtId="0" fontId="12" fillId="20" borderId="0" xfId="5" applyNumberFormat="1" applyAlignment="1">
      <alignment horizontal="center"/>
    </xf>
    <xf numFmtId="0" fontId="8" fillId="14" borderId="6" xfId="6" applyFont="1" applyFill="1"/>
    <xf numFmtId="0" fontId="2" fillId="14" borderId="6" xfId="6" applyFont="1" applyFill="1"/>
    <xf numFmtId="0" fontId="0" fillId="14" borderId="6" xfId="6" applyFont="1" applyFill="1"/>
    <xf numFmtId="0" fontId="8" fillId="18" borderId="6" xfId="6" applyFont="1" applyFill="1"/>
    <xf numFmtId="166" fontId="3" fillId="18" borderId="6" xfId="6" applyNumberFormat="1" applyFont="1" applyFill="1" applyAlignment="1">
      <alignment horizontal="center"/>
    </xf>
    <xf numFmtId="0" fontId="0" fillId="18" borderId="6" xfId="6" applyFont="1" applyFill="1"/>
    <xf numFmtId="0" fontId="13" fillId="18" borderId="0" xfId="0" applyFont="1" applyFill="1"/>
    <xf numFmtId="0" fontId="0" fillId="14" borderId="0" xfId="0" applyFill="1"/>
    <xf numFmtId="11" fontId="0" fillId="14" borderId="0" xfId="0" applyNumberFormat="1" applyFill="1" applyAlignment="1">
      <alignment horizontal="center"/>
    </xf>
    <xf numFmtId="2" fontId="3" fillId="7" borderId="7" xfId="2" applyNumberFormat="1" applyFont="1" applyFill="1" applyBorder="1" applyAlignment="1">
      <alignment horizontal="center"/>
    </xf>
    <xf numFmtId="167" fontId="3" fillId="15" borderId="5" xfId="2" applyNumberFormat="1" applyFont="1" applyFill="1" applyBorder="1" applyAlignment="1">
      <alignment horizontal="right"/>
    </xf>
    <xf numFmtId="0" fontId="14" fillId="22" borderId="0" xfId="7"/>
    <xf numFmtId="0" fontId="12" fillId="20" borderId="0" xfId="5" applyAlignment="1">
      <alignment horizontal="right"/>
    </xf>
    <xf numFmtId="0" fontId="12" fillId="20" borderId="0" xfId="5" applyAlignment="1">
      <alignment horizontal="center"/>
    </xf>
    <xf numFmtId="0" fontId="12" fillId="20" borderId="0" xfId="5"/>
    <xf numFmtId="167" fontId="0" fillId="0" borderId="0" xfId="0" applyNumberFormat="1"/>
    <xf numFmtId="168" fontId="0" fillId="0" borderId="0" xfId="8" applyNumberFormat="1" applyFont="1"/>
    <xf numFmtId="43" fontId="0" fillId="0" borderId="0" xfId="0" applyNumberFormat="1"/>
    <xf numFmtId="10" fontId="0" fillId="15" borderId="0" xfId="0" applyNumberFormat="1" applyFill="1"/>
    <xf numFmtId="11" fontId="0" fillId="15" borderId="0" xfId="0" applyNumberFormat="1" applyFill="1"/>
    <xf numFmtId="167" fontId="0" fillId="15" borderId="0" xfId="0" applyNumberFormat="1" applyFill="1"/>
    <xf numFmtId="0" fontId="15" fillId="23" borderId="0" xfId="9"/>
    <xf numFmtId="43" fontId="0" fillId="15" borderId="0" xfId="8" applyFont="1" applyFill="1"/>
    <xf numFmtId="167" fontId="0" fillId="0" borderId="0" xfId="2" applyNumberFormat="1" applyFont="1"/>
    <xf numFmtId="169" fontId="5" fillId="15" borderId="0" xfId="2" applyNumberFormat="1" applyFont="1" applyFill="1"/>
    <xf numFmtId="169" fontId="5" fillId="0" borderId="0" xfId="2" applyNumberFormat="1" applyFont="1"/>
    <xf numFmtId="166" fontId="0" fillId="0" borderId="0" xfId="2" applyNumberFormat="1" applyFont="1"/>
    <xf numFmtId="0" fontId="0" fillId="0" borderId="2" xfId="0" applyBorder="1" applyAlignment="1">
      <alignment horizontal="center"/>
    </xf>
  </cellXfs>
  <cellStyles count="10">
    <cellStyle name="Accent3" xfId="4" builtinId="37"/>
    <cellStyle name="Bad" xfId="7" builtinId="27"/>
    <cellStyle name="Comma" xfId="8" builtinId="3"/>
    <cellStyle name="Good" xfId="5" builtinId="26"/>
    <cellStyle name="Input" xfId="3" builtinId="20"/>
    <cellStyle name="Neutral" xfId="9" builtinId="28"/>
    <cellStyle name="Normal" xfId="0" builtinId="0"/>
    <cellStyle name="Note" xfId="6" builtinId="10"/>
    <cellStyle name="Output" xfId="1" builtinId="21"/>
    <cellStyle name="Percent" xfId="2" builtinId="5"/>
  </cellStyles>
  <dxfs count="0"/>
  <tableStyles count="0" defaultTableStyle="TableStyleMedium2" defaultPivotStyle="PivotStyleLight16"/>
  <colors>
    <mruColors>
      <color rgb="FFFF7DBE"/>
      <color rgb="FFFF9FCF"/>
      <color rgb="FFFF3399"/>
      <color rgb="FFFFC9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9EB3-D9C3-45A9-A96B-81D46CB947DC}">
  <sheetPr codeName="Sheet1"/>
  <dimension ref="A1:Q2"/>
  <sheetViews>
    <sheetView workbookViewId="0"/>
  </sheetViews>
  <sheetFormatPr defaultRowHeight="15" x14ac:dyDescent="0.25"/>
  <sheetData>
    <row r="1" spans="1:17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</row>
    <row r="2" spans="1:17" x14ac:dyDescent="0.25">
      <c r="A2" t="e">
        <f>'Chicken Parts'!#REF!</f>
        <v>#REF!</v>
      </c>
      <c r="B2" t="e">
        <f>'Chicken Parts'!#REF!</f>
        <v>#REF!</v>
      </c>
      <c r="C2">
        <v>3.0000000000000001E-6</v>
      </c>
      <c r="D2">
        <v>3</v>
      </c>
      <c r="E2">
        <v>0.01</v>
      </c>
      <c r="F2">
        <v>10</v>
      </c>
      <c r="I2" t="b">
        <v>1</v>
      </c>
      <c r="J2" t="b">
        <v>1</v>
      </c>
      <c r="K2" t="b">
        <v>1</v>
      </c>
      <c r="L2" t="b">
        <v>1</v>
      </c>
      <c r="M2">
        <v>0.5</v>
      </c>
      <c r="O2">
        <v>2</v>
      </c>
      <c r="P2" t="s">
        <v>82</v>
      </c>
      <c r="Q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9D50-8603-41BB-B1D3-9A9EAADFAF44}">
  <dimension ref="A1:X9"/>
  <sheetViews>
    <sheetView workbookViewId="0"/>
  </sheetViews>
  <sheetFormatPr defaultColWidth="25.7109375" defaultRowHeight="15" x14ac:dyDescent="0.25"/>
  <sheetData>
    <row r="1" spans="1:24" x14ac:dyDescent="0.25">
      <c r="A1" t="s">
        <v>38</v>
      </c>
      <c r="B1" t="s">
        <v>39</v>
      </c>
    </row>
    <row r="2" spans="1:24" x14ac:dyDescent="0.25">
      <c r="A2" t="s">
        <v>40</v>
      </c>
      <c r="B2">
        <v>4</v>
      </c>
    </row>
    <row r="3" spans="1:24" x14ac:dyDescent="0.25">
      <c r="A3" t="s">
        <v>41</v>
      </c>
      <c r="B3">
        <v>0</v>
      </c>
    </row>
    <row r="5" spans="1:24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J5" t="s">
        <v>48</v>
      </c>
      <c r="K5" t="s">
        <v>49</v>
      </c>
      <c r="L5" t="s">
        <v>50</v>
      </c>
      <c r="N5" t="s">
        <v>51</v>
      </c>
      <c r="O5" t="s">
        <v>52</v>
      </c>
      <c r="P5" t="s">
        <v>53</v>
      </c>
      <c r="R5" t="s">
        <v>54</v>
      </c>
      <c r="S5" t="s">
        <v>55</v>
      </c>
      <c r="T5" t="s">
        <v>56</v>
      </c>
      <c r="V5" t="s">
        <v>57</v>
      </c>
      <c r="W5" t="s">
        <v>58</v>
      </c>
      <c r="X5" t="s">
        <v>59</v>
      </c>
    </row>
    <row r="6" spans="1:24" x14ac:dyDescent="0.25">
      <c r="A6" t="e">
        <f ca="1">ModelRef('Chicken Parts'!$N$9,2,0,0)</f>
        <v>#NAME?</v>
      </c>
      <c r="B6">
        <v>0</v>
      </c>
      <c r="C6">
        <v>3</v>
      </c>
      <c r="F6">
        <v>0</v>
      </c>
      <c r="J6" t="b">
        <v>1</v>
      </c>
      <c r="K6" t="s">
        <v>125</v>
      </c>
      <c r="L6" t="e">
        <f ca="1">ModelRef('Chicken Parts'!$N$9,2,0,0)+ModelRef('Chicken Parts'!$N$9,3,0,-1)</f>
        <v>#NAME?</v>
      </c>
    </row>
    <row r="7" spans="1:24" x14ac:dyDescent="0.25">
      <c r="A7" t="e">
        <f ca="1">ModelRef('Chicken Parts'!$B$67,1,0,0)</f>
        <v>#NAME?</v>
      </c>
      <c r="B7">
        <v>0</v>
      </c>
      <c r="C7">
        <v>3</v>
      </c>
      <c r="F7">
        <v>0</v>
      </c>
      <c r="J7" t="b">
        <v>1</v>
      </c>
      <c r="K7" t="s">
        <v>95</v>
      </c>
      <c r="L7" t="e">
        <f ca="1">ModelRef('Chicken Parts'!$B$67,1,0,0)</f>
        <v>#NAME?</v>
      </c>
    </row>
    <row r="8" spans="1:24" x14ac:dyDescent="0.25">
      <c r="A8" t="e">
        <f ca="1">ModelRef('Chicken Parts'!$B$25,1,0,1)</f>
        <v>#NAME?</v>
      </c>
      <c r="B8">
        <v>0</v>
      </c>
      <c r="C8">
        <v>3</v>
      </c>
      <c r="F8">
        <v>0</v>
      </c>
      <c r="J8" t="b">
        <v>1</v>
      </c>
      <c r="K8" t="s">
        <v>92</v>
      </c>
      <c r="L8" t="e">
        <f ca="1">ModelRef('Chicken Parts'!$B$25,1,0,1)</f>
        <v>#NAME?</v>
      </c>
    </row>
    <row r="9" spans="1:24" x14ac:dyDescent="0.25">
      <c r="A9" t="e">
        <f ca="1">ModelRef('Chicken Parts'!$B$73,1,0,0)</f>
        <v>#NAME?</v>
      </c>
      <c r="B9">
        <v>1</v>
      </c>
      <c r="C9">
        <v>2</v>
      </c>
      <c r="D9" t="s">
        <v>60</v>
      </c>
      <c r="F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058D5-F0F7-484E-B28C-C52153F954FC}">
  <sheetPr codeName="Sheet3"/>
  <dimension ref="A1:BS129"/>
  <sheetViews>
    <sheetView tabSelected="1" topLeftCell="A93" zoomScale="90" zoomScaleNormal="90" zoomScaleSheetLayoutView="40" zoomScalePageLayoutView="10" workbookViewId="0">
      <selection activeCell="B25" sqref="B25"/>
    </sheetView>
  </sheetViews>
  <sheetFormatPr defaultRowHeight="15" x14ac:dyDescent="0.25"/>
  <cols>
    <col min="1" max="1" width="73.5703125" bestFit="1" customWidth="1"/>
    <col min="2" max="2" width="31.42578125" bestFit="1" customWidth="1"/>
    <col min="3" max="3" width="17.42578125" customWidth="1"/>
    <col min="4" max="4" width="19.140625" customWidth="1"/>
    <col min="5" max="5" width="16.28515625" customWidth="1"/>
    <col min="6" max="6" width="17.7109375" customWidth="1"/>
    <col min="7" max="7" width="9.140625" customWidth="1"/>
    <col min="8" max="8" width="13.42578125" customWidth="1"/>
    <col min="9" max="9" width="21.140625" bestFit="1" customWidth="1"/>
    <col min="10" max="10" width="24.140625" customWidth="1"/>
    <col min="11" max="11" width="11.140625" customWidth="1"/>
    <col min="12" max="12" width="18.42578125" customWidth="1"/>
    <col min="13" max="13" width="18.7109375" customWidth="1"/>
    <col min="14" max="14" width="18.7109375" bestFit="1" customWidth="1"/>
    <col min="15" max="15" width="49.28515625" customWidth="1"/>
    <col min="16" max="16" width="12.85546875" bestFit="1" customWidth="1"/>
    <col min="19" max="19" width="12.85546875" bestFit="1" customWidth="1"/>
    <col min="22" max="22" width="12.85546875" bestFit="1" customWidth="1"/>
    <col min="25" max="25" width="80.28515625" bestFit="1" customWidth="1"/>
    <col min="26" max="26" width="18.7109375" bestFit="1" customWidth="1"/>
    <col min="27" max="27" width="29.5703125" bestFit="1" customWidth="1"/>
    <col min="28" max="28" width="12.85546875" bestFit="1" customWidth="1"/>
    <col min="31" max="31" width="12.85546875" bestFit="1" customWidth="1"/>
    <col min="34" max="34" width="12.85546875" bestFit="1" customWidth="1"/>
    <col min="37" max="37" width="59.5703125" customWidth="1"/>
    <col min="38" max="38" width="18.7109375" bestFit="1" customWidth="1"/>
    <col min="50" max="50" width="22.85546875" customWidth="1"/>
    <col min="61" max="61" width="73.5703125" bestFit="1" customWidth="1"/>
    <col min="62" max="62" width="32" customWidth="1"/>
    <col min="63" max="63" width="29" bestFit="1" customWidth="1"/>
  </cols>
  <sheetData>
    <row r="1" spans="1:71" x14ac:dyDescent="0.25">
      <c r="A1" s="41"/>
      <c r="B1" s="6"/>
      <c r="E1" s="98"/>
      <c r="F1" s="98"/>
    </row>
    <row r="2" spans="1:71" ht="18.75" x14ac:dyDescent="0.3">
      <c r="A2" s="39"/>
      <c r="B2" s="40"/>
      <c r="C2" s="24"/>
      <c r="D2" s="24"/>
      <c r="E2" s="24"/>
    </row>
    <row r="3" spans="1:71" x14ac:dyDescent="0.25">
      <c r="A3" s="83" t="s">
        <v>128</v>
      </c>
      <c r="B3" s="84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  <c r="AK3" s="82" t="s">
        <v>127</v>
      </c>
      <c r="AL3" s="82"/>
      <c r="AM3" s="82"/>
      <c r="AN3" s="82"/>
      <c r="AO3" s="82"/>
      <c r="AP3" s="82"/>
      <c r="AQ3" s="82"/>
      <c r="AR3" s="82"/>
      <c r="AS3" s="82"/>
      <c r="AT3" s="82"/>
      <c r="AU3" s="82"/>
      <c r="AV3" s="82"/>
      <c r="AW3" s="82"/>
      <c r="AX3" s="82"/>
      <c r="AY3" s="82"/>
      <c r="AZ3" s="82"/>
      <c r="BA3" s="82"/>
      <c r="BB3" s="82"/>
      <c r="BC3" s="82"/>
      <c r="BD3" s="82"/>
      <c r="BE3" s="82"/>
      <c r="BF3" s="82"/>
      <c r="BG3" s="82"/>
      <c r="BH3" s="82"/>
      <c r="BI3" s="82"/>
      <c r="BJ3" s="82"/>
      <c r="BK3" s="82"/>
      <c r="BL3" s="82"/>
      <c r="BM3" s="82"/>
      <c r="BN3" s="82"/>
      <c r="BO3" s="82"/>
      <c r="BP3" s="82"/>
      <c r="BQ3" s="82"/>
      <c r="BR3" s="82"/>
      <c r="BS3" s="82"/>
    </row>
    <row r="4" spans="1:71" ht="15.75" x14ac:dyDescent="0.25">
      <c r="A4" s="5" t="s">
        <v>35</v>
      </c>
      <c r="B4" s="13" t="s">
        <v>12</v>
      </c>
      <c r="C4" s="5" t="s">
        <v>1</v>
      </c>
      <c r="D4" s="5" t="s">
        <v>27</v>
      </c>
      <c r="E4" s="5" t="s">
        <v>2</v>
      </c>
      <c r="F4" s="4"/>
      <c r="G4" s="4"/>
      <c r="H4" s="4"/>
      <c r="M4" s="5" t="s">
        <v>35</v>
      </c>
      <c r="N4" s="13" t="s">
        <v>12</v>
      </c>
      <c r="O4" s="5" t="s">
        <v>1</v>
      </c>
      <c r="P4" s="5" t="s">
        <v>27</v>
      </c>
      <c r="Q4" s="5" t="s">
        <v>2</v>
      </c>
      <c r="R4" s="4"/>
      <c r="S4" s="4"/>
      <c r="T4" s="4"/>
      <c r="Y4" s="5" t="s">
        <v>35</v>
      </c>
      <c r="Z4" s="13" t="s">
        <v>12</v>
      </c>
      <c r="AA4" s="5" t="s">
        <v>1</v>
      </c>
      <c r="AB4" s="5" t="s">
        <v>27</v>
      </c>
      <c r="AC4" s="5" t="s">
        <v>2</v>
      </c>
      <c r="AD4" s="4"/>
      <c r="AE4" s="4"/>
      <c r="AF4" s="4"/>
      <c r="AK4" s="5" t="s">
        <v>35</v>
      </c>
      <c r="AL4" s="13" t="s">
        <v>12</v>
      </c>
      <c r="AM4" s="5" t="s">
        <v>1</v>
      </c>
      <c r="AN4" s="5" t="s">
        <v>27</v>
      </c>
      <c r="AO4" s="5" t="s">
        <v>2</v>
      </c>
      <c r="AP4" s="4"/>
      <c r="AQ4" s="4"/>
      <c r="AR4" s="4"/>
      <c r="AW4" s="5" t="s">
        <v>35</v>
      </c>
      <c r="AX4" s="13" t="s">
        <v>12</v>
      </c>
      <c r="AY4" s="5" t="s">
        <v>1</v>
      </c>
      <c r="AZ4" s="5" t="s">
        <v>27</v>
      </c>
      <c r="BA4" s="5" t="s">
        <v>2</v>
      </c>
      <c r="BB4" s="4"/>
      <c r="BC4" s="4"/>
      <c r="BD4" s="4"/>
      <c r="BI4" s="5" t="s">
        <v>35</v>
      </c>
      <c r="BJ4" s="13" t="s">
        <v>12</v>
      </c>
      <c r="BK4" s="5" t="s">
        <v>1</v>
      </c>
      <c r="BL4" s="5" t="s">
        <v>27</v>
      </c>
      <c r="BM4" s="5" t="s">
        <v>2</v>
      </c>
      <c r="BN4" s="4"/>
      <c r="BO4" s="4"/>
      <c r="BP4" s="4"/>
    </row>
    <row r="5" spans="1:71" ht="18.75" x14ac:dyDescent="0.3">
      <c r="A5" s="29" t="s">
        <v>26</v>
      </c>
      <c r="B5" s="29"/>
      <c r="C5" s="29"/>
      <c r="D5" s="29"/>
      <c r="E5" s="29"/>
      <c r="F5" s="9"/>
      <c r="G5" s="9"/>
      <c r="H5" s="9"/>
      <c r="I5" s="9"/>
      <c r="J5" s="9"/>
      <c r="K5" s="9"/>
      <c r="M5" s="29" t="s">
        <v>26</v>
      </c>
      <c r="N5" s="29"/>
      <c r="O5" s="29"/>
      <c r="P5" s="29"/>
      <c r="Q5" s="29"/>
      <c r="R5" s="9"/>
      <c r="S5" s="9"/>
      <c r="T5" s="9"/>
      <c r="U5" s="9"/>
      <c r="V5" s="9"/>
      <c r="W5" s="9"/>
      <c r="Y5" s="29" t="s">
        <v>26</v>
      </c>
      <c r="Z5" s="29"/>
      <c r="AA5" s="29"/>
      <c r="AB5" s="29"/>
      <c r="AC5" s="29"/>
      <c r="AD5" s="9"/>
      <c r="AE5" s="9"/>
      <c r="AF5" s="9"/>
      <c r="AG5" s="9"/>
      <c r="AH5" s="9"/>
      <c r="AI5" s="9"/>
      <c r="AK5" s="29" t="s">
        <v>26</v>
      </c>
      <c r="AL5" s="29"/>
      <c r="AM5" s="29"/>
      <c r="AN5" s="29"/>
      <c r="AO5" s="29"/>
      <c r="AP5" s="9"/>
      <c r="AQ5" s="9"/>
      <c r="AR5" s="9"/>
      <c r="AS5" s="9"/>
      <c r="AT5" s="9"/>
      <c r="AU5" s="9"/>
      <c r="AW5" s="29" t="s">
        <v>26</v>
      </c>
      <c r="AX5" s="29"/>
      <c r="AY5" s="29"/>
      <c r="AZ5" s="29"/>
      <c r="BA5" s="29"/>
      <c r="BB5" s="9"/>
      <c r="BC5" s="9"/>
      <c r="BD5" s="9"/>
      <c r="BE5" s="9"/>
      <c r="BF5" s="9"/>
      <c r="BG5" s="9"/>
      <c r="BI5" s="29" t="s">
        <v>26</v>
      </c>
      <c r="BJ5" s="29"/>
      <c r="BK5" s="29"/>
      <c r="BL5" s="29"/>
      <c r="BM5" s="29"/>
      <c r="BN5" s="9"/>
      <c r="BO5" s="9"/>
      <c r="BP5" s="9"/>
      <c r="BQ5" s="9"/>
      <c r="BR5" s="9"/>
      <c r="BS5" s="9"/>
    </row>
    <row r="6" spans="1:71" ht="15.75" x14ac:dyDescent="0.25">
      <c r="A6" s="1" t="s">
        <v>16</v>
      </c>
      <c r="B6" s="12"/>
      <c r="C6" s="1"/>
      <c r="D6" s="1"/>
      <c r="E6" s="1"/>
      <c r="F6" s="2"/>
      <c r="G6" s="2"/>
      <c r="H6" s="2"/>
      <c r="I6" s="2"/>
      <c r="J6" s="2"/>
      <c r="K6" s="2"/>
      <c r="M6" s="1" t="s">
        <v>16</v>
      </c>
      <c r="N6" s="12"/>
      <c r="O6" s="1"/>
      <c r="P6" s="1"/>
      <c r="Q6" s="1"/>
      <c r="R6" s="2"/>
      <c r="S6" s="2"/>
      <c r="T6" s="2"/>
      <c r="U6" s="2"/>
      <c r="V6" s="2"/>
      <c r="W6" s="2"/>
      <c r="Y6" s="1" t="s">
        <v>16</v>
      </c>
      <c r="Z6" s="12"/>
      <c r="AA6" s="1"/>
      <c r="AB6" s="1"/>
      <c r="AC6" s="1"/>
      <c r="AD6" s="2"/>
      <c r="AE6" s="2"/>
      <c r="AF6" s="2"/>
      <c r="AG6" s="2"/>
      <c r="AH6" s="2"/>
      <c r="AI6" s="2"/>
      <c r="AK6" s="1" t="s">
        <v>16</v>
      </c>
      <c r="AL6" s="12"/>
      <c r="AM6" s="1"/>
      <c r="AN6" s="1"/>
      <c r="AO6" s="1"/>
      <c r="AP6" s="2"/>
      <c r="AQ6" s="2"/>
      <c r="AR6" s="2"/>
      <c r="AS6" s="2"/>
      <c r="AT6" s="2"/>
      <c r="AU6" s="2"/>
      <c r="AW6" s="1" t="s">
        <v>16</v>
      </c>
      <c r="AX6" s="12"/>
      <c r="AY6" s="1"/>
      <c r="AZ6" s="1"/>
      <c r="BA6" s="1"/>
      <c r="BB6" s="2"/>
      <c r="BC6" s="2"/>
      <c r="BD6" s="2"/>
      <c r="BE6" s="2"/>
      <c r="BF6" s="2"/>
      <c r="BG6" s="2"/>
      <c r="BI6" s="1" t="s">
        <v>16</v>
      </c>
      <c r="BJ6" s="12"/>
      <c r="BK6" s="1"/>
      <c r="BL6" s="1"/>
      <c r="BM6" s="1"/>
      <c r="BN6" s="2"/>
      <c r="BO6" s="2"/>
      <c r="BP6" s="2"/>
      <c r="BQ6" s="2"/>
      <c r="BR6" s="2"/>
      <c r="BS6" s="2"/>
    </row>
    <row r="7" spans="1:71" x14ac:dyDescent="0.25">
      <c r="A7" t="s">
        <v>28</v>
      </c>
      <c r="B7" s="45">
        <v>-3.1915911761351801</v>
      </c>
      <c r="C7" t="s">
        <v>14</v>
      </c>
      <c r="D7" t="s">
        <v>4</v>
      </c>
      <c r="E7" t="s">
        <v>13</v>
      </c>
      <c r="M7" t="s">
        <v>28</v>
      </c>
      <c r="N7" s="45">
        <v>-3.1915911761351801</v>
      </c>
      <c r="O7" t="s">
        <v>14</v>
      </c>
      <c r="P7" t="s">
        <v>4</v>
      </c>
      <c r="Q7" t="s">
        <v>13</v>
      </c>
      <c r="Y7" t="s">
        <v>28</v>
      </c>
      <c r="Z7" s="45">
        <v>-3.1915911761351801</v>
      </c>
      <c r="AA7" t="s">
        <v>14</v>
      </c>
      <c r="AB7" t="s">
        <v>4</v>
      </c>
      <c r="AC7" t="s">
        <v>13</v>
      </c>
      <c r="AK7" t="s">
        <v>28</v>
      </c>
      <c r="AL7" s="45">
        <v>-5.53</v>
      </c>
      <c r="AM7" t="s">
        <v>14</v>
      </c>
      <c r="AN7" t="s">
        <v>4</v>
      </c>
      <c r="AO7" t="s">
        <v>13</v>
      </c>
      <c r="AW7" t="s">
        <v>28</v>
      </c>
      <c r="AX7" s="45">
        <f>AL7</f>
        <v>-5.53</v>
      </c>
      <c r="AY7" t="s">
        <v>14</v>
      </c>
      <c r="AZ7" t="s">
        <v>4</v>
      </c>
      <c r="BA7" t="s">
        <v>13</v>
      </c>
      <c r="BI7" t="s">
        <v>28</v>
      </c>
      <c r="BJ7" s="45">
        <f>AX7</f>
        <v>-5.53</v>
      </c>
      <c r="BK7" t="s">
        <v>14</v>
      </c>
      <c r="BL7" t="s">
        <v>4</v>
      </c>
      <c r="BM7" t="s">
        <v>13</v>
      </c>
    </row>
    <row r="8" spans="1:71" x14ac:dyDescent="0.25">
      <c r="A8" t="s">
        <v>0</v>
      </c>
      <c r="B8" s="45">
        <v>1.2859210860958401</v>
      </c>
      <c r="C8" t="s">
        <v>14</v>
      </c>
      <c r="D8" t="s">
        <v>4</v>
      </c>
      <c r="E8" t="s">
        <v>13</v>
      </c>
      <c r="M8" t="s">
        <v>0</v>
      </c>
      <c r="N8" s="45">
        <v>1.2859210860958401</v>
      </c>
      <c r="O8" t="s">
        <v>14</v>
      </c>
      <c r="P8" t="s">
        <v>4</v>
      </c>
      <c r="Q8" t="s">
        <v>13</v>
      </c>
      <c r="Y8" t="s">
        <v>0</v>
      </c>
      <c r="Z8" s="45">
        <v>1.2859210860958401</v>
      </c>
      <c r="AA8" t="s">
        <v>14</v>
      </c>
      <c r="AB8" t="s">
        <v>4</v>
      </c>
      <c r="AC8" t="s">
        <v>13</v>
      </c>
      <c r="AK8" t="s">
        <v>0</v>
      </c>
      <c r="AL8" s="45">
        <v>2.4500000000000002</v>
      </c>
      <c r="AM8" t="s">
        <v>14</v>
      </c>
      <c r="AN8" t="s">
        <v>4</v>
      </c>
      <c r="AO8" t="s">
        <v>13</v>
      </c>
      <c r="AW8" t="s">
        <v>0</v>
      </c>
      <c r="AX8" s="45">
        <f>AL8</f>
        <v>2.4500000000000002</v>
      </c>
      <c r="AY8" t="s">
        <v>14</v>
      </c>
      <c r="AZ8" t="s">
        <v>4</v>
      </c>
      <c r="BA8" t="s">
        <v>13</v>
      </c>
      <c r="BI8" t="s">
        <v>0</v>
      </c>
      <c r="BJ8" s="45">
        <f>AX8</f>
        <v>2.4500000000000002</v>
      </c>
      <c r="BK8" t="s">
        <v>14</v>
      </c>
      <c r="BL8" t="s">
        <v>4</v>
      </c>
      <c r="BM8" t="s">
        <v>13</v>
      </c>
    </row>
    <row r="9" spans="1:71" x14ac:dyDescent="0.25">
      <c r="A9" t="s">
        <v>90</v>
      </c>
      <c r="B9" s="14" cm="1">
        <f t="array" aca="1" ref="B9" ca="1">_xll.RiskNormal(B7,B8)</f>
        <v>-2.7772920800430878</v>
      </c>
      <c r="C9" t="s">
        <v>14</v>
      </c>
      <c r="D9" t="s">
        <v>30</v>
      </c>
      <c r="E9" t="s">
        <v>15</v>
      </c>
      <c r="M9" t="s">
        <v>90</v>
      </c>
      <c r="N9" s="14">
        <f ca="1">B9</f>
        <v>-2.7772920800430878</v>
      </c>
      <c r="O9" t="s">
        <v>14</v>
      </c>
      <c r="P9" t="s">
        <v>30</v>
      </c>
      <c r="Q9" t="s">
        <v>15</v>
      </c>
      <c r="Y9" t="s">
        <v>90</v>
      </c>
      <c r="Z9" s="14">
        <f ca="1">N9</f>
        <v>-2.7772920800430878</v>
      </c>
      <c r="AA9" t="s">
        <v>14</v>
      </c>
      <c r="AB9" t="s">
        <v>30</v>
      </c>
      <c r="AC9" t="s">
        <v>15</v>
      </c>
      <c r="AK9" t="s">
        <v>90</v>
      </c>
      <c r="AL9" s="14" cm="1">
        <f t="array" aca="1" ref="AL9" ca="1">_xll.RiskNormal(AL7,AL8)</f>
        <v>-7.1704797752361582</v>
      </c>
      <c r="AM9" t="s">
        <v>14</v>
      </c>
      <c r="AN9" t="s">
        <v>30</v>
      </c>
      <c r="AO9" t="s">
        <v>15</v>
      </c>
      <c r="AW9" t="s">
        <v>90</v>
      </c>
      <c r="AX9" s="14">
        <f ca="1">AL9</f>
        <v>-7.1704797752361582</v>
      </c>
      <c r="AY9" t="s">
        <v>14</v>
      </c>
      <c r="AZ9" t="s">
        <v>30</v>
      </c>
      <c r="BA9" t="s">
        <v>15</v>
      </c>
      <c r="BI9" t="s">
        <v>90</v>
      </c>
      <c r="BJ9" s="14">
        <f ca="1">AX9</f>
        <v>-7.1704797752361582</v>
      </c>
      <c r="BK9" t="s">
        <v>14</v>
      </c>
      <c r="BL9" t="s">
        <v>30</v>
      </c>
      <c r="BM9" t="s">
        <v>15</v>
      </c>
    </row>
    <row r="10" spans="1:71" ht="15.75" x14ac:dyDescent="0.25">
      <c r="A10" s="1" t="s">
        <v>101</v>
      </c>
      <c r="B10" s="64"/>
      <c r="C10" s="2"/>
      <c r="D10" s="2"/>
      <c r="E10" s="2"/>
      <c r="F10" s="2"/>
      <c r="G10" s="2"/>
      <c r="H10" s="2"/>
      <c r="I10" s="2"/>
      <c r="J10" s="2"/>
      <c r="K10" s="2"/>
      <c r="M10" s="1" t="s">
        <v>101</v>
      </c>
      <c r="N10" s="64"/>
      <c r="O10" s="2"/>
      <c r="P10" s="2"/>
      <c r="Q10" s="2"/>
      <c r="R10" s="2"/>
      <c r="S10" s="2"/>
      <c r="T10" s="2"/>
      <c r="U10" s="2"/>
      <c r="V10" s="2"/>
      <c r="W10" s="2"/>
      <c r="Y10" s="1" t="s">
        <v>101</v>
      </c>
      <c r="Z10" s="64"/>
      <c r="AA10" s="2"/>
      <c r="AB10" s="2"/>
      <c r="AC10" s="2"/>
      <c r="AD10" s="2"/>
      <c r="AE10" s="2"/>
      <c r="AF10" s="2"/>
      <c r="AG10" s="2"/>
      <c r="AH10" s="2"/>
      <c r="AI10" s="2"/>
      <c r="AK10" s="1" t="s">
        <v>101</v>
      </c>
      <c r="AL10" s="64"/>
      <c r="AM10" s="2"/>
      <c r="AN10" s="2"/>
      <c r="AO10" s="2"/>
      <c r="AP10" s="2"/>
      <c r="AQ10" s="2"/>
      <c r="AR10" s="2"/>
      <c r="AS10" s="2"/>
      <c r="AT10" s="2"/>
      <c r="AU10" s="2"/>
      <c r="AW10" s="1" t="s">
        <v>101</v>
      </c>
      <c r="AX10" s="64"/>
      <c r="AY10" s="2"/>
      <c r="AZ10" s="2"/>
      <c r="BA10" s="2"/>
      <c r="BB10" s="2"/>
      <c r="BC10" s="2"/>
      <c r="BD10" s="2"/>
      <c r="BE10" s="2"/>
      <c r="BF10" s="2"/>
      <c r="BG10" s="2"/>
      <c r="BI10" s="1" t="s">
        <v>101</v>
      </c>
      <c r="BJ10" s="64"/>
      <c r="BK10" s="2"/>
      <c r="BL10" s="2"/>
      <c r="BM10" s="2"/>
      <c r="BN10" s="2"/>
      <c r="BO10" s="2"/>
      <c r="BP10" s="2"/>
      <c r="BQ10" s="2"/>
      <c r="BR10" s="2"/>
      <c r="BS10" s="2"/>
    </row>
    <row r="11" spans="1:71" ht="15.75" x14ac:dyDescent="0.25">
      <c r="A11" s="65" t="s">
        <v>102</v>
      </c>
      <c r="B11" s="6" t="s">
        <v>103</v>
      </c>
      <c r="C11" t="s">
        <v>104</v>
      </c>
      <c r="M11" s="65" t="s">
        <v>102</v>
      </c>
      <c r="N11" s="6" t="s">
        <v>103</v>
      </c>
      <c r="O11" t="s">
        <v>104</v>
      </c>
      <c r="Y11" s="65" t="s">
        <v>102</v>
      </c>
      <c r="Z11" s="6" t="s">
        <v>103</v>
      </c>
      <c r="AA11" t="s">
        <v>104</v>
      </c>
      <c r="AK11" s="65" t="s">
        <v>102</v>
      </c>
      <c r="AL11" s="6" t="s">
        <v>103</v>
      </c>
      <c r="AM11" t="s">
        <v>104</v>
      </c>
      <c r="AW11" s="65" t="s">
        <v>102</v>
      </c>
      <c r="AX11" s="6" t="s">
        <v>103</v>
      </c>
      <c r="AY11" t="s">
        <v>104</v>
      </c>
      <c r="BI11" s="65" t="s">
        <v>102</v>
      </c>
      <c r="BJ11" s="6" t="s">
        <v>103</v>
      </c>
      <c r="BK11" t="s">
        <v>104</v>
      </c>
    </row>
    <row r="12" spans="1:71" x14ac:dyDescent="0.25">
      <c r="A12" t="s">
        <v>105</v>
      </c>
      <c r="B12" s="66">
        <v>8.5099999999999995E-2</v>
      </c>
      <c r="C12" s="67">
        <f>SUM(B12:B12)</f>
        <v>8.5099999999999995E-2</v>
      </c>
      <c r="D12" t="s">
        <v>4</v>
      </c>
      <c r="E12" t="s">
        <v>106</v>
      </c>
      <c r="I12" t="s">
        <v>105</v>
      </c>
      <c r="M12" t="s">
        <v>105</v>
      </c>
      <c r="N12" s="66">
        <v>8.5099999999999995E-2</v>
      </c>
      <c r="O12" s="67">
        <f>SUM(N12:N12)</f>
        <v>8.5099999999999995E-2</v>
      </c>
      <c r="P12" t="s">
        <v>4</v>
      </c>
      <c r="Q12" t="s">
        <v>106</v>
      </c>
      <c r="U12" t="s">
        <v>105</v>
      </c>
      <c r="Y12" t="s">
        <v>105</v>
      </c>
      <c r="Z12" s="66">
        <v>8.5099999999999995E-2</v>
      </c>
      <c r="AA12" s="67">
        <f>SUM(Z12:Z12)</f>
        <v>8.5099999999999995E-2</v>
      </c>
      <c r="AB12" t="s">
        <v>4</v>
      </c>
      <c r="AC12" t="s">
        <v>106</v>
      </c>
      <c r="AG12" t="s">
        <v>105</v>
      </c>
      <c r="AK12" t="s">
        <v>105</v>
      </c>
      <c r="AL12" s="66">
        <v>8.5099999999999995E-2</v>
      </c>
      <c r="AM12" s="67">
        <f>SUM(AL12:AL12)</f>
        <v>8.5099999999999995E-2</v>
      </c>
      <c r="AN12" t="s">
        <v>4</v>
      </c>
      <c r="AO12" t="s">
        <v>106</v>
      </c>
      <c r="AS12" t="s">
        <v>105</v>
      </c>
      <c r="AW12" t="s">
        <v>105</v>
      </c>
      <c r="AX12" s="66">
        <v>8.5099999999999995E-2</v>
      </c>
      <c r="AY12" s="67">
        <f>SUM(AX12:AX12)</f>
        <v>8.5099999999999995E-2</v>
      </c>
      <c r="AZ12" t="s">
        <v>4</v>
      </c>
      <c r="BA12" t="s">
        <v>106</v>
      </c>
      <c r="BE12" t="s">
        <v>105</v>
      </c>
      <c r="BI12" t="s">
        <v>105</v>
      </c>
      <c r="BJ12" s="66">
        <v>8.5099999999999995E-2</v>
      </c>
      <c r="BK12" s="67">
        <f>SUM(BJ12:BJ12)</f>
        <v>8.5099999999999995E-2</v>
      </c>
      <c r="BL12" t="s">
        <v>4</v>
      </c>
      <c r="BM12" t="s">
        <v>106</v>
      </c>
      <c r="BQ12" t="s">
        <v>105</v>
      </c>
    </row>
    <row r="13" spans="1:71" x14ac:dyDescent="0.25">
      <c r="A13" t="s">
        <v>107</v>
      </c>
      <c r="B13" s="66">
        <v>0.24</v>
      </c>
      <c r="C13" s="67">
        <f>SUM(B12:B13)</f>
        <v>0.3251</v>
      </c>
      <c r="D13" t="s">
        <v>4</v>
      </c>
      <c r="E13" t="s">
        <v>106</v>
      </c>
      <c r="I13" t="s">
        <v>115</v>
      </c>
      <c r="M13" t="s">
        <v>107</v>
      </c>
      <c r="N13" s="66">
        <v>0.24</v>
      </c>
      <c r="O13" s="67">
        <f>SUM(N12:N13)</f>
        <v>0.3251</v>
      </c>
      <c r="P13" t="s">
        <v>4</v>
      </c>
      <c r="Q13" t="s">
        <v>106</v>
      </c>
      <c r="U13" t="s">
        <v>115</v>
      </c>
      <c r="Y13" t="s">
        <v>107</v>
      </c>
      <c r="Z13" s="66">
        <v>0.24</v>
      </c>
      <c r="AA13" s="67">
        <f>SUM(Z12:Z13)</f>
        <v>0.3251</v>
      </c>
      <c r="AB13" t="s">
        <v>4</v>
      </c>
      <c r="AC13" t="s">
        <v>106</v>
      </c>
      <c r="AG13" t="s">
        <v>115</v>
      </c>
      <c r="AK13" t="s">
        <v>107</v>
      </c>
      <c r="AL13" s="66">
        <v>0.24</v>
      </c>
      <c r="AM13" s="67">
        <f>SUM(AL12:AL13)</f>
        <v>0.3251</v>
      </c>
      <c r="AN13" t="s">
        <v>4</v>
      </c>
      <c r="AO13" t="s">
        <v>106</v>
      </c>
      <c r="AS13" t="s">
        <v>115</v>
      </c>
      <c r="AW13" t="s">
        <v>107</v>
      </c>
      <c r="AX13" s="66">
        <v>0.24</v>
      </c>
      <c r="AY13" s="67">
        <f>SUM(AX12:AX13)</f>
        <v>0.3251</v>
      </c>
      <c r="AZ13" t="s">
        <v>4</v>
      </c>
      <c r="BA13" t="s">
        <v>106</v>
      </c>
      <c r="BE13" t="s">
        <v>115</v>
      </c>
      <c r="BI13" t="s">
        <v>107</v>
      </c>
      <c r="BJ13" s="66">
        <v>0.24</v>
      </c>
      <c r="BK13" s="67">
        <f>SUM(BJ12:BJ13)</f>
        <v>0.3251</v>
      </c>
      <c r="BL13" t="s">
        <v>4</v>
      </c>
      <c r="BM13" t="s">
        <v>106</v>
      </c>
      <c r="BQ13" t="s">
        <v>115</v>
      </c>
    </row>
    <row r="14" spans="1:71" x14ac:dyDescent="0.25">
      <c r="A14" t="s">
        <v>108</v>
      </c>
      <c r="B14" s="66">
        <v>2.98E-2</v>
      </c>
      <c r="C14" s="67">
        <f>SUM(B12:B14)</f>
        <v>0.35489999999999999</v>
      </c>
      <c r="D14" t="s">
        <v>4</v>
      </c>
      <c r="E14" t="s">
        <v>106</v>
      </c>
      <c r="I14" t="s">
        <v>116</v>
      </c>
      <c r="M14" t="s">
        <v>108</v>
      </c>
      <c r="N14" s="66">
        <v>2.98E-2</v>
      </c>
      <c r="O14" s="67">
        <f>SUM(N12:N14)</f>
        <v>0.35489999999999999</v>
      </c>
      <c r="P14" t="s">
        <v>4</v>
      </c>
      <c r="Q14" t="s">
        <v>106</v>
      </c>
      <c r="U14" t="s">
        <v>116</v>
      </c>
      <c r="Y14" t="s">
        <v>108</v>
      </c>
      <c r="Z14" s="66">
        <v>2.98E-2</v>
      </c>
      <c r="AA14" s="67">
        <f>SUM(Z12:Z14)</f>
        <v>0.35489999999999999</v>
      </c>
      <c r="AB14" t="s">
        <v>4</v>
      </c>
      <c r="AC14" t="s">
        <v>106</v>
      </c>
      <c r="AG14" t="s">
        <v>116</v>
      </c>
      <c r="AK14" t="s">
        <v>108</v>
      </c>
      <c r="AL14" s="66">
        <v>2.98E-2</v>
      </c>
      <c r="AM14" s="67">
        <f>SUM(AL12:AL14)</f>
        <v>0.35489999999999999</v>
      </c>
      <c r="AN14" t="s">
        <v>4</v>
      </c>
      <c r="AO14" t="s">
        <v>106</v>
      </c>
      <c r="AS14" t="s">
        <v>116</v>
      </c>
      <c r="AW14" t="s">
        <v>108</v>
      </c>
      <c r="AX14" s="66">
        <v>2.98E-2</v>
      </c>
      <c r="AY14" s="67">
        <f>SUM(AX12:AX14)</f>
        <v>0.35489999999999999</v>
      </c>
      <c r="AZ14" t="s">
        <v>4</v>
      </c>
      <c r="BA14" t="s">
        <v>106</v>
      </c>
      <c r="BE14" t="s">
        <v>116</v>
      </c>
      <c r="BI14" t="s">
        <v>108</v>
      </c>
      <c r="BJ14" s="66">
        <v>2.98E-2</v>
      </c>
      <c r="BK14" s="67">
        <f>SUM(BJ12:BJ14)</f>
        <v>0.35489999999999999</v>
      </c>
      <c r="BL14" t="s">
        <v>4</v>
      </c>
      <c r="BM14" t="s">
        <v>106</v>
      </c>
      <c r="BQ14" t="s">
        <v>116</v>
      </c>
    </row>
    <row r="15" spans="1:71" x14ac:dyDescent="0.25">
      <c r="A15" t="s">
        <v>109</v>
      </c>
      <c r="B15" s="66">
        <v>8.3400000000000002E-3</v>
      </c>
      <c r="C15" s="67">
        <f>SUM(B12:B15)</f>
        <v>0.36324000000000001</v>
      </c>
      <c r="D15" t="s">
        <v>4</v>
      </c>
      <c r="E15" t="s">
        <v>106</v>
      </c>
      <c r="I15" t="s">
        <v>109</v>
      </c>
      <c r="M15" t="s">
        <v>109</v>
      </c>
      <c r="N15" s="66">
        <v>8.3400000000000002E-3</v>
      </c>
      <c r="O15" s="67">
        <f>SUM(N12:N15)</f>
        <v>0.36324000000000001</v>
      </c>
      <c r="P15" t="s">
        <v>4</v>
      </c>
      <c r="Q15" t="s">
        <v>106</v>
      </c>
      <c r="U15" t="s">
        <v>109</v>
      </c>
      <c r="Y15" t="s">
        <v>109</v>
      </c>
      <c r="Z15" s="66">
        <v>8.3400000000000002E-3</v>
      </c>
      <c r="AA15" s="67">
        <f>SUM(Z12:Z15)</f>
        <v>0.36324000000000001</v>
      </c>
      <c r="AB15" t="s">
        <v>4</v>
      </c>
      <c r="AC15" t="s">
        <v>106</v>
      </c>
      <c r="AG15" t="s">
        <v>109</v>
      </c>
      <c r="AK15" t="s">
        <v>109</v>
      </c>
      <c r="AL15" s="66">
        <v>8.3400000000000002E-3</v>
      </c>
      <c r="AM15" s="67">
        <f>SUM(AL12:AL15)</f>
        <v>0.36324000000000001</v>
      </c>
      <c r="AN15" t="s">
        <v>4</v>
      </c>
      <c r="AO15" t="s">
        <v>106</v>
      </c>
      <c r="AS15" t="s">
        <v>109</v>
      </c>
      <c r="AW15" t="s">
        <v>109</v>
      </c>
      <c r="AX15" s="66">
        <v>8.3400000000000002E-3</v>
      </c>
      <c r="AY15" s="67">
        <f>SUM(AX12:AX15)</f>
        <v>0.36324000000000001</v>
      </c>
      <c r="AZ15" t="s">
        <v>4</v>
      </c>
      <c r="BA15" t="s">
        <v>106</v>
      </c>
      <c r="BE15" t="s">
        <v>109</v>
      </c>
      <c r="BI15" t="s">
        <v>109</v>
      </c>
      <c r="BJ15" s="66">
        <v>8.3400000000000002E-3</v>
      </c>
      <c r="BK15" s="67">
        <f>SUM(BJ12:BJ15)</f>
        <v>0.36324000000000001</v>
      </c>
      <c r="BL15" t="s">
        <v>4</v>
      </c>
      <c r="BM15" t="s">
        <v>106</v>
      </c>
      <c r="BQ15" t="s">
        <v>109</v>
      </c>
    </row>
    <row r="16" spans="1:71" x14ac:dyDescent="0.25">
      <c r="A16" t="s">
        <v>110</v>
      </c>
      <c r="B16" s="66">
        <v>0.29199999999999998</v>
      </c>
      <c r="C16" s="67">
        <f>SUM(B12:B16)</f>
        <v>0.65524000000000004</v>
      </c>
      <c r="D16" t="s">
        <v>4</v>
      </c>
      <c r="E16" t="s">
        <v>106</v>
      </c>
      <c r="I16" t="s">
        <v>110</v>
      </c>
      <c r="M16" t="s">
        <v>110</v>
      </c>
      <c r="N16" s="66">
        <v>0.29199999999999998</v>
      </c>
      <c r="O16" s="67">
        <f>SUM(N12:N16)</f>
        <v>0.65524000000000004</v>
      </c>
      <c r="P16" t="s">
        <v>4</v>
      </c>
      <c r="Q16" t="s">
        <v>106</v>
      </c>
      <c r="U16" t="s">
        <v>110</v>
      </c>
      <c r="Y16" t="s">
        <v>110</v>
      </c>
      <c r="Z16" s="66">
        <v>0.29199999999999998</v>
      </c>
      <c r="AA16" s="67">
        <f>SUM(Z12:Z16)</f>
        <v>0.65524000000000004</v>
      </c>
      <c r="AB16" t="s">
        <v>4</v>
      </c>
      <c r="AC16" t="s">
        <v>106</v>
      </c>
      <c r="AG16" t="s">
        <v>110</v>
      </c>
      <c r="AK16" t="s">
        <v>110</v>
      </c>
      <c r="AL16" s="66">
        <v>0.29199999999999998</v>
      </c>
      <c r="AM16" s="67">
        <f>SUM(AL12:AL16)</f>
        <v>0.65524000000000004</v>
      </c>
      <c r="AN16" t="s">
        <v>4</v>
      </c>
      <c r="AO16" t="s">
        <v>106</v>
      </c>
      <c r="AS16" t="s">
        <v>110</v>
      </c>
      <c r="AW16" t="s">
        <v>110</v>
      </c>
      <c r="AX16" s="66">
        <v>0.29199999999999998</v>
      </c>
      <c r="AY16" s="67">
        <f>SUM(AX12:AX16)</f>
        <v>0.65524000000000004</v>
      </c>
      <c r="AZ16" t="s">
        <v>4</v>
      </c>
      <c r="BA16" t="s">
        <v>106</v>
      </c>
      <c r="BE16" t="s">
        <v>110</v>
      </c>
      <c r="BI16" t="s">
        <v>110</v>
      </c>
      <c r="BJ16" s="66">
        <v>0.29199999999999998</v>
      </c>
      <c r="BK16" s="67">
        <f>SUM(BJ12:BJ16)</f>
        <v>0.65524000000000004</v>
      </c>
      <c r="BL16" t="s">
        <v>4</v>
      </c>
      <c r="BM16" t="s">
        <v>106</v>
      </c>
      <c r="BQ16" t="s">
        <v>110</v>
      </c>
    </row>
    <row r="17" spans="1:71" x14ac:dyDescent="0.25">
      <c r="A17" t="s">
        <v>111</v>
      </c>
      <c r="B17" s="66">
        <v>0.187</v>
      </c>
      <c r="C17" s="67">
        <f>SUM(B12:B17)</f>
        <v>0.8422400000000001</v>
      </c>
      <c r="D17" t="s">
        <v>4</v>
      </c>
      <c r="E17" t="s">
        <v>106</v>
      </c>
      <c r="I17" t="s">
        <v>111</v>
      </c>
      <c r="M17" t="s">
        <v>111</v>
      </c>
      <c r="N17" s="66">
        <v>0.187</v>
      </c>
      <c r="O17" s="67">
        <f>SUM(N12:N17)</f>
        <v>0.8422400000000001</v>
      </c>
      <c r="P17" t="s">
        <v>4</v>
      </c>
      <c r="Q17" t="s">
        <v>106</v>
      </c>
      <c r="U17" t="s">
        <v>111</v>
      </c>
      <c r="Y17" t="s">
        <v>111</v>
      </c>
      <c r="Z17" s="66">
        <v>0.187</v>
      </c>
      <c r="AA17" s="67">
        <f>SUM(Z12:Z17)</f>
        <v>0.8422400000000001</v>
      </c>
      <c r="AB17" t="s">
        <v>4</v>
      </c>
      <c r="AC17" t="s">
        <v>106</v>
      </c>
      <c r="AG17" t="s">
        <v>111</v>
      </c>
      <c r="AK17" t="s">
        <v>111</v>
      </c>
      <c r="AL17" s="66">
        <v>0.187</v>
      </c>
      <c r="AM17" s="67">
        <f>SUM(AL12:AL17)</f>
        <v>0.8422400000000001</v>
      </c>
      <c r="AN17" t="s">
        <v>4</v>
      </c>
      <c r="AO17" t="s">
        <v>106</v>
      </c>
      <c r="AS17" t="s">
        <v>111</v>
      </c>
      <c r="AW17" t="s">
        <v>111</v>
      </c>
      <c r="AX17" s="66">
        <v>0.187</v>
      </c>
      <c r="AY17" s="67">
        <f>SUM(AX12:AX17)</f>
        <v>0.8422400000000001</v>
      </c>
      <c r="AZ17" t="s">
        <v>4</v>
      </c>
      <c r="BA17" t="s">
        <v>106</v>
      </c>
      <c r="BE17" t="s">
        <v>111</v>
      </c>
      <c r="BI17" t="s">
        <v>111</v>
      </c>
      <c r="BJ17" s="66">
        <v>0.187</v>
      </c>
      <c r="BK17" s="67">
        <f>SUM(BJ12:BJ17)</f>
        <v>0.8422400000000001</v>
      </c>
      <c r="BL17" t="s">
        <v>4</v>
      </c>
      <c r="BM17" t="s">
        <v>106</v>
      </c>
      <c r="BQ17" t="s">
        <v>111</v>
      </c>
    </row>
    <row r="18" spans="1:71" x14ac:dyDescent="0.25">
      <c r="A18" t="s">
        <v>112</v>
      </c>
      <c r="B18" s="66">
        <f>1-(SUM(B12:B17))</f>
        <v>0.1577599999999999</v>
      </c>
      <c r="C18" s="67">
        <f>SUM(B12:B18)</f>
        <v>1</v>
      </c>
      <c r="D18" t="s">
        <v>4</v>
      </c>
      <c r="E18" t="s">
        <v>106</v>
      </c>
      <c r="I18" t="s">
        <v>112</v>
      </c>
      <c r="M18" t="s">
        <v>112</v>
      </c>
      <c r="N18" s="66">
        <f>1-(SUM(N12:N17))</f>
        <v>0.1577599999999999</v>
      </c>
      <c r="O18" s="67">
        <f>SUM(N12:N18)</f>
        <v>1</v>
      </c>
      <c r="P18" t="s">
        <v>4</v>
      </c>
      <c r="Q18" t="s">
        <v>106</v>
      </c>
      <c r="U18" t="s">
        <v>112</v>
      </c>
      <c r="Y18" t="s">
        <v>112</v>
      </c>
      <c r="Z18" s="66">
        <f>1-(SUM(Z12:Z17))</f>
        <v>0.1577599999999999</v>
      </c>
      <c r="AA18" s="67">
        <f>SUM(Z12:Z18)</f>
        <v>1</v>
      </c>
      <c r="AB18" t="s">
        <v>4</v>
      </c>
      <c r="AC18" t="s">
        <v>106</v>
      </c>
      <c r="AG18" t="s">
        <v>112</v>
      </c>
      <c r="AK18" t="s">
        <v>112</v>
      </c>
      <c r="AL18" s="66">
        <f>1-(SUM(AL12:AL17))</f>
        <v>0.1577599999999999</v>
      </c>
      <c r="AM18" s="67">
        <f>SUM(AL12:AL18)</f>
        <v>1</v>
      </c>
      <c r="AN18" t="s">
        <v>4</v>
      </c>
      <c r="AO18" t="s">
        <v>106</v>
      </c>
      <c r="AS18" t="s">
        <v>112</v>
      </c>
      <c r="AW18" t="s">
        <v>112</v>
      </c>
      <c r="AX18" s="66">
        <f>1-(SUM(AX12:AX17))</f>
        <v>0.1577599999999999</v>
      </c>
      <c r="AY18" s="67">
        <f>SUM(AX12:AX18)</f>
        <v>1</v>
      </c>
      <c r="AZ18" t="s">
        <v>4</v>
      </c>
      <c r="BA18" t="s">
        <v>106</v>
      </c>
      <c r="BE18" t="s">
        <v>112</v>
      </c>
      <c r="BI18" t="s">
        <v>112</v>
      </c>
      <c r="BJ18" s="66">
        <f>1-(SUM(BJ12:BJ17))</f>
        <v>0.1577599999999999</v>
      </c>
      <c r="BK18" s="67">
        <f>SUM(BJ12:BJ18)</f>
        <v>1</v>
      </c>
      <c r="BL18" t="s">
        <v>4</v>
      </c>
      <c r="BM18" t="s">
        <v>106</v>
      </c>
      <c r="BQ18" t="s">
        <v>112</v>
      </c>
    </row>
    <row r="19" spans="1:71" x14ac:dyDescent="0.25">
      <c r="A19" t="s">
        <v>113</v>
      </c>
      <c r="B19" s="68">
        <f ca="1">RAND()</f>
        <v>0.81978398586848833</v>
      </c>
      <c r="C19" s="67"/>
      <c r="M19" t="s">
        <v>113</v>
      </c>
      <c r="N19" s="68">
        <f ca="1">B19</f>
        <v>0.81978398586848833</v>
      </c>
      <c r="O19" s="67"/>
      <c r="Y19" t="s">
        <v>113</v>
      </c>
      <c r="Z19" s="68">
        <f ca="1">N19</f>
        <v>0.81978398586848833</v>
      </c>
      <c r="AA19" s="67"/>
      <c r="AK19" t="s">
        <v>113</v>
      </c>
      <c r="AL19" s="68">
        <f ca="1">Z19</f>
        <v>0.81978398586848833</v>
      </c>
      <c r="AM19" s="67"/>
      <c r="AW19" t="s">
        <v>113</v>
      </c>
      <c r="AX19" s="68">
        <f ca="1">AL19</f>
        <v>0.81978398586848833</v>
      </c>
      <c r="AY19" s="67"/>
      <c r="BI19" t="s">
        <v>113</v>
      </c>
      <c r="BJ19" s="68">
        <f ca="1">AX19</f>
        <v>0.81978398586848833</v>
      </c>
      <c r="BK19" s="67"/>
    </row>
    <row r="20" spans="1:71" x14ac:dyDescent="0.25">
      <c r="A20" t="s">
        <v>114</v>
      </c>
      <c r="B20" s="6" t="str" cm="1">
        <f t="array" aca="1" ref="B20" ca="1">INDEX(A12:A18,COUNTIF(C12:C18,"&lt;="&amp;B19)+1)</f>
        <v>Infantis</v>
      </c>
      <c r="C20" t="s">
        <v>102</v>
      </c>
      <c r="M20" t="s">
        <v>114</v>
      </c>
      <c r="N20" s="6" t="str" cm="1">
        <f t="array" aca="1" ref="N20" ca="1">INDEX(M12:M18,COUNTIF(O12:O18,"&lt;="&amp;N19)+1)</f>
        <v>Infantis</v>
      </c>
      <c r="O20" t="s">
        <v>102</v>
      </c>
      <c r="Y20" t="s">
        <v>114</v>
      </c>
      <c r="Z20" s="6" t="str" cm="1">
        <f t="array" aca="1" ref="Z20" ca="1">INDEX(Y12:Y18,COUNTIF(AA12:AA18,"&lt;="&amp;Z19)+1)</f>
        <v>Infantis</v>
      </c>
      <c r="AA20" t="s">
        <v>102</v>
      </c>
      <c r="AK20" t="s">
        <v>114</v>
      </c>
      <c r="AL20" s="6" t="str">
        <f ca="1">Z20</f>
        <v>Infantis</v>
      </c>
      <c r="AM20" t="s">
        <v>102</v>
      </c>
      <c r="AW20" t="s">
        <v>114</v>
      </c>
      <c r="AX20" s="6" t="str">
        <f ca="1">AL20</f>
        <v>Infantis</v>
      </c>
      <c r="AY20" t="s">
        <v>102</v>
      </c>
      <c r="BI20" t="s">
        <v>114</v>
      </c>
      <c r="BJ20" s="6" t="str" cm="1">
        <f t="array" aca="1" ref="BJ20" ca="1">INDEX(BI12:BI18,COUNTIF(BK12:BK18,"&lt;="&amp;BJ19)+1)</f>
        <v>Infantis</v>
      </c>
      <c r="BK20" t="s">
        <v>102</v>
      </c>
    </row>
    <row r="21" spans="1:71" ht="18" customHeight="1" x14ac:dyDescent="0.3">
      <c r="A21" s="21" t="s">
        <v>19</v>
      </c>
      <c r="B21" s="21"/>
      <c r="C21" s="21"/>
      <c r="D21" s="21"/>
      <c r="E21" s="21"/>
      <c r="F21" s="28"/>
      <c r="G21" s="28"/>
      <c r="H21" s="28"/>
      <c r="I21" s="28"/>
      <c r="J21" s="28"/>
      <c r="K21" s="28"/>
      <c r="M21" s="21" t="s">
        <v>19</v>
      </c>
      <c r="N21" s="21"/>
      <c r="O21" s="21"/>
      <c r="P21" s="21"/>
      <c r="Q21" s="21"/>
      <c r="R21" s="28"/>
      <c r="S21" s="28"/>
      <c r="T21" s="28"/>
      <c r="U21" s="28"/>
      <c r="V21" s="28"/>
      <c r="W21" s="28"/>
      <c r="Y21" s="21" t="s">
        <v>19</v>
      </c>
      <c r="Z21" s="21"/>
      <c r="AA21" s="21"/>
      <c r="AB21" s="21"/>
      <c r="AC21" s="21"/>
      <c r="AD21" s="28"/>
      <c r="AE21" s="28"/>
      <c r="AF21" s="28"/>
      <c r="AG21" s="28"/>
      <c r="AH21" s="28"/>
      <c r="AI21" s="28"/>
      <c r="AK21" s="21" t="s">
        <v>19</v>
      </c>
      <c r="AL21" s="21"/>
      <c r="AM21" s="21"/>
      <c r="AN21" s="21"/>
      <c r="AO21" s="21"/>
      <c r="AP21" s="28"/>
      <c r="AQ21" s="28"/>
      <c r="AR21" s="28"/>
      <c r="AS21" s="28"/>
      <c r="AT21" s="28"/>
      <c r="AU21" s="28"/>
      <c r="AW21" s="21" t="s">
        <v>19</v>
      </c>
      <c r="AX21" s="21"/>
      <c r="AY21" s="21"/>
      <c r="AZ21" s="21"/>
      <c r="BA21" s="21"/>
      <c r="BB21" s="28"/>
      <c r="BC21" s="28"/>
      <c r="BD21" s="28"/>
      <c r="BE21" s="28"/>
      <c r="BF21" s="28"/>
      <c r="BG21" s="28"/>
      <c r="BI21" s="21" t="s">
        <v>19</v>
      </c>
      <c r="BJ21" s="21"/>
      <c r="BK21" s="21"/>
      <c r="BL21" s="21"/>
      <c r="BM21" s="21"/>
      <c r="BN21" s="28"/>
      <c r="BO21" s="28"/>
      <c r="BP21" s="28"/>
      <c r="BQ21" s="28"/>
      <c r="BR21" s="28"/>
      <c r="BS21" s="28"/>
    </row>
    <row r="22" spans="1:71" ht="18" customHeight="1" x14ac:dyDescent="0.3">
      <c r="A22" s="71" t="s">
        <v>117</v>
      </c>
      <c r="B22" s="72"/>
      <c r="C22" s="72"/>
      <c r="D22" s="72"/>
      <c r="E22" s="72"/>
      <c r="F22" s="73"/>
      <c r="G22" s="73"/>
      <c r="H22" s="73"/>
      <c r="I22" s="73"/>
      <c r="J22" s="73"/>
      <c r="K22" s="73"/>
      <c r="M22" s="71" t="s">
        <v>117</v>
      </c>
      <c r="N22" s="72"/>
      <c r="O22" s="72"/>
      <c r="P22" s="72"/>
      <c r="Q22" s="72"/>
      <c r="R22" s="73"/>
      <c r="S22" s="73"/>
      <c r="T22" s="73"/>
      <c r="U22" s="73"/>
      <c r="V22" s="73"/>
      <c r="W22" s="73"/>
      <c r="Y22" s="71" t="s">
        <v>117</v>
      </c>
      <c r="Z22" s="72"/>
      <c r="AA22" s="72"/>
      <c r="AB22" s="72"/>
      <c r="AC22" s="72"/>
      <c r="AD22" s="73"/>
      <c r="AE22" s="73"/>
      <c r="AF22" s="73"/>
      <c r="AG22" s="73"/>
      <c r="AH22" s="73"/>
      <c r="AI22" s="73"/>
      <c r="AK22" s="71" t="s">
        <v>117</v>
      </c>
      <c r="AL22" s="72"/>
      <c r="AM22" s="72"/>
      <c r="AN22" s="72"/>
      <c r="AO22" s="72"/>
      <c r="AP22" s="73"/>
      <c r="AQ22" s="73"/>
      <c r="AR22" s="73"/>
      <c r="AS22" s="73"/>
      <c r="AT22" s="73"/>
      <c r="AU22" s="73"/>
      <c r="AW22" s="71" t="s">
        <v>117</v>
      </c>
      <c r="AX22" s="72"/>
      <c r="AY22" s="72"/>
      <c r="AZ22" s="72"/>
      <c r="BA22" s="72"/>
      <c r="BB22" s="73"/>
      <c r="BC22" s="73"/>
      <c r="BD22" s="73"/>
      <c r="BE22" s="73"/>
      <c r="BF22" s="73"/>
      <c r="BG22" s="73"/>
      <c r="BI22" s="71" t="s">
        <v>117</v>
      </c>
      <c r="BJ22" s="72"/>
      <c r="BK22" s="72"/>
      <c r="BL22" s="72"/>
      <c r="BM22" s="72"/>
      <c r="BN22" s="73"/>
      <c r="BO22" s="73"/>
      <c r="BP22" s="73"/>
      <c r="BQ22" s="73"/>
      <c r="BR22" s="73"/>
      <c r="BS22" s="73"/>
    </row>
    <row r="23" spans="1:71" x14ac:dyDescent="0.25">
      <c r="A23" t="s">
        <v>29</v>
      </c>
      <c r="B23" s="15">
        <f ca="1">10^(B9)</f>
        <v>1.6699671182839593E-3</v>
      </c>
      <c r="C23" t="s">
        <v>3</v>
      </c>
      <c r="M23" t="s">
        <v>29</v>
      </c>
      <c r="N23" s="15">
        <f ca="1">10^(N9)</f>
        <v>1.6699671182839593E-3</v>
      </c>
      <c r="O23" t="s">
        <v>3</v>
      </c>
      <c r="Y23" t="s">
        <v>29</v>
      </c>
      <c r="Z23" s="15">
        <f ca="1">10^(Z9)</f>
        <v>1.6699671182839593E-3</v>
      </c>
      <c r="AA23" t="s">
        <v>3</v>
      </c>
      <c r="AK23" t="s">
        <v>29</v>
      </c>
      <c r="AL23" s="15">
        <f ca="1">10^AL9</f>
        <v>6.7533650317030604E-8</v>
      </c>
      <c r="AM23" t="s">
        <v>3</v>
      </c>
      <c r="AW23" t="s">
        <v>29</v>
      </c>
      <c r="AX23" s="15">
        <f ca="1">AL23</f>
        <v>6.7533650317030604E-8</v>
      </c>
      <c r="AY23" t="s">
        <v>3</v>
      </c>
      <c r="BI23" t="s">
        <v>29</v>
      </c>
      <c r="BJ23" s="15">
        <f ca="1">AX23</f>
        <v>6.7533650317030604E-8</v>
      </c>
      <c r="BK23" t="s">
        <v>3</v>
      </c>
    </row>
    <row r="24" spans="1:71" x14ac:dyDescent="0.25">
      <c r="A24" s="25" t="s">
        <v>145</v>
      </c>
      <c r="B24" s="26">
        <f>1/30*(400/1814)</f>
        <v>7.3502388827636897E-3</v>
      </c>
      <c r="C24" t="s">
        <v>3</v>
      </c>
      <c r="D24" t="s">
        <v>4</v>
      </c>
      <c r="M24" s="25" t="s">
        <v>145</v>
      </c>
      <c r="N24" s="26">
        <v>1</v>
      </c>
      <c r="O24" t="s">
        <v>3</v>
      </c>
      <c r="P24" t="s">
        <v>4</v>
      </c>
      <c r="Y24" s="25" t="s">
        <v>145</v>
      </c>
      <c r="Z24" s="26">
        <v>10</v>
      </c>
      <c r="AA24" t="s">
        <v>3</v>
      </c>
      <c r="AB24" t="s">
        <v>4</v>
      </c>
      <c r="AK24" s="25" t="s">
        <v>145</v>
      </c>
      <c r="AL24" s="26">
        <f>1/30*(400/1814)</f>
        <v>7.3502388827636897E-3</v>
      </c>
      <c r="AM24" t="s">
        <v>3</v>
      </c>
      <c r="AN24" t="s">
        <v>4</v>
      </c>
      <c r="AW24" s="25" t="s">
        <v>145</v>
      </c>
      <c r="AX24" s="26">
        <v>1</v>
      </c>
      <c r="AY24" t="s">
        <v>3</v>
      </c>
      <c r="AZ24" t="s">
        <v>4</v>
      </c>
      <c r="BI24" s="25" t="s">
        <v>145</v>
      </c>
      <c r="BJ24" s="26">
        <v>10</v>
      </c>
      <c r="BK24" t="s">
        <v>3</v>
      </c>
      <c r="BL24" t="s">
        <v>4</v>
      </c>
    </row>
    <row r="25" spans="1:71" x14ac:dyDescent="0.25">
      <c r="A25" t="s">
        <v>21</v>
      </c>
      <c r="B25" s="16" cm="1">
        <f t="array" aca="1" ref="B25" ca="1">_xll.RiskOutput()+IF(B23&gt;B24,1,0)</f>
        <v>0</v>
      </c>
      <c r="C25" t="s">
        <v>7</v>
      </c>
      <c r="D25" t="s">
        <v>8</v>
      </c>
      <c r="M25" t="s">
        <v>21</v>
      </c>
      <c r="N25" s="16" cm="1">
        <f t="array" aca="1" ref="N25" ca="1">_xll.RiskOutput()+IF(N23&gt;N24,1,0)</f>
        <v>0</v>
      </c>
      <c r="O25" t="s">
        <v>7</v>
      </c>
      <c r="P25" t="s">
        <v>8</v>
      </c>
      <c r="Y25" t="s">
        <v>21</v>
      </c>
      <c r="Z25" s="16" cm="1">
        <f t="array" aca="1" ref="Z25" ca="1">_xll.RiskOutput()+IF(Z23&gt;Z24,1,0)</f>
        <v>0</v>
      </c>
      <c r="AA25" t="s">
        <v>7</v>
      </c>
      <c r="AB25" t="s">
        <v>8</v>
      </c>
      <c r="AK25" t="s">
        <v>21</v>
      </c>
      <c r="AL25" s="16" cm="1">
        <f t="array" aca="1" ref="AL25" ca="1">_xll.RiskOutput()+IF(AL23&gt;AL24,1,0)</f>
        <v>0</v>
      </c>
      <c r="AM25" t="s">
        <v>7</v>
      </c>
      <c r="AN25" t="s">
        <v>8</v>
      </c>
      <c r="AW25" t="s">
        <v>21</v>
      </c>
      <c r="AX25" s="16" cm="1">
        <f t="array" aca="1" ref="AX25" ca="1">_xll.RiskOutput()+IF(AX23&gt;AX24,1,0)</f>
        <v>0</v>
      </c>
      <c r="AY25" t="s">
        <v>7</v>
      </c>
      <c r="AZ25" t="s">
        <v>8</v>
      </c>
      <c r="BI25" t="s">
        <v>21</v>
      </c>
      <c r="BJ25" s="16" cm="1">
        <f t="array" aca="1" ref="BJ25" ca="1">_xll.RiskOutput()+IF(BJ23&gt;BJ24,1,0)</f>
        <v>0</v>
      </c>
      <c r="BK25" t="s">
        <v>7</v>
      </c>
      <c r="BL25" t="s">
        <v>8</v>
      </c>
    </row>
    <row r="26" spans="1:71" x14ac:dyDescent="0.25">
      <c r="A26" t="s">
        <v>138</v>
      </c>
      <c r="B26" s="17" cm="1">
        <f t="array" aca="1" ref="B26" ca="1">_xll.RiskMean(B25)</f>
        <v>0.20491599999999999</v>
      </c>
      <c r="M26" t="s">
        <v>138</v>
      </c>
      <c r="N26" s="17" cm="1">
        <f t="array" aca="1" ref="N26" ca="1">_xll.RiskMean(N25)</f>
        <v>6.4190000000000002E-3</v>
      </c>
      <c r="Y26" t="s">
        <v>138</v>
      </c>
      <c r="Z26" s="17" cm="1">
        <f t="array" aca="1" ref="Z26" ca="1">_xll.RiskMean(Z25)</f>
        <v>5.5000000000000003E-4</v>
      </c>
      <c r="AK26" t="s">
        <v>138</v>
      </c>
      <c r="AL26" s="17" cm="1">
        <f t="array" aca="1" ref="AL26" ca="1">_xll.RiskMean(AL25)</f>
        <v>8.2474000000000006E-2</v>
      </c>
      <c r="AW26" t="s">
        <v>138</v>
      </c>
      <c r="AX26" s="17" cm="1">
        <f t="array" aca="1" ref="AX26" ca="1">_xll.RiskMean(AX25)</f>
        <v>1.196E-2</v>
      </c>
      <c r="BI26" t="s">
        <v>138</v>
      </c>
      <c r="BJ26" s="17" cm="1">
        <f t="array" aca="1" ref="BJ26" ca="1">_xll.RiskMean(BJ25)</f>
        <v>3.813E-3</v>
      </c>
    </row>
    <row r="27" spans="1:71" ht="18.75" x14ac:dyDescent="0.3">
      <c r="A27" s="74" t="s">
        <v>118</v>
      </c>
      <c r="B27" s="75"/>
      <c r="C27" s="76"/>
      <c r="D27" s="76"/>
      <c r="E27" s="76"/>
      <c r="F27" s="76"/>
      <c r="G27" s="76"/>
      <c r="H27" s="76"/>
      <c r="I27" s="76"/>
      <c r="J27" s="76"/>
      <c r="K27" s="76"/>
      <c r="M27" s="74" t="s">
        <v>118</v>
      </c>
      <c r="N27" s="75"/>
      <c r="O27" s="76"/>
      <c r="P27" s="76"/>
      <c r="Q27" s="76"/>
      <c r="R27" s="76"/>
      <c r="S27" s="76"/>
      <c r="T27" s="76"/>
      <c r="U27" s="76"/>
      <c r="V27" s="76"/>
      <c r="W27" s="76"/>
      <c r="Y27" s="74" t="s">
        <v>118</v>
      </c>
      <c r="Z27" s="75"/>
      <c r="AA27" s="76"/>
      <c r="AB27" s="76"/>
      <c r="AC27" s="76"/>
      <c r="AD27" s="76"/>
      <c r="AE27" s="76"/>
      <c r="AF27" s="76"/>
      <c r="AG27" s="76"/>
      <c r="AH27" s="76"/>
      <c r="AI27" s="76"/>
      <c r="AK27" s="74" t="s">
        <v>118</v>
      </c>
      <c r="AL27" s="75"/>
      <c r="AM27" s="76"/>
      <c r="AN27" s="76"/>
      <c r="AO27" s="76"/>
      <c r="AP27" s="76"/>
      <c r="AQ27" s="76"/>
      <c r="AR27" s="76"/>
      <c r="AS27" s="76"/>
      <c r="AT27" s="76"/>
      <c r="AU27" s="76"/>
      <c r="AW27" s="74" t="s">
        <v>118</v>
      </c>
      <c r="AX27" s="75"/>
      <c r="AY27" s="76"/>
      <c r="AZ27" s="76"/>
      <c r="BA27" s="76"/>
      <c r="BB27" s="76"/>
      <c r="BC27" s="76"/>
      <c r="BD27" s="76"/>
      <c r="BE27" s="76"/>
      <c r="BF27" s="76"/>
      <c r="BG27" s="76"/>
      <c r="BI27" s="74" t="s">
        <v>118</v>
      </c>
      <c r="BJ27" s="75"/>
      <c r="BK27" s="76"/>
      <c r="BL27" s="76"/>
      <c r="BM27" s="76"/>
      <c r="BN27" s="76"/>
      <c r="BO27" s="76"/>
      <c r="BP27" s="76"/>
      <c r="BQ27" s="76"/>
      <c r="BR27" s="76"/>
      <c r="BS27" s="76"/>
    </row>
    <row r="28" spans="1:71" x14ac:dyDescent="0.25">
      <c r="A28" t="s">
        <v>119</v>
      </c>
      <c r="B28" s="69" t="s">
        <v>105</v>
      </c>
      <c r="M28" t="s">
        <v>119</v>
      </c>
      <c r="N28" s="69" t="s">
        <v>105</v>
      </c>
      <c r="Y28" t="s">
        <v>119</v>
      </c>
      <c r="Z28" s="69" t="s">
        <v>105</v>
      </c>
      <c r="AK28" t="s">
        <v>119</v>
      </c>
      <c r="AL28" s="69" t="s">
        <v>105</v>
      </c>
      <c r="AW28" t="s">
        <v>119</v>
      </c>
      <c r="AX28" s="69" t="s">
        <v>105</v>
      </c>
      <c r="BI28" t="s">
        <v>119</v>
      </c>
      <c r="BJ28" s="69" t="s">
        <v>105</v>
      </c>
    </row>
    <row r="29" spans="1:71" x14ac:dyDescent="0.25">
      <c r="A29" t="s">
        <v>119</v>
      </c>
      <c r="B29" s="69" t="s">
        <v>107</v>
      </c>
      <c r="M29" t="s">
        <v>119</v>
      </c>
      <c r="N29" s="69" t="s">
        <v>107</v>
      </c>
      <c r="Y29" t="s">
        <v>119</v>
      </c>
      <c r="Z29" s="69" t="s">
        <v>107</v>
      </c>
      <c r="AK29" t="s">
        <v>119</v>
      </c>
      <c r="AL29" s="69" t="s">
        <v>107</v>
      </c>
      <c r="AW29" t="s">
        <v>119</v>
      </c>
      <c r="AX29" s="69" t="s">
        <v>107</v>
      </c>
      <c r="BI29" t="s">
        <v>119</v>
      </c>
      <c r="BJ29" s="69" t="s">
        <v>107</v>
      </c>
    </row>
    <row r="30" spans="1:71" x14ac:dyDescent="0.25">
      <c r="A30" t="s">
        <v>119</v>
      </c>
      <c r="B30" s="69" t="s">
        <v>111</v>
      </c>
      <c r="M30" t="s">
        <v>119</v>
      </c>
      <c r="N30" s="69" t="s">
        <v>111</v>
      </c>
      <c r="Y30" t="s">
        <v>119</v>
      </c>
      <c r="Z30" s="69" t="s">
        <v>111</v>
      </c>
      <c r="AK30" t="s">
        <v>119</v>
      </c>
      <c r="AL30" s="69" t="s">
        <v>111</v>
      </c>
      <c r="AW30" t="s">
        <v>119</v>
      </c>
      <c r="AX30" s="69" t="s">
        <v>111</v>
      </c>
      <c r="BI30" t="s">
        <v>119</v>
      </c>
      <c r="BJ30" s="69" t="s">
        <v>111</v>
      </c>
    </row>
    <row r="31" spans="1:71" x14ac:dyDescent="0.25">
      <c r="A31" t="s">
        <v>122</v>
      </c>
      <c r="B31" s="6">
        <f ca="1">IF(ISNUMBER(MATCH(B20,B28:B30,0)),1,0)</f>
        <v>1</v>
      </c>
      <c r="C31" t="s">
        <v>7</v>
      </c>
      <c r="M31" t="s">
        <v>122</v>
      </c>
      <c r="N31" s="6">
        <f ca="1">IF(ISNUMBER(MATCH(N20,N28:N30,0)),1,0)</f>
        <v>1</v>
      </c>
      <c r="O31" t="s">
        <v>7</v>
      </c>
      <c r="Y31" t="s">
        <v>122</v>
      </c>
      <c r="Z31" s="6">
        <f ca="1">IF(ISNUMBER(MATCH(Z20,Z28:Z30,0)),1,0)</f>
        <v>1</v>
      </c>
      <c r="AA31" t="s">
        <v>7</v>
      </c>
      <c r="AK31" t="s">
        <v>122</v>
      </c>
      <c r="AL31" s="6">
        <f ca="1">IF(ISNUMBER(MATCH(AL20,AL28:AL30,0)),1,0)</f>
        <v>1</v>
      </c>
      <c r="AM31" t="s">
        <v>7</v>
      </c>
      <c r="AW31" t="s">
        <v>122</v>
      </c>
      <c r="AX31" s="6">
        <f ca="1">IF(ISNUMBER(MATCH(AX20,AX28:AX30,0)),1,0)</f>
        <v>1</v>
      </c>
      <c r="AY31" t="s">
        <v>7</v>
      </c>
      <c r="BI31" t="s">
        <v>122</v>
      </c>
      <c r="BJ31" s="6">
        <f ca="1">IF(ISNUMBER(MATCH(BJ20,BJ28:BJ30,0)),1,0)</f>
        <v>1</v>
      </c>
      <c r="BK31" t="s">
        <v>7</v>
      </c>
    </row>
    <row r="32" spans="1:71" x14ac:dyDescent="0.25">
      <c r="A32" t="s">
        <v>121</v>
      </c>
      <c r="B32" s="70">
        <f ca="1">B25*B31</f>
        <v>0</v>
      </c>
      <c r="C32" t="s">
        <v>7</v>
      </c>
      <c r="M32" t="s">
        <v>121</v>
      </c>
      <c r="N32" s="70">
        <f ca="1">N25*N31</f>
        <v>0</v>
      </c>
      <c r="O32" t="s">
        <v>7</v>
      </c>
      <c r="Y32" t="s">
        <v>121</v>
      </c>
      <c r="Z32" s="70">
        <f ca="1">Z25*Z31</f>
        <v>0</v>
      </c>
      <c r="AA32" t="s">
        <v>7</v>
      </c>
      <c r="AK32" t="s">
        <v>121</v>
      </c>
      <c r="AL32" s="70">
        <f ca="1">AL25*AL31</f>
        <v>0</v>
      </c>
      <c r="AM32" t="s">
        <v>7</v>
      </c>
      <c r="AW32" t="s">
        <v>121</v>
      </c>
      <c r="AX32" s="70">
        <f ca="1">AX25*AX31</f>
        <v>0</v>
      </c>
      <c r="AY32" t="s">
        <v>7</v>
      </c>
      <c r="BI32" t="s">
        <v>121</v>
      </c>
      <c r="BJ32" s="70">
        <f ca="1">BJ25*BJ31</f>
        <v>0</v>
      </c>
      <c r="BK32" t="s">
        <v>7</v>
      </c>
    </row>
    <row r="33" spans="1:71" x14ac:dyDescent="0.25">
      <c r="A33" t="s">
        <v>139</v>
      </c>
      <c r="B33" s="17" cm="1">
        <f t="array" aca="1" ref="B33" ca="1">_xll.RiskMean(B32)</f>
        <v>0.104573</v>
      </c>
      <c r="M33" t="s">
        <v>139</v>
      </c>
      <c r="N33" s="17" cm="1">
        <f t="array" aca="1" ref="N33" ca="1">_xll.RiskMean(N32)</f>
        <v>3.3319999999999999E-3</v>
      </c>
      <c r="Y33" t="s">
        <v>139</v>
      </c>
      <c r="Z33" s="17" cm="1">
        <f t="array" aca="1" ref="Z33" ca="1">_xll.RiskMean(Z32)</f>
        <v>2.7799999999999998E-4</v>
      </c>
      <c r="AK33" t="s">
        <v>139</v>
      </c>
      <c r="AL33" s="17" cm="1">
        <f t="array" aca="1" ref="AL33" ca="1">_xll.RiskMean(AL32)</f>
        <v>4.2483E-2</v>
      </c>
      <c r="AW33" t="s">
        <v>139</v>
      </c>
      <c r="AX33" s="17" cm="1">
        <f t="array" aca="1" ref="AX33" ca="1">_xll.RiskMean(AX32)</f>
        <v>6.241E-3</v>
      </c>
      <c r="BI33" t="s">
        <v>139</v>
      </c>
      <c r="BJ33" s="17" cm="1">
        <f t="array" aca="1" ref="BJ33" ca="1">_xll.RiskMean(BJ32)</f>
        <v>1.9239999999999999E-3</v>
      </c>
    </row>
    <row r="34" spans="1:71" x14ac:dyDescent="0.25">
      <c r="A34" t="s">
        <v>120</v>
      </c>
      <c r="B34" s="69" t="s">
        <v>110</v>
      </c>
      <c r="M34" t="s">
        <v>120</v>
      </c>
      <c r="N34" s="69" t="s">
        <v>110</v>
      </c>
      <c r="Y34" t="s">
        <v>120</v>
      </c>
      <c r="Z34" s="69" t="s">
        <v>110</v>
      </c>
      <c r="AK34" t="s">
        <v>120</v>
      </c>
      <c r="AL34" s="69" t="s">
        <v>110</v>
      </c>
      <c r="AW34" t="s">
        <v>120</v>
      </c>
      <c r="AX34" s="69" t="s">
        <v>110</v>
      </c>
      <c r="BI34" t="s">
        <v>120</v>
      </c>
      <c r="BJ34" s="69" t="s">
        <v>110</v>
      </c>
    </row>
    <row r="35" spans="1:71" x14ac:dyDescent="0.25">
      <c r="A35" t="s">
        <v>141</v>
      </c>
      <c r="B35" s="6">
        <f ca="1">IF(ISNUMBER(MATCH(B20,B34,0)),1,0)</f>
        <v>0</v>
      </c>
      <c r="M35" t="s">
        <v>141</v>
      </c>
      <c r="N35" s="6">
        <f ca="1">IF(ISNUMBER(MATCH(N20,N34,0)),1,0)</f>
        <v>0</v>
      </c>
      <c r="Y35" t="s">
        <v>141</v>
      </c>
      <c r="Z35" s="6">
        <f ca="1">IF(ISNUMBER(MATCH(Z20,Z34,0)),1,0)</f>
        <v>0</v>
      </c>
      <c r="AK35" t="s">
        <v>141</v>
      </c>
      <c r="AL35" s="6">
        <f ca="1">IF(ISNUMBER(MATCH(AL20,AL34,0)),1,0)</f>
        <v>0</v>
      </c>
      <c r="AW35" t="s">
        <v>141</v>
      </c>
      <c r="AX35" s="6">
        <f ca="1">IF(ISNUMBER(MATCH(AX20,AX34,0)),1,0)</f>
        <v>0</v>
      </c>
      <c r="BI35" t="s">
        <v>141</v>
      </c>
      <c r="BJ35" s="6">
        <f ca="1">IF(ISNUMBER(MATCH(BJ20,BJ34,0)),1,0)</f>
        <v>0</v>
      </c>
    </row>
    <row r="36" spans="1:71" x14ac:dyDescent="0.25">
      <c r="A36" t="s">
        <v>140</v>
      </c>
      <c r="B36" s="70">
        <f ca="1">B25*B35</f>
        <v>0</v>
      </c>
      <c r="C36" t="s">
        <v>7</v>
      </c>
      <c r="M36" t="s">
        <v>140</v>
      </c>
      <c r="N36" s="70">
        <f ca="1">N25*N35</f>
        <v>0</v>
      </c>
      <c r="O36" t="s">
        <v>7</v>
      </c>
      <c r="Y36" t="s">
        <v>140</v>
      </c>
      <c r="Z36" s="70">
        <f ca="1">Z25*Z35</f>
        <v>0</v>
      </c>
      <c r="AA36" t="s">
        <v>7</v>
      </c>
      <c r="AK36" t="s">
        <v>140</v>
      </c>
      <c r="AL36" s="70">
        <f ca="1">AL25*AL35</f>
        <v>0</v>
      </c>
      <c r="AM36" t="s">
        <v>7</v>
      </c>
      <c r="AW36" t="s">
        <v>140</v>
      </c>
      <c r="AX36" s="70">
        <f ca="1">AX25*AX35</f>
        <v>0</v>
      </c>
      <c r="AY36" t="s">
        <v>7</v>
      </c>
      <c r="BI36" t="s">
        <v>140</v>
      </c>
      <c r="BJ36" s="70">
        <f ca="1">BJ25*BJ35</f>
        <v>0</v>
      </c>
      <c r="BK36" t="s">
        <v>7</v>
      </c>
    </row>
    <row r="37" spans="1:71" x14ac:dyDescent="0.25">
      <c r="A37" t="s">
        <v>130</v>
      </c>
      <c r="B37" s="17" cm="1">
        <f t="array" aca="1" ref="B37" ca="1">_xll.RiskMean(B36)</f>
        <v>6.0039000000000002E-2</v>
      </c>
      <c r="M37" t="s">
        <v>130</v>
      </c>
      <c r="N37" s="17" cm="1">
        <f t="array" aca="1" ref="N37" ca="1">_xll.RiskMean(N36)</f>
        <v>1.7979999999999999E-3</v>
      </c>
      <c r="Y37" t="s">
        <v>130</v>
      </c>
      <c r="Z37" s="17" cm="1">
        <f t="array" aca="1" ref="Z37" ca="1">_xll.RiskMean(Z36)</f>
        <v>1.54E-4</v>
      </c>
      <c r="AK37" t="s">
        <v>130</v>
      </c>
      <c r="AL37" s="17" cm="1">
        <f t="array" aca="1" ref="AL37" ca="1">_xll.RiskMean(AL36)</f>
        <v>2.3876999999999999E-2</v>
      </c>
      <c r="AW37" t="s">
        <v>130</v>
      </c>
      <c r="AX37" s="17" cm="1">
        <f t="array" aca="1" ref="AX37" ca="1">_xll.RiskMean(AX36)</f>
        <v>3.4039999999999999E-3</v>
      </c>
      <c r="BI37" t="s">
        <v>130</v>
      </c>
      <c r="BJ37" s="17" cm="1">
        <f t="array" aca="1" ref="BJ37" ca="1">_xll.RiskMean(BJ36)</f>
        <v>1.088E-3</v>
      </c>
    </row>
    <row r="38" spans="1:71" x14ac:dyDescent="0.25">
      <c r="A38" t="s">
        <v>131</v>
      </c>
      <c r="B38" s="70">
        <f ca="1">B25*ABS(B35-1)</f>
        <v>0</v>
      </c>
      <c r="M38" t="s">
        <v>131</v>
      </c>
      <c r="N38" s="70">
        <f ca="1">N25*ABS(N35-1)</f>
        <v>0</v>
      </c>
      <c r="Y38" t="s">
        <v>131</v>
      </c>
      <c r="Z38" s="70">
        <f ca="1">Z25*ABS(Z35-1)</f>
        <v>0</v>
      </c>
      <c r="AK38" t="s">
        <v>131</v>
      </c>
      <c r="AL38" s="70">
        <f ca="1">AL25*ABS(AL35-1)</f>
        <v>0</v>
      </c>
      <c r="AW38" t="s">
        <v>131</v>
      </c>
      <c r="AX38" s="70">
        <f ca="1">AX25*ABS(AX35-1)</f>
        <v>0</v>
      </c>
      <c r="BI38" t="s">
        <v>131</v>
      </c>
      <c r="BJ38" s="70">
        <f ca="1">BJ25*ABS(BJ35-1)</f>
        <v>0</v>
      </c>
    </row>
    <row r="39" spans="1:71" x14ac:dyDescent="0.25">
      <c r="A39" t="s">
        <v>132</v>
      </c>
      <c r="B39" s="17" cm="1">
        <f t="array" aca="1" ref="B39" ca="1">_xll.RiskMean(B38)</f>
        <v>0.14487700000000001</v>
      </c>
      <c r="M39" t="s">
        <v>132</v>
      </c>
      <c r="N39" s="17" cm="1">
        <f t="array" aca="1" ref="N39" ca="1">_xll.RiskMean(N38)</f>
        <v>4.6210000000000001E-3</v>
      </c>
      <c r="Y39" t="s">
        <v>132</v>
      </c>
      <c r="Z39" s="17" cm="1">
        <f t="array" aca="1" ref="Z39" ca="1">_xll.RiskMean(Z38)</f>
        <v>3.9599999999999998E-4</v>
      </c>
      <c r="AK39" t="s">
        <v>132</v>
      </c>
      <c r="AL39" s="17" cm="1">
        <f t="array" aca="1" ref="AL39" ca="1">_xll.RiskMean(AL38)</f>
        <v>5.8597000000000003E-2</v>
      </c>
      <c r="AW39" t="s">
        <v>132</v>
      </c>
      <c r="AX39" s="17" cm="1">
        <f t="array" aca="1" ref="AX39" ca="1">_xll.RiskMean(AX38)</f>
        <v>8.5559999999999994E-3</v>
      </c>
      <c r="BI39" t="s">
        <v>132</v>
      </c>
      <c r="BJ39" s="17" cm="1">
        <f t="array" aca="1" ref="BJ39" ca="1">_xll.RiskMean(BJ38)</f>
        <v>2.725E-3</v>
      </c>
    </row>
    <row r="40" spans="1:71" ht="18.75" x14ac:dyDescent="0.3">
      <c r="A40" s="22" t="s">
        <v>31</v>
      </c>
      <c r="B40" s="22"/>
      <c r="C40" s="22"/>
      <c r="D40" s="22"/>
      <c r="E40" s="22"/>
      <c r="F40" s="30"/>
      <c r="G40" s="30"/>
      <c r="H40" s="30"/>
      <c r="I40" s="30"/>
      <c r="J40" s="30"/>
      <c r="K40" s="30"/>
      <c r="M40" s="22" t="s">
        <v>31</v>
      </c>
      <c r="N40" s="22"/>
      <c r="O40" s="22"/>
      <c r="P40" s="22"/>
      <c r="Q40" s="22"/>
      <c r="R40" s="30"/>
      <c r="S40" s="30"/>
      <c r="T40" s="30"/>
      <c r="U40" s="30"/>
      <c r="V40" s="30"/>
      <c r="W40" s="30"/>
      <c r="Y40" s="22" t="s">
        <v>31</v>
      </c>
      <c r="Z40" s="22"/>
      <c r="AA40" s="22"/>
      <c r="AB40" s="22"/>
      <c r="AC40" s="22"/>
      <c r="AD40" s="30"/>
      <c r="AE40" s="30"/>
      <c r="AF40" s="30"/>
      <c r="AG40" s="30"/>
      <c r="AH40" s="30"/>
      <c r="AI40" s="30"/>
      <c r="AK40" s="22" t="s">
        <v>31</v>
      </c>
      <c r="AL40" s="22"/>
      <c r="AM40" s="22"/>
      <c r="AN40" s="22"/>
      <c r="AO40" s="22"/>
      <c r="AP40" s="30"/>
      <c r="AQ40" s="30"/>
      <c r="AR40" s="30"/>
      <c r="AS40" s="30"/>
      <c r="AT40" s="30"/>
      <c r="AU40" s="30"/>
      <c r="AW40" s="22" t="s">
        <v>31</v>
      </c>
      <c r="AX40" s="22"/>
      <c r="AY40" s="22"/>
      <c r="AZ40" s="22"/>
      <c r="BA40" s="22"/>
      <c r="BB40" s="30"/>
      <c r="BC40" s="30"/>
      <c r="BD40" s="30"/>
      <c r="BE40" s="30"/>
      <c r="BF40" s="30"/>
      <c r="BG40" s="30"/>
      <c r="BI40" s="22" t="s">
        <v>31</v>
      </c>
      <c r="BJ40" s="22"/>
      <c r="BK40" s="22"/>
      <c r="BL40" s="22"/>
      <c r="BM40" s="22"/>
      <c r="BN40" s="30"/>
      <c r="BO40" s="30"/>
      <c r="BP40" s="30"/>
      <c r="BQ40" s="30"/>
      <c r="BR40" s="30"/>
      <c r="BS40" s="30"/>
    </row>
    <row r="41" spans="1:71" x14ac:dyDescent="0.25">
      <c r="A41" t="s">
        <v>61</v>
      </c>
      <c r="B41" s="27">
        <v>2.06</v>
      </c>
      <c r="C41" t="s">
        <v>18</v>
      </c>
      <c r="D41" t="s">
        <v>4</v>
      </c>
      <c r="E41" t="s">
        <v>11</v>
      </c>
      <c r="M41" t="s">
        <v>61</v>
      </c>
      <c r="N41" s="27">
        <v>2.06</v>
      </c>
      <c r="O41" t="s">
        <v>18</v>
      </c>
      <c r="P41" t="s">
        <v>4</v>
      </c>
      <c r="Q41" t="s">
        <v>11</v>
      </c>
      <c r="Y41" t="s">
        <v>61</v>
      </c>
      <c r="Z41" s="27">
        <v>2.06</v>
      </c>
      <c r="AA41" t="s">
        <v>18</v>
      </c>
      <c r="AB41" t="s">
        <v>4</v>
      </c>
      <c r="AC41" t="s">
        <v>11</v>
      </c>
      <c r="AK41" t="s">
        <v>61</v>
      </c>
      <c r="AL41" s="27">
        <v>2.06</v>
      </c>
      <c r="AM41" t="s">
        <v>18</v>
      </c>
      <c r="AN41" t="s">
        <v>4</v>
      </c>
      <c r="AO41" t="s">
        <v>11</v>
      </c>
      <c r="AW41" t="s">
        <v>61</v>
      </c>
      <c r="AX41" s="27">
        <v>2.06</v>
      </c>
      <c r="AY41" t="s">
        <v>18</v>
      </c>
      <c r="AZ41" t="s">
        <v>4</v>
      </c>
      <c r="BA41" t="s">
        <v>11</v>
      </c>
      <c r="BI41" t="s">
        <v>61</v>
      </c>
      <c r="BJ41" s="27">
        <v>2.06</v>
      </c>
      <c r="BK41" t="s">
        <v>18</v>
      </c>
      <c r="BL41" t="s">
        <v>4</v>
      </c>
      <c r="BM41" t="s">
        <v>11</v>
      </c>
    </row>
    <row r="42" spans="1:71" x14ac:dyDescent="0.25">
      <c r="A42" t="s">
        <v>62</v>
      </c>
      <c r="B42" s="27">
        <v>0.23</v>
      </c>
      <c r="C42" t="s">
        <v>18</v>
      </c>
      <c r="D42" t="s">
        <v>4</v>
      </c>
      <c r="E42" t="s">
        <v>11</v>
      </c>
      <c r="M42" t="s">
        <v>62</v>
      </c>
      <c r="N42" s="27">
        <v>0.23</v>
      </c>
      <c r="O42" t="s">
        <v>18</v>
      </c>
      <c r="P42" t="s">
        <v>4</v>
      </c>
      <c r="Q42" t="s">
        <v>11</v>
      </c>
      <c r="Y42" t="s">
        <v>62</v>
      </c>
      <c r="Z42" s="27">
        <v>0.23</v>
      </c>
      <c r="AA42" t="s">
        <v>18</v>
      </c>
      <c r="AB42" t="s">
        <v>4</v>
      </c>
      <c r="AC42" t="s">
        <v>11</v>
      </c>
      <c r="AK42" t="s">
        <v>62</v>
      </c>
      <c r="AL42" s="27">
        <v>0.23</v>
      </c>
      <c r="AM42" t="s">
        <v>18</v>
      </c>
      <c r="AN42" t="s">
        <v>4</v>
      </c>
      <c r="AO42" t="s">
        <v>11</v>
      </c>
      <c r="AW42" t="s">
        <v>62</v>
      </c>
      <c r="AX42" s="27">
        <v>0.23</v>
      </c>
      <c r="AY42" t="s">
        <v>18</v>
      </c>
      <c r="AZ42" t="s">
        <v>4</v>
      </c>
      <c r="BA42" t="s">
        <v>11</v>
      </c>
      <c r="BI42" t="s">
        <v>62</v>
      </c>
      <c r="BJ42" s="27">
        <v>0.23</v>
      </c>
      <c r="BK42" t="s">
        <v>18</v>
      </c>
      <c r="BL42" t="s">
        <v>4</v>
      </c>
      <c r="BM42" t="s">
        <v>11</v>
      </c>
    </row>
    <row r="43" spans="1:71" x14ac:dyDescent="0.25">
      <c r="A43" t="s">
        <v>63</v>
      </c>
      <c r="B43" s="14" cm="1">
        <f t="array" aca="1" ref="B43" ca="1">_xll.RiskNormal(B41,B42)</f>
        <v>2.0898403170155317</v>
      </c>
      <c r="C43" t="s">
        <v>18</v>
      </c>
      <c r="D43" t="s">
        <v>17</v>
      </c>
      <c r="E43" t="s">
        <v>11</v>
      </c>
      <c r="M43" t="s">
        <v>63</v>
      </c>
      <c r="N43" s="14">
        <f ca="1">B43</f>
        <v>2.0898403170155317</v>
      </c>
      <c r="O43" t="s">
        <v>18</v>
      </c>
      <c r="P43" t="s">
        <v>17</v>
      </c>
      <c r="Q43" t="s">
        <v>11</v>
      </c>
      <c r="Y43" t="s">
        <v>63</v>
      </c>
      <c r="Z43" s="14">
        <f ca="1">N43</f>
        <v>2.0898403170155317</v>
      </c>
      <c r="AA43" t="s">
        <v>18</v>
      </c>
      <c r="AB43" t="s">
        <v>17</v>
      </c>
      <c r="AC43" t="s">
        <v>11</v>
      </c>
      <c r="AK43" t="s">
        <v>63</v>
      </c>
      <c r="AL43" s="14">
        <f ca="1">Z43</f>
        <v>2.0898403170155317</v>
      </c>
      <c r="AM43" t="s">
        <v>18</v>
      </c>
      <c r="AN43" t="s">
        <v>17</v>
      </c>
      <c r="AO43" t="s">
        <v>11</v>
      </c>
      <c r="AW43" t="s">
        <v>63</v>
      </c>
      <c r="AX43" s="14">
        <f ca="1">AL43</f>
        <v>2.0898403170155317</v>
      </c>
      <c r="AY43" t="s">
        <v>18</v>
      </c>
      <c r="AZ43" t="s">
        <v>17</v>
      </c>
      <c r="BA43" t="s">
        <v>11</v>
      </c>
      <c r="BI43" t="s">
        <v>63</v>
      </c>
      <c r="BJ43" s="14">
        <f ca="1">AX43</f>
        <v>2.0898403170155317</v>
      </c>
      <c r="BK43" t="s">
        <v>18</v>
      </c>
      <c r="BL43" t="s">
        <v>17</v>
      </c>
      <c r="BM43" t="s">
        <v>11</v>
      </c>
    </row>
    <row r="44" spans="1:71" x14ac:dyDescent="0.25">
      <c r="A44" t="s">
        <v>64</v>
      </c>
      <c r="B44" s="14">
        <f ca="1">10^(B43)</f>
        <v>122.98165042389967</v>
      </c>
      <c r="C44" t="s">
        <v>5</v>
      </c>
      <c r="M44" t="s">
        <v>64</v>
      </c>
      <c r="N44" s="14">
        <f ca="1">B44</f>
        <v>122.98165042389967</v>
      </c>
      <c r="O44" t="s">
        <v>5</v>
      </c>
      <c r="Y44" t="s">
        <v>64</v>
      </c>
      <c r="Z44" s="14">
        <f ca="1">N44</f>
        <v>122.98165042389967</v>
      </c>
      <c r="AA44" t="s">
        <v>5</v>
      </c>
      <c r="AK44" t="s">
        <v>64</v>
      </c>
      <c r="AL44" s="14">
        <f ca="1">Z44</f>
        <v>122.98165042389967</v>
      </c>
      <c r="AM44" t="s">
        <v>5</v>
      </c>
      <c r="AW44" t="s">
        <v>64</v>
      </c>
      <c r="AX44" s="14">
        <f ca="1">AL44</f>
        <v>122.98165042389967</v>
      </c>
      <c r="AY44" t="s">
        <v>5</v>
      </c>
      <c r="BI44" t="s">
        <v>64</v>
      </c>
      <c r="BJ44" s="14">
        <f ca="1">AX44</f>
        <v>122.98165042389967</v>
      </c>
      <c r="BK44" t="s">
        <v>5</v>
      </c>
    </row>
    <row r="45" spans="1:71" ht="15.75" x14ac:dyDescent="0.25">
      <c r="A45" s="3" t="s">
        <v>133</v>
      </c>
      <c r="B45" s="11"/>
      <c r="C45" s="3"/>
      <c r="D45" s="3"/>
      <c r="E45" s="3"/>
      <c r="F45" s="31"/>
      <c r="G45" s="31"/>
      <c r="H45" s="31"/>
      <c r="I45" s="31"/>
      <c r="J45" s="31"/>
      <c r="K45" s="31"/>
      <c r="M45" s="3" t="s">
        <v>133</v>
      </c>
      <c r="N45" s="11"/>
      <c r="O45" s="3"/>
      <c r="P45" s="3"/>
      <c r="Q45" s="3"/>
      <c r="R45" s="31"/>
      <c r="S45" s="31"/>
      <c r="T45" s="31"/>
      <c r="U45" s="31"/>
      <c r="V45" s="31"/>
      <c r="W45" s="31"/>
      <c r="Y45" s="3" t="s">
        <v>133</v>
      </c>
      <c r="Z45" s="11"/>
      <c r="AA45" s="3"/>
      <c r="AB45" s="3"/>
      <c r="AC45" s="3"/>
      <c r="AD45" s="31"/>
      <c r="AE45" s="31"/>
      <c r="AF45" s="31"/>
      <c r="AG45" s="31"/>
      <c r="AH45" s="31"/>
      <c r="AI45" s="31"/>
      <c r="AK45" s="3" t="s">
        <v>133</v>
      </c>
      <c r="AL45" s="11"/>
      <c r="AM45" s="3"/>
      <c r="AN45" s="3"/>
      <c r="AO45" s="3"/>
      <c r="AP45" s="31"/>
      <c r="AQ45" s="31"/>
      <c r="AR45" s="31"/>
      <c r="AS45" s="31"/>
      <c r="AT45" s="31"/>
      <c r="AU45" s="31"/>
      <c r="AW45" s="3" t="s">
        <v>133</v>
      </c>
      <c r="AX45" s="11"/>
      <c r="AY45" s="3"/>
      <c r="AZ45" s="3"/>
      <c r="BA45" s="3"/>
      <c r="BB45" s="31"/>
      <c r="BC45" s="31"/>
      <c r="BD45" s="31"/>
      <c r="BE45" s="31"/>
      <c r="BF45" s="31"/>
      <c r="BG45" s="31"/>
      <c r="BI45" s="3" t="s">
        <v>133</v>
      </c>
      <c r="BJ45" s="11"/>
      <c r="BK45" s="3"/>
      <c r="BL45" s="3"/>
      <c r="BM45" s="3"/>
      <c r="BN45" s="31"/>
      <c r="BO45" s="31"/>
      <c r="BP45" s="31"/>
      <c r="BQ45" s="31"/>
      <c r="BR45" s="31"/>
      <c r="BS45" s="31"/>
    </row>
    <row r="46" spans="1:71" x14ac:dyDescent="0.25">
      <c r="A46" s="47" t="s">
        <v>93</v>
      </c>
      <c r="B46" s="48">
        <f ca="1">B23*B44</f>
        <v>0.20537531236020498</v>
      </c>
      <c r="C46" s="47" t="s">
        <v>10</v>
      </c>
      <c r="D46" s="47" t="s">
        <v>6</v>
      </c>
      <c r="M46" s="47" t="s">
        <v>93</v>
      </c>
      <c r="N46" s="48">
        <f ca="1">N23*N44</f>
        <v>0.20537531236020498</v>
      </c>
      <c r="O46" s="47" t="s">
        <v>10</v>
      </c>
      <c r="P46" s="47" t="s">
        <v>6</v>
      </c>
      <c r="Y46" s="47" t="s">
        <v>93</v>
      </c>
      <c r="Z46" s="48">
        <f ca="1">Z23*Z44</f>
        <v>0.20537531236020498</v>
      </c>
      <c r="AA46" s="47" t="s">
        <v>10</v>
      </c>
      <c r="AB46" s="47" t="s">
        <v>6</v>
      </c>
      <c r="AK46" s="47" t="s">
        <v>93</v>
      </c>
      <c r="AL46" s="48">
        <f ca="1">AL23*AL44</f>
        <v>8.3053997751389378E-6</v>
      </c>
      <c r="AM46" s="47" t="s">
        <v>10</v>
      </c>
      <c r="AN46" s="47" t="s">
        <v>6</v>
      </c>
      <c r="AW46" s="47" t="s">
        <v>93</v>
      </c>
      <c r="AX46" s="48">
        <f ca="1">AX23*AX44</f>
        <v>8.3053997751389378E-6</v>
      </c>
      <c r="AY46" s="47" t="s">
        <v>10</v>
      </c>
      <c r="AZ46" s="47" t="s">
        <v>6</v>
      </c>
      <c r="BI46" s="47" t="s">
        <v>93</v>
      </c>
      <c r="BJ46" s="48">
        <f ca="1">BJ23*BJ44</f>
        <v>8.3053997751389378E-6</v>
      </c>
      <c r="BK46" s="47" t="s">
        <v>10</v>
      </c>
      <c r="BL46" s="47" t="s">
        <v>6</v>
      </c>
    </row>
    <row r="47" spans="1:71" x14ac:dyDescent="0.25">
      <c r="A47" s="78" t="s">
        <v>142</v>
      </c>
      <c r="B47" s="79">
        <f ca="1">IF(B$25=1,NA(),B$46)</f>
        <v>0.20537531236020498</v>
      </c>
      <c r="C47" s="78" t="s">
        <v>10</v>
      </c>
      <c r="M47" s="78" t="s">
        <v>142</v>
      </c>
      <c r="N47" s="79">
        <f ca="1">IF(N$25=1,NA(),N$46)</f>
        <v>0.20537531236020498</v>
      </c>
      <c r="O47" s="78" t="s">
        <v>10</v>
      </c>
      <c r="Y47" s="78" t="s">
        <v>142</v>
      </c>
      <c r="Z47" s="79">
        <f ca="1">IF(Z$25=1,NA(),Z$46)</f>
        <v>0.20537531236020498</v>
      </c>
      <c r="AA47" s="78" t="s">
        <v>10</v>
      </c>
      <c r="AK47" s="78" t="s">
        <v>142</v>
      </c>
      <c r="AL47" s="79">
        <f ca="1">IF(AL$25=1,NA(),AL$46)</f>
        <v>8.3053997751389378E-6</v>
      </c>
      <c r="AM47" s="78" t="s">
        <v>10</v>
      </c>
      <c r="AW47" s="78" t="s">
        <v>142</v>
      </c>
      <c r="AX47" s="79">
        <f ca="1">IF(AX$25=1,NA(),AX$46)</f>
        <v>8.3053997751389378E-6</v>
      </c>
      <c r="AY47" s="78" t="s">
        <v>10</v>
      </c>
      <c r="BI47" s="78" t="s">
        <v>142</v>
      </c>
      <c r="BJ47" s="79">
        <f ca="1">IF(BJ$25=1,NA(),BJ$46)</f>
        <v>8.3053997751389378E-6</v>
      </c>
      <c r="BK47" s="78" t="s">
        <v>10</v>
      </c>
    </row>
    <row r="48" spans="1:71" x14ac:dyDescent="0.25">
      <c r="A48" s="78" t="s">
        <v>143</v>
      </c>
      <c r="B48" s="79" t="e">
        <f ca="1">IF(B$25=0,NA(),B$46)</f>
        <v>#N/A</v>
      </c>
      <c r="C48" s="78" t="s">
        <v>10</v>
      </c>
      <c r="M48" s="78" t="s">
        <v>143</v>
      </c>
      <c r="N48" s="79" t="e">
        <f ca="1">IF(N$25=0,NA(),N$46)</f>
        <v>#N/A</v>
      </c>
      <c r="O48" s="78" t="s">
        <v>10</v>
      </c>
      <c r="Y48" s="78" t="s">
        <v>143</v>
      </c>
      <c r="Z48" s="79" t="e">
        <f ca="1">IF(Z$25=0,NA(),Z$46)</f>
        <v>#N/A</v>
      </c>
      <c r="AA48" s="78" t="s">
        <v>10</v>
      </c>
      <c r="AK48" s="78" t="s">
        <v>143</v>
      </c>
      <c r="AL48" s="79" t="e">
        <f ca="1">IF(AL$25=0,NA(),AL$46)</f>
        <v>#N/A</v>
      </c>
      <c r="AM48" s="78" t="s">
        <v>10</v>
      </c>
      <c r="AW48" s="78" t="s">
        <v>143</v>
      </c>
      <c r="AX48" s="79" t="e">
        <f ca="1">IF(AX$25=0,NA(),AX$46)</f>
        <v>#N/A</v>
      </c>
      <c r="AY48" s="78" t="s">
        <v>10</v>
      </c>
      <c r="BI48" s="78" t="s">
        <v>143</v>
      </c>
      <c r="BJ48" s="79" t="e">
        <f ca="1">IF(BJ$25=0,NA(),BJ$46)</f>
        <v>#N/A</v>
      </c>
      <c r="BK48" s="78" t="s">
        <v>10</v>
      </c>
    </row>
    <row r="49" spans="1:71" x14ac:dyDescent="0.25">
      <c r="A49" s="77" t="s">
        <v>124</v>
      </c>
      <c r="B49" s="50"/>
      <c r="C49" s="49"/>
      <c r="M49" s="77" t="s">
        <v>124</v>
      </c>
      <c r="N49" s="50"/>
      <c r="O49" s="49"/>
      <c r="Y49" s="77" t="s">
        <v>124</v>
      </c>
      <c r="Z49" s="50"/>
      <c r="AA49" s="49"/>
      <c r="AK49" s="77" t="s">
        <v>124</v>
      </c>
      <c r="AL49" s="50"/>
      <c r="AM49" s="49"/>
      <c r="AW49" s="77" t="s">
        <v>124</v>
      </c>
      <c r="AX49" s="50"/>
      <c r="AY49" s="49"/>
      <c r="BI49" s="77" t="s">
        <v>124</v>
      </c>
      <c r="BJ49" s="50"/>
      <c r="BK49" s="49"/>
    </row>
    <row r="50" spans="1:71" x14ac:dyDescent="0.25">
      <c r="A50" s="49" t="s">
        <v>144</v>
      </c>
      <c r="B50" s="50" t="e">
        <f ca="1">IF(B32=0,NA(),B46)</f>
        <v>#N/A</v>
      </c>
      <c r="C50" s="49" t="s">
        <v>10</v>
      </c>
      <c r="M50" s="49" t="s">
        <v>144</v>
      </c>
      <c r="N50" s="50" t="e">
        <f ca="1">IF(N32=0,NA(),N46)</f>
        <v>#N/A</v>
      </c>
      <c r="O50" s="49" t="s">
        <v>10</v>
      </c>
      <c r="Y50" s="49" t="s">
        <v>144</v>
      </c>
      <c r="Z50" s="50" t="e">
        <f ca="1">IF(Z32=0,NA(),Z46)</f>
        <v>#N/A</v>
      </c>
      <c r="AA50" s="49" t="s">
        <v>10</v>
      </c>
      <c r="AK50" s="49" t="s">
        <v>144</v>
      </c>
      <c r="AL50" s="50" t="e">
        <f ca="1">IF(AL32=0,NA(),AL46)</f>
        <v>#N/A</v>
      </c>
      <c r="AM50" s="49" t="s">
        <v>10</v>
      </c>
      <c r="AW50" s="49" t="s">
        <v>144</v>
      </c>
      <c r="AX50" s="50" t="e">
        <f ca="1">IF(AX32=0,NA(),AX46)</f>
        <v>#N/A</v>
      </c>
      <c r="AY50" s="49" t="s">
        <v>10</v>
      </c>
      <c r="BI50" s="49" t="s">
        <v>144</v>
      </c>
      <c r="BJ50" s="50" t="e">
        <f ca="1">IF(BJ32=0,NA(),BJ46)</f>
        <v>#N/A</v>
      </c>
      <c r="BK50" s="49" t="s">
        <v>10</v>
      </c>
    </row>
    <row r="51" spans="1:71" x14ac:dyDescent="0.25">
      <c r="A51" s="77" t="s">
        <v>134</v>
      </c>
      <c r="B51" s="50"/>
      <c r="C51" s="49"/>
      <c r="M51" s="77" t="s">
        <v>134</v>
      </c>
      <c r="N51" s="50"/>
      <c r="O51" s="49"/>
      <c r="Y51" s="77" t="s">
        <v>134</v>
      </c>
      <c r="Z51" s="50"/>
      <c r="AA51" s="49"/>
      <c r="AK51" s="77" t="s">
        <v>134</v>
      </c>
      <c r="AL51" s="50"/>
      <c r="AM51" s="49"/>
      <c r="AW51" s="77" t="s">
        <v>134</v>
      </c>
      <c r="AX51" s="50"/>
      <c r="AY51" s="49"/>
      <c r="BI51" s="77" t="s">
        <v>134</v>
      </c>
      <c r="BJ51" s="50"/>
      <c r="BK51" s="49"/>
    </row>
    <row r="52" spans="1:71" x14ac:dyDescent="0.25">
      <c r="A52" s="49" t="s">
        <v>135</v>
      </c>
      <c r="B52" s="50" t="e">
        <f ca="1">IF(B36=1,B46,NA())</f>
        <v>#N/A</v>
      </c>
      <c r="C52" s="49"/>
      <c r="M52" s="49" t="s">
        <v>135</v>
      </c>
      <c r="N52" s="50" t="e">
        <f ca="1">IF(N36=1,N46,NA())</f>
        <v>#N/A</v>
      </c>
      <c r="O52" s="49"/>
      <c r="Y52" s="49" t="s">
        <v>135</v>
      </c>
      <c r="Z52" s="50" t="e">
        <f ca="1">IF(Z36=1,Z46,NA())</f>
        <v>#N/A</v>
      </c>
      <c r="AA52" s="49"/>
      <c r="AK52" s="49" t="s">
        <v>135</v>
      </c>
      <c r="AL52" s="50" t="e">
        <f ca="1">IF(AL36=1,AL46,NA())</f>
        <v>#N/A</v>
      </c>
      <c r="AM52" s="49"/>
      <c r="AW52" s="49" t="s">
        <v>135</v>
      </c>
      <c r="AX52" s="50" t="e">
        <f ca="1">IF(AX36=1,AX46,NA())</f>
        <v>#N/A</v>
      </c>
      <c r="AY52" s="49"/>
      <c r="BI52" s="49" t="s">
        <v>135</v>
      </c>
      <c r="BJ52" s="50" t="e">
        <f ca="1">IF(BJ36=1,BJ46,NA())</f>
        <v>#N/A</v>
      </c>
      <c r="BK52" s="49"/>
    </row>
    <row r="53" spans="1:71" x14ac:dyDescent="0.25">
      <c r="A53" s="77" t="s">
        <v>136</v>
      </c>
      <c r="B53" s="50"/>
      <c r="C53" s="49"/>
      <c r="M53" s="77" t="s">
        <v>136</v>
      </c>
      <c r="N53" s="50"/>
      <c r="O53" s="49"/>
      <c r="Y53" s="77" t="s">
        <v>136</v>
      </c>
      <c r="Z53" s="50"/>
      <c r="AA53" s="49"/>
      <c r="AK53" s="77" t="s">
        <v>136</v>
      </c>
      <c r="AL53" s="50"/>
      <c r="AM53" s="49"/>
      <c r="AW53" s="77" t="s">
        <v>136</v>
      </c>
      <c r="AX53" s="50"/>
      <c r="AY53" s="49"/>
      <c r="BI53" s="77" t="s">
        <v>136</v>
      </c>
      <c r="BJ53" s="50"/>
      <c r="BK53" s="49"/>
    </row>
    <row r="54" spans="1:71" x14ac:dyDescent="0.25">
      <c r="A54" s="49" t="s">
        <v>137</v>
      </c>
      <c r="B54" s="50" t="e">
        <f ca="1">IF(B38=0,NA(),B46)</f>
        <v>#N/A</v>
      </c>
      <c r="C54" s="49" t="s">
        <v>10</v>
      </c>
      <c r="M54" s="49" t="s">
        <v>137</v>
      </c>
      <c r="N54" s="50" t="e">
        <f ca="1">IF(N38=0,NA(),N46)</f>
        <v>#N/A</v>
      </c>
      <c r="O54" s="49" t="s">
        <v>10</v>
      </c>
      <c r="Y54" s="49" t="s">
        <v>137</v>
      </c>
      <c r="Z54" s="50" t="e">
        <f ca="1">IF(Z38=0,NA(),Z46)</f>
        <v>#N/A</v>
      </c>
      <c r="AA54" s="49" t="s">
        <v>10</v>
      </c>
      <c r="AK54" s="49" t="s">
        <v>137</v>
      </c>
      <c r="AL54" s="50" t="e">
        <f ca="1">IF(AL38=0,NA(),AL46)</f>
        <v>#N/A</v>
      </c>
      <c r="AM54" s="49" t="s">
        <v>10</v>
      </c>
      <c r="AW54" s="49" t="s">
        <v>137</v>
      </c>
      <c r="AX54" s="50" t="e">
        <f ca="1">IF(AX38=0,NA(),AX46)</f>
        <v>#N/A</v>
      </c>
      <c r="AY54" s="49" t="s">
        <v>10</v>
      </c>
      <c r="BI54" s="49" t="s">
        <v>137</v>
      </c>
      <c r="BJ54" s="50" t="e">
        <f ca="1">IF(BJ38=0,NA(),BJ46)</f>
        <v>#N/A</v>
      </c>
      <c r="BK54" s="49" t="s">
        <v>10</v>
      </c>
    </row>
    <row r="55" spans="1:71" ht="18.75" x14ac:dyDescent="0.3">
      <c r="A55" s="23" t="s">
        <v>89</v>
      </c>
      <c r="B55" s="23"/>
      <c r="C55" s="23"/>
      <c r="D55" s="23"/>
      <c r="E55" s="23"/>
      <c r="F55" s="32"/>
      <c r="G55" s="32"/>
      <c r="H55" s="32"/>
      <c r="I55" s="32"/>
      <c r="J55" s="32"/>
      <c r="K55" s="32"/>
      <c r="M55" s="23" t="s">
        <v>89</v>
      </c>
      <c r="N55" s="23"/>
      <c r="O55" s="23"/>
      <c r="P55" s="23"/>
      <c r="Q55" s="23"/>
      <c r="R55" s="32"/>
      <c r="S55" s="32"/>
      <c r="T55" s="32"/>
      <c r="U55" s="32"/>
      <c r="V55" s="32"/>
      <c r="W55" s="32"/>
      <c r="Y55" s="23" t="s">
        <v>89</v>
      </c>
      <c r="Z55" s="23"/>
      <c r="AA55" s="23"/>
      <c r="AB55" s="23"/>
      <c r="AC55" s="23"/>
      <c r="AD55" s="32"/>
      <c r="AE55" s="32"/>
      <c r="AF55" s="32"/>
      <c r="AG55" s="32"/>
      <c r="AH55" s="32"/>
      <c r="AI55" s="32"/>
      <c r="AK55" s="23" t="s">
        <v>89</v>
      </c>
      <c r="AL55" s="23"/>
      <c r="AM55" s="23"/>
      <c r="AN55" s="23"/>
      <c r="AO55" s="23"/>
      <c r="AP55" s="32"/>
      <c r="AQ55" s="32"/>
      <c r="AR55" s="32"/>
      <c r="AS55" s="32"/>
      <c r="AT55" s="32"/>
      <c r="AU55" s="32"/>
      <c r="AW55" s="23" t="s">
        <v>89</v>
      </c>
      <c r="AX55" s="23"/>
      <c r="AY55" s="23"/>
      <c r="AZ55" s="23"/>
      <c r="BA55" s="23"/>
      <c r="BB55" s="32"/>
      <c r="BC55" s="32"/>
      <c r="BD55" s="32"/>
      <c r="BE55" s="32"/>
      <c r="BF55" s="32"/>
      <c r="BG55" s="32"/>
      <c r="BI55" s="23" t="s">
        <v>89</v>
      </c>
      <c r="BJ55" s="23"/>
      <c r="BK55" s="23"/>
      <c r="BL55" s="23"/>
      <c r="BM55" s="23"/>
      <c r="BN55" s="32"/>
      <c r="BO55" s="32"/>
      <c r="BP55" s="32"/>
      <c r="BQ55" s="32"/>
      <c r="BR55" s="32"/>
      <c r="BS55" s="32"/>
    </row>
    <row r="56" spans="1:71" x14ac:dyDescent="0.25">
      <c r="A56" t="s">
        <v>88</v>
      </c>
      <c r="B56" s="6">
        <v>0.13239999999999999</v>
      </c>
      <c r="C56">
        <v>51.45</v>
      </c>
      <c r="D56" t="s">
        <v>85</v>
      </c>
      <c r="E56" t="s">
        <v>9</v>
      </c>
      <c r="M56" t="s">
        <v>88</v>
      </c>
      <c r="N56" s="6">
        <v>0.13239999999999999</v>
      </c>
      <c r="O56">
        <v>51.45</v>
      </c>
      <c r="P56" t="s">
        <v>85</v>
      </c>
      <c r="Q56" t="s">
        <v>9</v>
      </c>
      <c r="Y56" t="s">
        <v>88</v>
      </c>
      <c r="Z56" s="6">
        <v>0.13239999999999999</v>
      </c>
      <c r="AA56">
        <v>51.45</v>
      </c>
      <c r="AB56" t="s">
        <v>85</v>
      </c>
      <c r="AC56" t="s">
        <v>9</v>
      </c>
      <c r="AK56" t="s">
        <v>88</v>
      </c>
      <c r="AL56" s="6">
        <v>0.13239999999999999</v>
      </c>
      <c r="AM56">
        <v>51.45</v>
      </c>
      <c r="AN56" t="s">
        <v>85</v>
      </c>
      <c r="AO56" t="s">
        <v>9</v>
      </c>
      <c r="AW56" t="s">
        <v>88</v>
      </c>
      <c r="AX56" s="6">
        <v>0.13239999999999999</v>
      </c>
      <c r="AY56">
        <v>51.45</v>
      </c>
      <c r="AZ56" t="s">
        <v>85</v>
      </c>
      <c r="BA56" t="s">
        <v>9</v>
      </c>
      <c r="BI56" t="s">
        <v>88</v>
      </c>
      <c r="BJ56" s="6">
        <v>0.13239999999999999</v>
      </c>
      <c r="BK56">
        <v>51.45</v>
      </c>
      <c r="BL56" t="s">
        <v>85</v>
      </c>
      <c r="BM56" t="s">
        <v>9</v>
      </c>
    </row>
    <row r="57" spans="1:71" ht="18.75" x14ac:dyDescent="0.3">
      <c r="A57" s="34" t="s">
        <v>100</v>
      </c>
      <c r="B57" s="35"/>
      <c r="C57" s="35"/>
      <c r="D57" s="35"/>
      <c r="E57" s="35"/>
      <c r="F57" s="33"/>
      <c r="G57" s="33"/>
      <c r="H57" s="33"/>
      <c r="I57" s="33"/>
      <c r="J57" s="33"/>
      <c r="K57" s="33"/>
      <c r="M57" s="34" t="s">
        <v>100</v>
      </c>
      <c r="N57" s="35"/>
      <c r="O57" s="35"/>
      <c r="P57" s="35"/>
      <c r="Q57" s="35"/>
      <c r="R57" s="33"/>
      <c r="S57" s="33"/>
      <c r="T57" s="33"/>
      <c r="U57" s="33"/>
      <c r="V57" s="33"/>
      <c r="W57" s="33"/>
      <c r="Y57" s="34" t="s">
        <v>100</v>
      </c>
      <c r="Z57" s="35"/>
      <c r="AA57" s="35"/>
      <c r="AB57" s="35"/>
      <c r="AC57" s="35"/>
      <c r="AD57" s="33"/>
      <c r="AE57" s="33"/>
      <c r="AF57" s="33"/>
      <c r="AG57" s="33"/>
      <c r="AH57" s="33"/>
      <c r="AI57" s="33"/>
      <c r="AK57" s="34" t="s">
        <v>100</v>
      </c>
      <c r="AL57" s="35"/>
      <c r="AM57" s="35"/>
      <c r="AN57" s="35"/>
      <c r="AO57" s="35"/>
      <c r="AP57" s="33"/>
      <c r="AQ57" s="33"/>
      <c r="AR57" s="33"/>
      <c r="AS57" s="33"/>
      <c r="AT57" s="33"/>
      <c r="AU57" s="33"/>
      <c r="AW57" s="34" t="s">
        <v>100</v>
      </c>
      <c r="AX57" s="35"/>
      <c r="AY57" s="35"/>
      <c r="AZ57" s="35"/>
      <c r="BA57" s="35"/>
      <c r="BB57" s="33"/>
      <c r="BC57" s="33"/>
      <c r="BD57" s="33"/>
      <c r="BE57" s="33"/>
      <c r="BF57" s="33"/>
      <c r="BG57" s="33"/>
      <c r="BI57" s="34" t="s">
        <v>100</v>
      </c>
      <c r="BJ57" s="35"/>
      <c r="BK57" s="35"/>
      <c r="BL57" s="35"/>
      <c r="BM57" s="35"/>
      <c r="BN57" s="33"/>
      <c r="BO57" s="33"/>
      <c r="BP57" s="33"/>
      <c r="BQ57" s="33"/>
      <c r="BR57" s="33"/>
      <c r="BS57" s="33"/>
    </row>
    <row r="58" spans="1:71" x14ac:dyDescent="0.25">
      <c r="A58" t="s">
        <v>94</v>
      </c>
      <c r="B58" s="8">
        <f ca="1">B46</f>
        <v>0.20537531236020498</v>
      </c>
      <c r="C58" t="s">
        <v>10</v>
      </c>
      <c r="D58" t="s">
        <v>6</v>
      </c>
      <c r="E58" t="s">
        <v>20</v>
      </c>
      <c r="M58" t="s">
        <v>94</v>
      </c>
      <c r="N58" s="8">
        <f ca="1">N46</f>
        <v>0.20537531236020498</v>
      </c>
      <c r="O58" t="s">
        <v>10</v>
      </c>
      <c r="P58" t="s">
        <v>6</v>
      </c>
      <c r="Q58" t="s">
        <v>20</v>
      </c>
      <c r="Y58" t="s">
        <v>94</v>
      </c>
      <c r="Z58" s="8">
        <f ca="1">Z46</f>
        <v>0.20537531236020498</v>
      </c>
      <c r="AA58" t="s">
        <v>10</v>
      </c>
      <c r="AB58" t="s">
        <v>6</v>
      </c>
      <c r="AC58" t="s">
        <v>20</v>
      </c>
      <c r="AK58" t="s">
        <v>94</v>
      </c>
      <c r="AL58" s="8">
        <f ca="1">AL46</f>
        <v>8.3053997751389378E-6</v>
      </c>
      <c r="AM58" t="s">
        <v>10</v>
      </c>
      <c r="AN58" t="s">
        <v>6</v>
      </c>
      <c r="AO58" t="s">
        <v>20</v>
      </c>
      <c r="AW58" t="s">
        <v>94</v>
      </c>
      <c r="AX58" s="8">
        <f ca="1">AX46</f>
        <v>8.3053997751389378E-6</v>
      </c>
      <c r="AY58" t="s">
        <v>10</v>
      </c>
      <c r="AZ58" t="s">
        <v>6</v>
      </c>
      <c r="BA58" t="s">
        <v>20</v>
      </c>
      <c r="BI58" t="s">
        <v>94</v>
      </c>
      <c r="BJ58" s="8">
        <f ca="1">BJ46</f>
        <v>8.3053997751389378E-6</v>
      </c>
      <c r="BK58" t="s">
        <v>10</v>
      </c>
      <c r="BL58" t="s">
        <v>6</v>
      </c>
      <c r="BM58" t="s">
        <v>20</v>
      </c>
    </row>
    <row r="59" spans="1:71" x14ac:dyDescent="0.25">
      <c r="A59" t="s">
        <v>32</v>
      </c>
      <c r="B59" s="53">
        <v>1.1E-4</v>
      </c>
      <c r="D59" t="s">
        <v>4</v>
      </c>
      <c r="E59" t="s">
        <v>20</v>
      </c>
      <c r="F59" s="25"/>
      <c r="M59" t="s">
        <v>32</v>
      </c>
      <c r="N59" s="53">
        <f>B59</f>
        <v>1.1E-4</v>
      </c>
      <c r="P59" t="s">
        <v>4</v>
      </c>
      <c r="Q59" t="s">
        <v>20</v>
      </c>
      <c r="R59" s="25"/>
      <c r="Y59" t="s">
        <v>32</v>
      </c>
      <c r="Z59" s="53">
        <f>B59</f>
        <v>1.1E-4</v>
      </c>
      <c r="AB59" t="s">
        <v>4</v>
      </c>
      <c r="AC59" t="s">
        <v>20</v>
      </c>
      <c r="AD59" s="25"/>
      <c r="AK59" t="s">
        <v>32</v>
      </c>
      <c r="AL59" s="53">
        <v>1.5999999999999999E-6</v>
      </c>
      <c r="AN59" t="s">
        <v>4</v>
      </c>
      <c r="AO59" t="s">
        <v>20</v>
      </c>
      <c r="AP59" s="25"/>
      <c r="AW59" t="s">
        <v>32</v>
      </c>
      <c r="AX59" s="53">
        <v>1.5999999999999999E-6</v>
      </c>
      <c r="AZ59" t="s">
        <v>4</v>
      </c>
      <c r="BA59" t="s">
        <v>20</v>
      </c>
      <c r="BB59" s="25"/>
      <c r="BI59" t="s">
        <v>32</v>
      </c>
      <c r="BJ59" s="53">
        <v>1.5999999999999999E-6</v>
      </c>
      <c r="BL59" t="s">
        <v>4</v>
      </c>
      <c r="BM59" t="s">
        <v>20</v>
      </c>
      <c r="BN59" s="25"/>
    </row>
    <row r="60" spans="1:71" x14ac:dyDescent="0.25">
      <c r="A60" t="s">
        <v>33</v>
      </c>
      <c r="B60">
        <v>1</v>
      </c>
      <c r="C60" t="s">
        <v>91</v>
      </c>
      <c r="M60" t="s">
        <v>33</v>
      </c>
      <c r="N60">
        <v>1</v>
      </c>
      <c r="O60" t="s">
        <v>91</v>
      </c>
      <c r="Y60" t="s">
        <v>33</v>
      </c>
      <c r="Z60">
        <v>1</v>
      </c>
      <c r="AA60" t="s">
        <v>91</v>
      </c>
      <c r="AK60" t="s">
        <v>33</v>
      </c>
      <c r="AL60">
        <v>1</v>
      </c>
      <c r="AM60" t="s">
        <v>91</v>
      </c>
      <c r="AW60" t="s">
        <v>33</v>
      </c>
      <c r="AX60">
        <v>1</v>
      </c>
      <c r="AY60" t="s">
        <v>91</v>
      </c>
      <c r="BI60" t="s">
        <v>33</v>
      </c>
      <c r="BJ60">
        <v>1</v>
      </c>
      <c r="BK60" t="s">
        <v>91</v>
      </c>
    </row>
    <row r="61" spans="1:71" x14ac:dyDescent="0.25">
      <c r="A61" s="20" t="s">
        <v>123</v>
      </c>
      <c r="B61" s="51">
        <f ca="1">IF(B60=1,B58*B59,B58)</f>
        <v>2.259128435962255E-5</v>
      </c>
      <c r="C61" s="20" t="s">
        <v>10</v>
      </c>
      <c r="D61" t="s">
        <v>6</v>
      </c>
      <c r="E61" t="s">
        <v>20</v>
      </c>
      <c r="M61" s="20" t="s">
        <v>123</v>
      </c>
      <c r="N61" s="51">
        <f ca="1">IF(N60=1,N58*N59,N58)</f>
        <v>2.259128435962255E-5</v>
      </c>
      <c r="O61" s="20" t="s">
        <v>10</v>
      </c>
      <c r="P61" t="s">
        <v>6</v>
      </c>
      <c r="Q61" t="s">
        <v>20</v>
      </c>
      <c r="Y61" s="20" t="s">
        <v>123</v>
      </c>
      <c r="Z61" s="51">
        <f ca="1">IF(Z60=1,Z58*Z59,Z58)</f>
        <v>2.259128435962255E-5</v>
      </c>
      <c r="AA61" s="20" t="s">
        <v>10</v>
      </c>
      <c r="AB61" t="s">
        <v>6</v>
      </c>
      <c r="AC61" t="s">
        <v>20</v>
      </c>
      <c r="AK61" s="20" t="s">
        <v>123</v>
      </c>
      <c r="AL61" s="51">
        <f ca="1">IF(AL60=1,AL58*AL59,AL58)</f>
        <v>1.32886396402223E-11</v>
      </c>
      <c r="AM61" s="20" t="s">
        <v>10</v>
      </c>
      <c r="AN61" t="s">
        <v>6</v>
      </c>
      <c r="AO61" t="s">
        <v>20</v>
      </c>
      <c r="AW61" s="20" t="s">
        <v>123</v>
      </c>
      <c r="AX61" s="51">
        <f ca="1">IF(AX60=1,AX58*AX59,AX58)</f>
        <v>1.32886396402223E-11</v>
      </c>
      <c r="AY61" s="20" t="s">
        <v>10</v>
      </c>
      <c r="AZ61" t="s">
        <v>6</v>
      </c>
      <c r="BA61" t="s">
        <v>20</v>
      </c>
      <c r="BI61" s="20" t="s">
        <v>123</v>
      </c>
      <c r="BJ61" s="51">
        <f ca="1">IF(BJ60=1,BJ58*BJ59,BJ58)</f>
        <v>1.32886396402223E-11</v>
      </c>
      <c r="BK61" s="20" t="s">
        <v>10</v>
      </c>
      <c r="BL61" t="s">
        <v>6</v>
      </c>
      <c r="BM61" t="s">
        <v>20</v>
      </c>
    </row>
    <row r="62" spans="1:71" x14ac:dyDescent="0.25">
      <c r="A62" s="78" t="str">
        <f>A47&amp;" (after scaling factor)"</f>
        <v>Level under the threshold (after scaling factor)</v>
      </c>
      <c r="B62" s="79">
        <f ca="1">B47*B59</f>
        <v>2.259128435962255E-5</v>
      </c>
      <c r="C62" s="78" t="s">
        <v>10</v>
      </c>
      <c r="D62" t="s">
        <v>86</v>
      </c>
      <c r="J62" s="7"/>
      <c r="M62" s="78" t="str">
        <f>M47&amp;" (after scaling factor)"</f>
        <v>Level under the threshold (after scaling factor)</v>
      </c>
      <c r="N62" s="79">
        <f ca="1">N47*N59</f>
        <v>2.259128435962255E-5</v>
      </c>
      <c r="O62" s="78" t="s">
        <v>10</v>
      </c>
      <c r="P62" t="s">
        <v>86</v>
      </c>
      <c r="V62" s="7"/>
      <c r="Y62" s="78" t="str">
        <f>Y47&amp;" (after scaling factor)"</f>
        <v>Level under the threshold (after scaling factor)</v>
      </c>
      <c r="Z62" s="79">
        <f ca="1">Z47*Z59</f>
        <v>2.259128435962255E-5</v>
      </c>
      <c r="AA62" s="78" t="s">
        <v>10</v>
      </c>
      <c r="AB62" t="s">
        <v>86</v>
      </c>
      <c r="AH62" s="7"/>
      <c r="AK62" s="78" t="str">
        <f>AK47&amp;" (after scaling factor)"</f>
        <v>Level under the threshold (after scaling factor)</v>
      </c>
      <c r="AL62" s="79">
        <f ca="1">AL47*AL59</f>
        <v>1.32886396402223E-11</v>
      </c>
      <c r="AM62" s="78" t="s">
        <v>10</v>
      </c>
      <c r="AN62" t="s">
        <v>86</v>
      </c>
      <c r="AT62" s="7"/>
      <c r="AW62" s="78" t="str">
        <f>AW47&amp;" (after scaling factor)"</f>
        <v>Level under the threshold (after scaling factor)</v>
      </c>
      <c r="AX62" s="79">
        <f ca="1">AX47*AX59</f>
        <v>1.32886396402223E-11</v>
      </c>
      <c r="AY62" s="78" t="s">
        <v>10</v>
      </c>
      <c r="AZ62" t="s">
        <v>86</v>
      </c>
      <c r="BF62" s="7"/>
      <c r="BI62" s="78" t="str">
        <f>BI47&amp;" (after scaling factor)"</f>
        <v>Level under the threshold (after scaling factor)</v>
      </c>
      <c r="BJ62" s="79">
        <f ca="1">BJ47*BJ59</f>
        <v>1.32886396402223E-11</v>
      </c>
      <c r="BK62" s="78" t="s">
        <v>10</v>
      </c>
      <c r="BL62" t="s">
        <v>86</v>
      </c>
      <c r="BR62" s="7"/>
    </row>
    <row r="63" spans="1:71" x14ac:dyDescent="0.25">
      <c r="A63" s="78" t="str">
        <f>A48&amp;" (after scaling factor)"</f>
        <v>Level over the threshold (after scaling factor)</v>
      </c>
      <c r="B63" s="79" t="e">
        <f ca="1">B48*B59</f>
        <v>#N/A</v>
      </c>
      <c r="C63" s="78" t="s">
        <v>10</v>
      </c>
      <c r="M63" s="78" t="str">
        <f>M48&amp;" (after scaling factor)"</f>
        <v>Level over the threshold (after scaling factor)</v>
      </c>
      <c r="N63" s="79" t="e">
        <f ca="1">N48*N59</f>
        <v>#N/A</v>
      </c>
      <c r="O63" s="78" t="s">
        <v>10</v>
      </c>
      <c r="Y63" s="78" t="str">
        <f>Y48&amp;" (after scaling factor)"</f>
        <v>Level over the threshold (after scaling factor)</v>
      </c>
      <c r="Z63" s="79" t="e">
        <f ca="1">Z48*Z59</f>
        <v>#N/A</v>
      </c>
      <c r="AA63" s="78" t="s">
        <v>10</v>
      </c>
      <c r="AK63" s="78" t="str">
        <f>AK48&amp;" (after scaling factor)"</f>
        <v>Level over the threshold (after scaling factor)</v>
      </c>
      <c r="AL63" s="79" t="e">
        <f ca="1">AL48*AL59</f>
        <v>#N/A</v>
      </c>
      <c r="AM63" s="78" t="s">
        <v>10</v>
      </c>
      <c r="AW63" s="78" t="str">
        <f>AW48&amp;" (after scaling factor)"</f>
        <v>Level over the threshold (after scaling factor)</v>
      </c>
      <c r="AX63" s="79" t="e">
        <f ca="1">AX48*AX59</f>
        <v>#N/A</v>
      </c>
      <c r="AY63" s="78" t="s">
        <v>10</v>
      </c>
      <c r="BI63" s="78" t="str">
        <f>BI48&amp;" (after scaling factor)"</f>
        <v>Level over the threshold (after scaling factor)</v>
      </c>
      <c r="BJ63" s="79" t="e">
        <f ca="1">BJ48*BJ59</f>
        <v>#N/A</v>
      </c>
      <c r="BK63" s="78" t="s">
        <v>10</v>
      </c>
    </row>
    <row r="64" spans="1:71" x14ac:dyDescent="0.25">
      <c r="A64" s="49" t="str">
        <f>A50&amp; " (after scaling factor)"</f>
        <v>Inclusion list &amp; level over the threshold (after scaling factor)</v>
      </c>
      <c r="B64" s="50" t="e">
        <f ca="1">B50*B$59</f>
        <v>#N/A</v>
      </c>
      <c r="C64" s="49" t="s">
        <v>10</v>
      </c>
      <c r="M64" s="49" t="str">
        <f>M50&amp; " (after scaling factor)"</f>
        <v>Inclusion list &amp; level over the threshold (after scaling factor)</v>
      </c>
      <c r="N64" s="50" t="e">
        <f ca="1">N50*N$59</f>
        <v>#N/A</v>
      </c>
      <c r="O64" s="49" t="s">
        <v>10</v>
      </c>
      <c r="Y64" s="49" t="str">
        <f>Y50&amp; " (after scaling factor)"</f>
        <v>Inclusion list &amp; level over the threshold (after scaling factor)</v>
      </c>
      <c r="Z64" s="50" t="e">
        <f ca="1">Z50*Z$59</f>
        <v>#N/A</v>
      </c>
      <c r="AA64" s="49" t="s">
        <v>10</v>
      </c>
      <c r="AK64" s="49" t="str">
        <f>AK50&amp; " (after scaling factor)"</f>
        <v>Inclusion list &amp; level over the threshold (after scaling factor)</v>
      </c>
      <c r="AL64" s="50" t="e">
        <f ca="1">AL50*AL$59</f>
        <v>#N/A</v>
      </c>
      <c r="AM64" s="49" t="s">
        <v>10</v>
      </c>
      <c r="AW64" s="49" t="str">
        <f>AW50&amp; " (after scaling factor)"</f>
        <v>Inclusion list &amp; level over the threshold (after scaling factor)</v>
      </c>
      <c r="AX64" s="50" t="e">
        <f ca="1">AX50*AX$59</f>
        <v>#N/A</v>
      </c>
      <c r="AY64" s="49" t="s">
        <v>10</v>
      </c>
      <c r="BI64" s="49" t="str">
        <f>BI50&amp; " (after scaling factor)"</f>
        <v>Inclusion list &amp; level over the threshold (after scaling factor)</v>
      </c>
      <c r="BJ64" s="50" t="e">
        <f ca="1">BJ50*BJ$59</f>
        <v>#N/A</v>
      </c>
      <c r="BK64" s="49" t="s">
        <v>10</v>
      </c>
    </row>
    <row r="65" spans="1:71" x14ac:dyDescent="0.25">
      <c r="A65" s="49" t="str">
        <f>A52&amp; " (after scaling factor)"</f>
        <v>Serotype Kentucky &amp; level over the threshold (after scaling factor)</v>
      </c>
      <c r="B65" s="50" t="e">
        <f ca="1">B52*B$59</f>
        <v>#N/A</v>
      </c>
      <c r="C65" s="49" t="s">
        <v>10</v>
      </c>
      <c r="M65" s="49" t="str">
        <f>M52&amp; " (after scaling factor)"</f>
        <v>Serotype Kentucky &amp; level over the threshold (after scaling factor)</v>
      </c>
      <c r="N65" s="50" t="e">
        <f ca="1">N52*N$59</f>
        <v>#N/A</v>
      </c>
      <c r="O65" s="49" t="s">
        <v>10</v>
      </c>
      <c r="Y65" s="49" t="str">
        <f>Y52&amp; " (after scaling factor)"</f>
        <v>Serotype Kentucky &amp; level over the threshold (after scaling factor)</v>
      </c>
      <c r="Z65" s="50" t="e">
        <f ca="1">Z52*Z$59</f>
        <v>#N/A</v>
      </c>
      <c r="AA65" s="49" t="s">
        <v>10</v>
      </c>
      <c r="AK65" s="49" t="str">
        <f>AK52&amp; " (after scaling factor)"</f>
        <v>Serotype Kentucky &amp; level over the threshold (after scaling factor)</v>
      </c>
      <c r="AL65" s="50" t="e">
        <f ca="1">AL52*AL$59</f>
        <v>#N/A</v>
      </c>
      <c r="AM65" s="49" t="s">
        <v>10</v>
      </c>
      <c r="AW65" s="49" t="str">
        <f>AW52&amp; " (after scaling factor)"</f>
        <v>Serotype Kentucky &amp; level over the threshold (after scaling factor)</v>
      </c>
      <c r="AX65" s="50" t="e">
        <f ca="1">AX52*AX$59</f>
        <v>#N/A</v>
      </c>
      <c r="AY65" s="49" t="s">
        <v>10</v>
      </c>
      <c r="BI65" s="49" t="str">
        <f>BI52&amp; " (after scaling factor)"</f>
        <v>Serotype Kentucky &amp; level over the threshold (after scaling factor)</v>
      </c>
      <c r="BJ65" s="50" t="e">
        <f ca="1">BJ52*BJ$59</f>
        <v>#N/A</v>
      </c>
      <c r="BK65" s="49" t="s">
        <v>10</v>
      </c>
    </row>
    <row r="66" spans="1:71" x14ac:dyDescent="0.25">
      <c r="A66" s="49" t="str">
        <f>A54&amp; " (after scaling factor)"</f>
        <v>Serotype not Kentucky &amp; level over the threshold (after scaling factor)</v>
      </c>
      <c r="B66" s="50" t="e">
        <f ca="1">B54*B59</f>
        <v>#N/A</v>
      </c>
      <c r="C66" s="49" t="s">
        <v>10</v>
      </c>
      <c r="M66" s="49" t="str">
        <f>M54&amp; " (after scaling factor)"</f>
        <v>Serotype not Kentucky &amp; level over the threshold (after scaling factor)</v>
      </c>
      <c r="N66" s="50" t="e">
        <f ca="1">N54*N59</f>
        <v>#N/A</v>
      </c>
      <c r="O66" s="49" t="s">
        <v>10</v>
      </c>
      <c r="Y66" s="49" t="str">
        <f>Y54&amp; " (after scaling factor)"</f>
        <v>Serotype not Kentucky &amp; level over the threshold (after scaling factor)</v>
      </c>
      <c r="Z66" s="50" t="e">
        <f ca="1">Z54*Z59</f>
        <v>#N/A</v>
      </c>
      <c r="AA66" s="49" t="s">
        <v>10</v>
      </c>
      <c r="AK66" s="49" t="str">
        <f>AK54&amp; " (after scaling factor)"</f>
        <v>Serotype not Kentucky &amp; level over the threshold (after scaling factor)</v>
      </c>
      <c r="AL66" s="50" t="e">
        <f ca="1">AL54*AL59</f>
        <v>#N/A</v>
      </c>
      <c r="AM66" s="49" t="s">
        <v>10</v>
      </c>
      <c r="AW66" s="49" t="str">
        <f>AW54&amp; " (after scaling factor)"</f>
        <v>Serotype not Kentucky &amp; level over the threshold (after scaling factor)</v>
      </c>
      <c r="AX66" s="50" t="e">
        <f ca="1">AX54*AX59</f>
        <v>#N/A</v>
      </c>
      <c r="AY66" s="49" t="s">
        <v>10</v>
      </c>
      <c r="BI66" s="49" t="str">
        <f>BI54&amp; " (after scaling factor)"</f>
        <v>Serotype not Kentucky &amp; level over the threshold (after scaling factor)</v>
      </c>
      <c r="BJ66" s="50" t="e">
        <f ca="1">BJ54*BJ59</f>
        <v>#N/A</v>
      </c>
      <c r="BK66" s="49" t="s">
        <v>10</v>
      </c>
    </row>
    <row r="67" spans="1:71" ht="15.75" x14ac:dyDescent="0.25">
      <c r="A67" s="34" t="s">
        <v>98</v>
      </c>
      <c r="B67" s="63" t="s">
        <v>96</v>
      </c>
      <c r="C67" s="63" t="s">
        <v>97</v>
      </c>
      <c r="D67" s="55"/>
      <c r="E67" s="55"/>
      <c r="F67" s="55"/>
      <c r="G67" s="55"/>
      <c r="H67" s="55"/>
      <c r="I67" s="55"/>
      <c r="J67" s="55"/>
      <c r="K67" s="55"/>
      <c r="M67" s="34" t="s">
        <v>98</v>
      </c>
      <c r="N67" s="63" t="s">
        <v>96</v>
      </c>
      <c r="O67" s="63" t="s">
        <v>97</v>
      </c>
      <c r="P67" s="55"/>
      <c r="Q67" s="55"/>
      <c r="R67" s="55"/>
      <c r="S67" s="55"/>
      <c r="T67" s="55"/>
      <c r="U67" s="55"/>
      <c r="V67" s="55"/>
      <c r="W67" s="55"/>
      <c r="Y67" s="34" t="s">
        <v>98</v>
      </c>
      <c r="Z67" s="63" t="s">
        <v>96</v>
      </c>
      <c r="AA67" s="63" t="s">
        <v>97</v>
      </c>
      <c r="AB67" s="55"/>
      <c r="AC67" s="55"/>
      <c r="AD67" s="55"/>
      <c r="AE67" s="55"/>
      <c r="AF67" s="55"/>
      <c r="AG67" s="55"/>
      <c r="AH67" s="55"/>
      <c r="AI67" s="55"/>
      <c r="AK67" s="34" t="s">
        <v>98</v>
      </c>
      <c r="AL67" s="63" t="s">
        <v>96</v>
      </c>
      <c r="AM67" s="63" t="s">
        <v>97</v>
      </c>
      <c r="AN67" s="55"/>
      <c r="AO67" s="55"/>
      <c r="AP67" s="55"/>
      <c r="AQ67" s="55"/>
      <c r="AR67" s="55"/>
      <c r="AS67" s="55"/>
      <c r="AT67" s="55"/>
      <c r="AU67" s="55"/>
      <c r="AW67" s="34" t="s">
        <v>98</v>
      </c>
      <c r="AX67" s="63" t="s">
        <v>96</v>
      </c>
      <c r="AY67" s="63" t="s">
        <v>97</v>
      </c>
      <c r="AZ67" s="55"/>
      <c r="BA67" s="55"/>
      <c r="BB67" s="55"/>
      <c r="BC67" s="55"/>
      <c r="BD67" s="55"/>
      <c r="BE67" s="55"/>
      <c r="BF67" s="55"/>
      <c r="BG67" s="55"/>
      <c r="BI67" s="34" t="s">
        <v>98</v>
      </c>
      <c r="BJ67" s="63" t="s">
        <v>96</v>
      </c>
      <c r="BK67" s="63" t="s">
        <v>97</v>
      </c>
      <c r="BL67" s="55"/>
      <c r="BM67" s="55"/>
      <c r="BN67" s="55"/>
      <c r="BO67" s="55"/>
      <c r="BP67" s="55"/>
      <c r="BQ67" s="55"/>
      <c r="BR67" s="55"/>
      <c r="BS67" s="55"/>
    </row>
    <row r="68" spans="1:71" x14ac:dyDescent="0.25">
      <c r="A68" s="58" t="s">
        <v>84</v>
      </c>
      <c r="B68" s="61" cm="1">
        <f t="array" aca="1" ref="B68" ca="1">_xll.RiskOutput()+1-(1+(B61/C56))^(-B56)</f>
        <v>5.8135768865597015E-8</v>
      </c>
      <c r="C68" s="62" cm="1">
        <f t="array" aca="1" ref="C68" ca="1">_xll.RiskOutput()+LOG10(B68)</f>
        <v>-7.2355565794660164</v>
      </c>
      <c r="D68" t="s">
        <v>99</v>
      </c>
      <c r="E68" t="s">
        <v>20</v>
      </c>
      <c r="F68" s="20" t="s">
        <v>87</v>
      </c>
      <c r="M68" s="58" t="s">
        <v>84</v>
      </c>
      <c r="N68" s="61" cm="1">
        <f t="array" aca="1" ref="N68" ca="1">_xll.RiskOutput()+1-(1+(N61/O56))^(-N56)</f>
        <v>5.8135768865597015E-8</v>
      </c>
      <c r="O68" s="62" cm="1">
        <f t="array" aca="1" ref="O68" ca="1">_xll.RiskOutput()+LOG10(N68)</f>
        <v>-7.2355565794660164</v>
      </c>
      <c r="P68" t="s">
        <v>99</v>
      </c>
      <c r="Q68" t="s">
        <v>20</v>
      </c>
      <c r="R68" s="20" t="s">
        <v>87</v>
      </c>
      <c r="Y68" s="58" t="s">
        <v>84</v>
      </c>
      <c r="Z68" s="61" cm="1">
        <f t="array" aca="1" ref="Z68" ca="1">_xll.RiskOutput()+1-(1+(Z61/AA56))^(-Z56)</f>
        <v>5.8135768865597015E-8</v>
      </c>
      <c r="AA68" s="62" cm="1">
        <f t="array" aca="1" ref="AA68" ca="1">_xll.RiskOutput()+LOG10(Z68)</f>
        <v>-7.2355565794660164</v>
      </c>
      <c r="AB68" t="s">
        <v>99</v>
      </c>
      <c r="AC68" t="s">
        <v>20</v>
      </c>
      <c r="AD68" s="20" t="s">
        <v>87</v>
      </c>
      <c r="AK68" s="58" t="s">
        <v>84</v>
      </c>
      <c r="AL68" s="61" cm="1">
        <f t="array" aca="1" ref="AL68" ca="1">_xll.RiskOutput()+1-(1+(AL61/AM56))^(-AL56)</f>
        <v>3.4194869158454821E-14</v>
      </c>
      <c r="AM68" s="62" cm="1">
        <f t="array" aca="1" ref="AM68" ca="1">_xll.RiskOutput()+LOG10(AL68)</f>
        <v>-13.46603905369056</v>
      </c>
      <c r="AN68" t="s">
        <v>99</v>
      </c>
      <c r="AO68" t="s">
        <v>20</v>
      </c>
      <c r="AP68" s="20" t="s">
        <v>87</v>
      </c>
      <c r="AW68" s="58" t="s">
        <v>84</v>
      </c>
      <c r="AX68" s="61" cm="1">
        <f t="array" aca="1" ref="AX68" ca="1">_xll.RiskOutput()+1-(1+(AX61/AY56))^(-AX56)</f>
        <v>3.4194869158454821E-14</v>
      </c>
      <c r="AY68" s="62" cm="1">
        <f t="array" aca="1" ref="AY68" ca="1">_xll.RiskOutput()+LOG10(AX68)</f>
        <v>-13.46603905369056</v>
      </c>
      <c r="AZ68" t="s">
        <v>99</v>
      </c>
      <c r="BA68" t="s">
        <v>20</v>
      </c>
      <c r="BB68" s="20" t="s">
        <v>87</v>
      </c>
      <c r="BI68" s="58" t="s">
        <v>84</v>
      </c>
      <c r="BJ68" s="61" cm="1">
        <f t="array" aca="1" ref="BJ68" ca="1">_xll.RiskOutput()+1-(1+(BJ61/BK56))^(-BJ56)</f>
        <v>3.4194869158454821E-14</v>
      </c>
      <c r="BK68" s="62" cm="1">
        <f t="array" aca="1" ref="BK68" ca="1">_xll.RiskOutput()+LOG10(BJ68)</f>
        <v>-13.46603905369056</v>
      </c>
      <c r="BL68" t="s">
        <v>99</v>
      </c>
      <c r="BM68" t="s">
        <v>20</v>
      </c>
      <c r="BN68" s="20" t="s">
        <v>87</v>
      </c>
    </row>
    <row r="69" spans="1:71" x14ac:dyDescent="0.25">
      <c r="A69" s="59" t="s">
        <v>22</v>
      </c>
      <c r="B69" s="60" cm="1">
        <f t="array" aca="1" ref="B69" ca="1">_xll.RiskMean(B68)</f>
        <v>1.8684279764805813E-6</v>
      </c>
      <c r="C69" s="57" cm="1">
        <f t="array" aca="1" ref="C69" ca="1">_xll.RiskOutput()+LOG10(B69)</f>
        <v>-5.7285236385261005</v>
      </c>
      <c r="E69" s="20"/>
      <c r="M69" s="59" t="s">
        <v>22</v>
      </c>
      <c r="N69" s="60" cm="1">
        <f t="array" aca="1" ref="N69" ca="1">_xll.RiskMean(N68)</f>
        <v>1.8684279764805813E-6</v>
      </c>
      <c r="O69" s="57" cm="1">
        <f t="array" aca="1" ref="O69" ca="1">_xll.RiskOutput()+LOG10(N69)</f>
        <v>-5.7285236385261005</v>
      </c>
      <c r="Q69" s="20"/>
      <c r="Y69" s="59" t="s">
        <v>22</v>
      </c>
      <c r="Z69" s="60" cm="1">
        <f t="array" aca="1" ref="Z69" ca="1">_xll.RiskMean(Z68)</f>
        <v>1.8684279764805813E-6</v>
      </c>
      <c r="AA69" s="57" cm="1">
        <f t="array" aca="1" ref="AA69" ca="1">_xll.RiskOutput()+LOG10(Z69)</f>
        <v>-5.7285236385261005</v>
      </c>
      <c r="AC69" s="20"/>
      <c r="AK69" s="59" t="s">
        <v>22</v>
      </c>
      <c r="AL69" s="60" cm="1">
        <f t="array" aca="1" ref="AL69" ca="1">_xll.RiskMean(AL68)</f>
        <v>2.5192125758061127E-6</v>
      </c>
      <c r="AM69" s="57" cm="1">
        <f t="array" aca="1" ref="AM69" ca="1">_xll.RiskOutput()+LOG10(AL69)</f>
        <v>-5.5987351843858155</v>
      </c>
      <c r="AO69" s="20"/>
      <c r="AW69" s="59" t="s">
        <v>22</v>
      </c>
      <c r="AX69" s="60" cm="1">
        <f t="array" aca="1" ref="AX69" ca="1">_xll.RiskMean(AX68)</f>
        <v>2.5192125758061127E-6</v>
      </c>
      <c r="AY69" s="57" cm="1">
        <f t="array" aca="1" ref="AY69" ca="1">_xll.RiskOutput()+LOG10(AX69)</f>
        <v>-5.5987351843858155</v>
      </c>
      <c r="BA69" s="20"/>
      <c r="BI69" s="59" t="s">
        <v>22</v>
      </c>
      <c r="BJ69" s="60" cm="1">
        <f t="array" aca="1" ref="BJ69" ca="1">_xll.RiskMean(BJ68)</f>
        <v>2.5192125758061127E-6</v>
      </c>
      <c r="BK69" s="57" cm="1">
        <f t="array" aca="1" ref="BK69" ca="1">_xll.RiskOutput()+LOG10(BJ69)</f>
        <v>-5.5987351843858155</v>
      </c>
      <c r="BM69" s="20"/>
    </row>
    <row r="70" spans="1:71" x14ac:dyDescent="0.25">
      <c r="A70" s="46" t="s">
        <v>25</v>
      </c>
      <c r="B70" s="10" cm="1">
        <f t="array" aca="1" ref="B70" ca="1">_xll.RiskPercentile(B68,0.05)</f>
        <v>1.4756507127344776E-10</v>
      </c>
      <c r="C70" s="56" cm="1">
        <f t="array" aca="1" ref="C70" ca="1">_xll.RiskOutput()+LOG10(B70)</f>
        <v>-9.8310164280709493</v>
      </c>
      <c r="M70" s="46" t="s">
        <v>25</v>
      </c>
      <c r="N70" s="10" cm="1">
        <f t="array" aca="1" ref="N70" ca="1">_xll.RiskPercentile(N68,0.05)</f>
        <v>1.4756507127344776E-10</v>
      </c>
      <c r="O70" s="56" cm="1">
        <f t="array" aca="1" ref="O70" ca="1">_xll.RiskOutput()+LOG10(N70)</f>
        <v>-9.8310164280709493</v>
      </c>
      <c r="Y70" s="46" t="s">
        <v>25</v>
      </c>
      <c r="Z70" s="10" cm="1">
        <f t="array" aca="1" ref="Z70" ca="1">_xll.RiskPercentile(Z68,0.05)</f>
        <v>1.4756507127344776E-10</v>
      </c>
      <c r="AA70" s="56" cm="1">
        <f t="array" aca="1" ref="AA70" ca="1">_xll.RiskOutput()+LOG10(Z70)</f>
        <v>-9.8310164280709493</v>
      </c>
      <c r="AK70" s="46" t="s">
        <v>25</v>
      </c>
      <c r="AL70" s="10" cm="1">
        <f t="array" aca="1" ref="AL70" ca="1">_xll.RiskPercentile(AL68,0.05)</f>
        <v>0</v>
      </c>
      <c r="AM70" s="56" t="e" cm="1">
        <f t="array" aca="1" ref="AM70" ca="1">_xll.RiskOutput()+LOG10(AL70)</f>
        <v>#NUM!</v>
      </c>
      <c r="AW70" s="46" t="s">
        <v>25</v>
      </c>
      <c r="AX70" s="10" cm="1">
        <f t="array" aca="1" ref="AX70" ca="1">_xll.RiskPercentile(AX68,0.05)</f>
        <v>0</v>
      </c>
      <c r="AY70" s="56" t="e" cm="1">
        <f t="array" aca="1" ref="AY70" ca="1">_xll.RiskOutput()+LOG10(AX70)</f>
        <v>#NUM!</v>
      </c>
      <c r="BI70" s="46" t="s">
        <v>25</v>
      </c>
      <c r="BJ70" s="10" cm="1">
        <f t="array" aca="1" ref="BJ70" ca="1">_xll.RiskPercentile(BJ68,0.05)</f>
        <v>0</v>
      </c>
      <c r="BK70" s="56" t="e" cm="1">
        <f t="array" aca="1" ref="BK70" ca="1">_xll.RiskOutput()+LOG10(BJ70)</f>
        <v>#NUM!</v>
      </c>
    </row>
    <row r="71" spans="1:71" x14ac:dyDescent="0.25">
      <c r="A71" s="46" t="s">
        <v>23</v>
      </c>
      <c r="B71" s="10" cm="1">
        <f t="array" aca="1" ref="B71" ca="1">_xll.RiskPercentile(B68,0.95)</f>
        <v>2.9095843792070752E-6</v>
      </c>
      <c r="C71" s="56" cm="1">
        <f t="array" aca="1" ref="C71" ca="1">_xll.RiskOutput()+LOG10(B71)</f>
        <v>-5.536169043559882</v>
      </c>
      <c r="M71" s="46" t="s">
        <v>23</v>
      </c>
      <c r="N71" s="10" cm="1">
        <f t="array" aca="1" ref="N71" ca="1">_xll.RiskPercentile(N68,0.95)</f>
        <v>2.9095843792070752E-6</v>
      </c>
      <c r="O71" s="56" cm="1">
        <f t="array" aca="1" ref="O71" ca="1">_xll.RiskOutput()+LOG10(N71)</f>
        <v>-5.536169043559882</v>
      </c>
      <c r="Y71" s="46" t="s">
        <v>23</v>
      </c>
      <c r="Z71" s="10" cm="1">
        <f t="array" aca="1" ref="Z71" ca="1">_xll.RiskPercentile(Z68,0.95)</f>
        <v>2.9095843792070752E-6</v>
      </c>
      <c r="AA71" s="56" cm="1">
        <f t="array" aca="1" ref="AA71" ca="1">_xll.RiskOutput()+LOG10(Z71)</f>
        <v>-5.536169043559882</v>
      </c>
      <c r="AK71" s="46" t="s">
        <v>23</v>
      </c>
      <c r="AL71" s="10" cm="1">
        <f t="array" aca="1" ref="AL71" ca="1">_xll.RiskPercentile(AL68,0.95)</f>
        <v>1.5402959796517735E-8</v>
      </c>
      <c r="AM71" s="56" cm="1">
        <f t="array" aca="1" ref="AM71" ca="1">_xll.RiskOutput()+LOG10(AL71)</f>
        <v>-7.8123958181385147</v>
      </c>
      <c r="AW71" s="46" t="s">
        <v>23</v>
      </c>
      <c r="AX71" s="10" cm="1">
        <f t="array" aca="1" ref="AX71" ca="1">_xll.RiskPercentile(AX68,0.95)</f>
        <v>1.5402959796517735E-8</v>
      </c>
      <c r="AY71" s="56" cm="1">
        <f t="array" aca="1" ref="AY71" ca="1">_xll.RiskOutput()+LOG10(AX71)</f>
        <v>-7.8123958181385147</v>
      </c>
      <c r="BI71" s="46" t="s">
        <v>23</v>
      </c>
      <c r="BJ71" s="10" cm="1">
        <f t="array" aca="1" ref="BJ71" ca="1">_xll.RiskPercentile(BJ68,0.95)</f>
        <v>1.5402959796517735E-8</v>
      </c>
      <c r="BK71" s="56" cm="1">
        <f t="array" aca="1" ref="BK71" ca="1">_xll.RiskOutput()+LOG10(BJ71)</f>
        <v>-7.8123958181385147</v>
      </c>
    </row>
    <row r="72" spans="1:71" ht="18.75" x14ac:dyDescent="0.3">
      <c r="A72" s="34" t="s">
        <v>34</v>
      </c>
      <c r="B72" s="63" t="s">
        <v>96</v>
      </c>
      <c r="C72" s="63" t="s">
        <v>97</v>
      </c>
      <c r="D72" s="35"/>
      <c r="E72" s="35"/>
      <c r="F72" s="33"/>
      <c r="G72" s="33"/>
      <c r="H72" s="33"/>
      <c r="I72" s="33"/>
      <c r="J72" s="33"/>
      <c r="K72" s="33"/>
      <c r="M72" s="34" t="s">
        <v>34</v>
      </c>
      <c r="N72" s="63" t="s">
        <v>96</v>
      </c>
      <c r="O72" s="63" t="s">
        <v>97</v>
      </c>
      <c r="P72" s="35"/>
      <c r="Q72" s="35"/>
      <c r="R72" s="33"/>
      <c r="S72" s="33"/>
      <c r="T72" s="33"/>
      <c r="U72" s="33"/>
      <c r="V72" s="33"/>
      <c r="W72" s="33"/>
      <c r="Y72" s="34" t="s">
        <v>34</v>
      </c>
      <c r="Z72" s="63" t="s">
        <v>96</v>
      </c>
      <c r="AA72" s="63" t="s">
        <v>97</v>
      </c>
      <c r="AB72" s="35"/>
      <c r="AC72" s="35"/>
      <c r="AD72" s="33"/>
      <c r="AE72" s="33"/>
      <c r="AF72" s="33"/>
      <c r="AG72" s="33"/>
      <c r="AH72" s="33"/>
      <c r="AI72" s="33"/>
      <c r="AK72" s="34" t="s">
        <v>34</v>
      </c>
      <c r="AL72" s="63" t="s">
        <v>96</v>
      </c>
      <c r="AM72" s="63" t="s">
        <v>97</v>
      </c>
      <c r="AN72" s="35"/>
      <c r="AO72" s="35"/>
      <c r="AP72" s="33"/>
      <c r="AQ72" s="33"/>
      <c r="AR72" s="33"/>
      <c r="AS72" s="33"/>
      <c r="AT72" s="33"/>
      <c r="AU72" s="33"/>
      <c r="AW72" s="34" t="s">
        <v>34</v>
      </c>
      <c r="AX72" s="63" t="s">
        <v>96</v>
      </c>
      <c r="AY72" s="63" t="s">
        <v>97</v>
      </c>
      <c r="AZ72" s="35"/>
      <c r="BA72" s="35"/>
      <c r="BB72" s="33"/>
      <c r="BC72" s="33"/>
      <c r="BD72" s="33"/>
      <c r="BE72" s="33"/>
      <c r="BF72" s="33"/>
      <c r="BG72" s="33"/>
      <c r="BI72" s="34" t="s">
        <v>34</v>
      </c>
      <c r="BJ72" s="63" t="s">
        <v>96</v>
      </c>
      <c r="BK72" s="63" t="s">
        <v>97</v>
      </c>
      <c r="BL72" s="35"/>
      <c r="BM72" s="35"/>
      <c r="BN72" s="33"/>
      <c r="BO72" s="33"/>
      <c r="BP72" s="33"/>
      <c r="BQ72" s="33"/>
      <c r="BR72" s="33"/>
      <c r="BS72" s="33"/>
    </row>
    <row r="73" spans="1:71" x14ac:dyDescent="0.25">
      <c r="A73" s="52" t="str">
        <f>"P(ill) from " &amp;A47</f>
        <v>P(ill) from Level under the threshold</v>
      </c>
      <c r="B73" s="61" cm="1">
        <f t="array" aca="1" ref="B73" ca="1">_xll.RiskOutput()+1-(1+(B$62/C$56))^(-B$56)</f>
        <v>5.8135768865597015E-8</v>
      </c>
      <c r="C73" s="62" cm="1">
        <f t="array" aca="1" ref="C73" ca="1">_xll.RiskOutput()+LOG10(B73)</f>
        <v>-7.2355565794660164</v>
      </c>
      <c r="E73" t="s">
        <v>20</v>
      </c>
      <c r="M73" s="52" t="str">
        <f>"P(ill) from " &amp;M47</f>
        <v>P(ill) from Level under the threshold</v>
      </c>
      <c r="N73" s="61" cm="1">
        <f t="array" aca="1" ref="N73" ca="1">_xll.RiskOutput()+1-(1+(N$62/O$56))^(-N$56)</f>
        <v>5.8135768865597015E-8</v>
      </c>
      <c r="O73" s="62" cm="1">
        <f t="array" aca="1" ref="O73" ca="1">_xll.RiskOutput()+LOG10(N73)</f>
        <v>-7.2355565794660164</v>
      </c>
      <c r="Q73" t="s">
        <v>20</v>
      </c>
      <c r="Y73" s="52" t="str">
        <f>"P(ill) from " &amp;Y47</f>
        <v>P(ill) from Level under the threshold</v>
      </c>
      <c r="Z73" s="61" cm="1">
        <f t="array" aca="1" ref="Z73" ca="1">_xll.RiskOutput()+1-(1+(Z$62/AA$56))^(-Z$56)</f>
        <v>5.8135768865597015E-8</v>
      </c>
      <c r="AA73" s="62" cm="1">
        <f t="array" aca="1" ref="AA73" ca="1">_xll.RiskOutput()+LOG10(Z73)</f>
        <v>-7.2355565794660164</v>
      </c>
      <c r="AC73" t="s">
        <v>20</v>
      </c>
      <c r="AK73" s="52" t="str">
        <f>"P(ill) from " &amp;AK47</f>
        <v>P(ill) from Level under the threshold</v>
      </c>
      <c r="AL73" s="61" cm="1">
        <f t="array" aca="1" ref="AL73" ca="1">_xll.RiskOutput()+1-(1+(AL$62/AM$56))^(-AL$56)</f>
        <v>3.4194869158454821E-14</v>
      </c>
      <c r="AM73" s="62" cm="1">
        <f t="array" aca="1" ref="AM73" ca="1">_xll.RiskOutput()+LOG10(AL73)</f>
        <v>-13.46603905369056</v>
      </c>
      <c r="AO73" t="s">
        <v>20</v>
      </c>
      <c r="AW73" s="52" t="str">
        <f>"P(ill) from " &amp;AW47</f>
        <v>P(ill) from Level under the threshold</v>
      </c>
      <c r="AX73" s="61" cm="1">
        <f t="array" aca="1" ref="AX73" ca="1">_xll.RiskOutput()+1-(1+(AX$62/AY$56))^(-AX$56)</f>
        <v>3.4194869158454821E-14</v>
      </c>
      <c r="AY73" s="62" cm="1">
        <f t="array" aca="1" ref="AY73" ca="1">_xll.RiskOutput()+LOG10(AX73)</f>
        <v>-13.46603905369056</v>
      </c>
      <c r="BA73" t="s">
        <v>20</v>
      </c>
      <c r="BI73" s="52" t="str">
        <f>"P(ill) from " &amp;BI47</f>
        <v>P(ill) from Level under the threshold</v>
      </c>
      <c r="BJ73" s="61" cm="1">
        <f t="array" aca="1" ref="BJ73" ca="1">_xll.RiskOutput()+1-(1+(BJ$62/BK$56))^(-BJ$56)</f>
        <v>3.4194869158454821E-14</v>
      </c>
      <c r="BK73" s="62" cm="1">
        <f t="array" aca="1" ref="BK73" ca="1">_xll.RiskOutput()+LOG10(BJ73)</f>
        <v>-13.46603905369056</v>
      </c>
      <c r="BM73" t="s">
        <v>20</v>
      </c>
    </row>
    <row r="74" spans="1:71" x14ac:dyDescent="0.25">
      <c r="A74" s="46" t="str">
        <f>A$73&amp; "-mean"</f>
        <v>P(ill) from Level under the threshold-mean</v>
      </c>
      <c r="B74" s="18" cm="1">
        <f t="array" aca="1" ref="B74" ca="1">_xll.RiskMean(B73)</f>
        <v>3.943187336310899E-8</v>
      </c>
      <c r="C74" s="57" cm="1">
        <f t="array" aca="1" ref="C74" ca="1">_xll.RiskOutput()+LOG10(B74)</f>
        <v>-7.4041525896035676</v>
      </c>
      <c r="M74" s="46" t="str">
        <f>M$73&amp; "-mean"</f>
        <v>P(ill) from Level under the threshold-mean</v>
      </c>
      <c r="N74" s="18" cm="1">
        <f t="array" aca="1" ref="N74" ca="1">_xll.RiskMean(N73)</f>
        <v>6.1394203605154691E-7</v>
      </c>
      <c r="O74" s="57" cm="1">
        <f t="array" aca="1" ref="O74" ca="1">_xll.RiskOutput()+LOG10(N74)</f>
        <v>-6.2118726298543878</v>
      </c>
      <c r="Y74" s="46" t="str">
        <f>Y$73&amp; "-mean"</f>
        <v>P(ill) from Level under the threshold-mean</v>
      </c>
      <c r="Z74" s="18" cm="1">
        <f t="array" aca="1" ref="Z74" ca="1">_xll.RiskMean(Z73)</f>
        <v>1.1831064813298794E-6</v>
      </c>
      <c r="AA74" s="57" cm="1">
        <f t="array" aca="1" ref="AA74" ca="1">_xll.RiskOutput()+LOG10(Z74)</f>
        <v>-5.9269761664685161</v>
      </c>
      <c r="AK74" s="46" t="str">
        <f>AK$73&amp; "-mean"</f>
        <v>P(ill) from Level under the threshold-mean</v>
      </c>
      <c r="AL74" s="18" cm="1">
        <f t="array" aca="1" ref="AL74" ca="1">_xll.RiskMean(AL73)</f>
        <v>1.5005096642314899E-10</v>
      </c>
      <c r="AM74" s="57" cm="1">
        <f t="array" aca="1" ref="AM74" ca="1">_xll.RiskOutput()+LOG10(AL74)</f>
        <v>-9.8237612030989148</v>
      </c>
      <c r="AW74" s="46" t="str">
        <f>AW$73&amp; "-mean"</f>
        <v>P(ill) from Level under the threshold-mean</v>
      </c>
      <c r="AX74" s="18" cm="1">
        <f t="array" aca="1" ref="AX74" ca="1">_xll.RiskMean(AX73)</f>
        <v>4.7182866301694036E-9</v>
      </c>
      <c r="AY74" s="57" cm="1">
        <f t="array" aca="1" ref="AY74" ca="1">_xll.RiskOutput()+LOG10(AX74)</f>
        <v>-8.3262156797879001</v>
      </c>
      <c r="BI74" s="46" t="str">
        <f>BI$73&amp; "-mean"</f>
        <v>P(ill) from Level under the threshold-mean</v>
      </c>
      <c r="BJ74" s="18" cm="1">
        <f t="array" aca="1" ref="BJ74" ca="1">_xll.RiskMean(BJ73)</f>
        <v>1.9046320943063617E-8</v>
      </c>
      <c r="BK74" s="57" cm="1">
        <f t="array" aca="1" ref="BK74" ca="1">_xll.RiskOutput()+LOG10(BJ74)</f>
        <v>-7.7201889017959218</v>
      </c>
    </row>
    <row r="75" spans="1:71" x14ac:dyDescent="0.25">
      <c r="A75" s="46" t="str">
        <f>A$73&amp; "-5th"</f>
        <v>P(ill) from Level under the threshold-5th</v>
      </c>
      <c r="B75" s="19" cm="1">
        <f t="array" aca="1" ref="B75" ca="1">_xll.RiskPercentile(B73,0.05)</f>
        <v>1.0694267693622805E-10</v>
      </c>
      <c r="C75" s="56" cm="1">
        <f t="array" aca="1" ref="C75" ca="1">_xll.RiskOutput()+LOG10(B75)</f>
        <v>-9.9708489490548136</v>
      </c>
      <c r="M75" s="46" t="str">
        <f>M$73&amp; "-5th"</f>
        <v>P(ill) from Level under the threshold-5th</v>
      </c>
      <c r="N75" s="19" cm="1">
        <f t="array" aca="1" ref="N75" ca="1">_xll.RiskPercentile(N73,0.05)</f>
        <v>1.4618861676751749E-10</v>
      </c>
      <c r="O75" s="56" cm="1">
        <f t="array" aca="1" ref="O75" ca="1">_xll.RiskOutput()+LOG10(N75)</f>
        <v>-9.8350864431614848</v>
      </c>
      <c r="Y75" s="46" t="str">
        <f>Y$73&amp; "-5th"</f>
        <v>P(ill) from Level under the threshold-5th</v>
      </c>
      <c r="Z75" s="19" cm="1">
        <f t="array" aca="1" ref="Z75" ca="1">_xll.RiskPercentile(Z73,0.05)</f>
        <v>1.4747247867319402E-10</v>
      </c>
      <c r="AA75" s="56" cm="1">
        <f t="array" aca="1" ref="AA75" ca="1">_xll.RiskOutput()+LOG10(Z75)</f>
        <v>-9.8312890201981737</v>
      </c>
      <c r="AK75" s="46" t="str">
        <f>AK$73&amp; "-5th"</f>
        <v>P(ill) from Level under the threshold-5th</v>
      </c>
      <c r="AL75" s="19" cm="1">
        <f t="array" aca="1" ref="AL75" ca="1">_xll.RiskPercentile(AL73,0.05)</f>
        <v>0</v>
      </c>
      <c r="AM75" s="56" t="e" cm="1">
        <f t="array" aca="1" ref="AM75" ca="1">_xll.RiskOutput()+LOG10(AL75)</f>
        <v>#NUM!</v>
      </c>
      <c r="AW75" s="46" t="str">
        <f>AW$73&amp; "-5th"</f>
        <v>P(ill) from Level under the threshold-5th</v>
      </c>
      <c r="AX75" s="19" cm="1">
        <f t="array" aca="1" ref="AX75" ca="1">_xll.RiskPercentile(AX73,0.05)</f>
        <v>0</v>
      </c>
      <c r="AY75" s="56" t="e" cm="1">
        <f t="array" aca="1" ref="AY75" ca="1">_xll.RiskOutput()+LOG10(AX75)</f>
        <v>#NUM!</v>
      </c>
      <c r="BI75" s="46" t="str">
        <f>BI$73&amp; "-5th"</f>
        <v>P(ill) from Level under the threshold-5th</v>
      </c>
      <c r="BJ75" s="19" cm="1">
        <f t="array" aca="1" ref="BJ75" ca="1">_xll.RiskPercentile(BJ73,0.05)</f>
        <v>0</v>
      </c>
      <c r="BK75" s="56" t="e" cm="1">
        <f t="array" aca="1" ref="BK75" ca="1">_xll.RiskOutput()+LOG10(BJ75)</f>
        <v>#NUM!</v>
      </c>
    </row>
    <row r="76" spans="1:71" x14ac:dyDescent="0.25">
      <c r="A76" s="46" t="str">
        <f>A$73&amp; "-95th"</f>
        <v>P(ill) from Level under the threshold-95th</v>
      </c>
      <c r="B76" s="19" cm="1">
        <f t="array" aca="1" ref="B76" ca="1">_xll.RiskPercentile(B73,0.95)</f>
        <v>1.8206099727802183E-7</v>
      </c>
      <c r="C76" s="56" cm="1">
        <f t="array" aca="1" ref="C76" ca="1">_xll.RiskOutput()+LOG10(B76)</f>
        <v>-6.7397830826574721</v>
      </c>
      <c r="M76" s="46" t="str">
        <f>M$73&amp; "-95th"</f>
        <v>P(ill) from Level under the threshold-95th</v>
      </c>
      <c r="N76" s="19" cm="1">
        <f t="array" aca="1" ref="N76" ca="1">_xll.RiskPercentile(N73,0.95)</f>
        <v>2.4475204762897107E-6</v>
      </c>
      <c r="O76" s="56" cm="1">
        <f t="array" aca="1" ref="O76" ca="1">_xll.RiskOutput()+LOG10(N76)</f>
        <v>-5.6112736661428295</v>
      </c>
      <c r="Y76" s="46" t="str">
        <f>Y$73&amp; "-95th"</f>
        <v>P(ill) from Level under the threshold-95th</v>
      </c>
      <c r="Z76" s="19" cm="1">
        <f t="array" aca="1" ref="Z76" ca="1">_xll.RiskPercentile(Z73,0.95)</f>
        <v>2.8628982845502193E-6</v>
      </c>
      <c r="AA76" s="56" cm="1">
        <f t="array" aca="1" ref="AA76" ca="1">_xll.RiskOutput()+LOG10(Z76)</f>
        <v>-5.5431940816826586</v>
      </c>
      <c r="AK76" s="46" t="str">
        <f>AK$73&amp; "-95th"</f>
        <v>P(ill) from Level under the threshold-95th</v>
      </c>
      <c r="AL76" s="19" cm="1">
        <f t="array" aca="1" ref="AL76" ca="1">_xll.RiskPercentile(AL73,0.95)</f>
        <v>8.6193607806706041E-10</v>
      </c>
      <c r="AM76" s="56" cm="1">
        <f t="array" aca="1" ref="AM76" ca="1">_xll.RiskOutput()+LOG10(AL76)</f>
        <v>-9.064524940639453</v>
      </c>
      <c r="AW76" s="46" t="str">
        <f>AW$73&amp; "-95th"</f>
        <v>P(ill) from Level under the threshold-95th</v>
      </c>
      <c r="AX76" s="19" cm="1">
        <f t="array" aca="1" ref="AX76" ca="1">_xll.RiskPercentile(AX73,0.95)</f>
        <v>8.6739387894496645E-9</v>
      </c>
      <c r="AY76" s="56" cm="1">
        <f t="array" aca="1" ref="AY76" ca="1">_xll.RiskOutput()+LOG10(AX76)</f>
        <v>-8.061783646920718</v>
      </c>
      <c r="BI76" s="46" t="str">
        <f>BI$73&amp; "-95th"</f>
        <v>P(ill) from Level under the threshold-95th</v>
      </c>
      <c r="BJ76" s="19" cm="1">
        <f t="array" aca="1" ref="BJ76" ca="1">_xll.RiskPercentile(BJ73,0.95)</f>
        <v>1.2666409365813536E-8</v>
      </c>
      <c r="BK76" s="56" cm="1">
        <f t="array" aca="1" ref="BK76" ca="1">_xll.RiskOutput()+LOG10(BJ76)</f>
        <v>-7.8973464801140887</v>
      </c>
    </row>
    <row r="77" spans="1:71" x14ac:dyDescent="0.25">
      <c r="A77" s="2" t="str">
        <f>"P(ill) from "&amp;A48</f>
        <v>P(ill) from Level over the threshold</v>
      </c>
      <c r="B77" s="61" t="e" cm="1">
        <f t="array" aca="1" ref="B77" ca="1">_xll.RiskOutput()+1-(1+(B$63/C$56))^(-B$56)</f>
        <v>#N/A</v>
      </c>
      <c r="C77" s="62" t="e" cm="1">
        <f t="array" aca="1" ref="C77" ca="1">_xll.RiskOutput()+LOG10(B77)</f>
        <v>#N/A</v>
      </c>
      <c r="E77" t="s">
        <v>20</v>
      </c>
      <c r="M77" s="2" t="str">
        <f>"P(ill) from "&amp;M48</f>
        <v>P(ill) from Level over the threshold</v>
      </c>
      <c r="N77" s="61" t="e" cm="1">
        <f t="array" aca="1" ref="N77" ca="1">_xll.RiskOutput()+1-(1+(N$63/O$56))^(-N$56)</f>
        <v>#N/A</v>
      </c>
      <c r="O77" s="62" t="e" cm="1">
        <f t="array" aca="1" ref="O77" ca="1">_xll.RiskOutput()+LOG10(N77)</f>
        <v>#N/A</v>
      </c>
      <c r="Q77" t="s">
        <v>20</v>
      </c>
      <c r="Y77" s="2" t="str">
        <f>"P(ill) from "&amp;Y48</f>
        <v>P(ill) from Level over the threshold</v>
      </c>
      <c r="Z77" s="61" t="e" cm="1">
        <f t="array" aca="1" ref="Z77" ca="1">_xll.RiskOutput()+1-(1+(Z$63/AA$56))^(-Z$56)</f>
        <v>#N/A</v>
      </c>
      <c r="AA77" s="62" t="e" cm="1">
        <f t="array" aca="1" ref="AA77" ca="1">_xll.RiskOutput()+LOG10(Z77)</f>
        <v>#N/A</v>
      </c>
      <c r="AC77" t="s">
        <v>20</v>
      </c>
      <c r="AK77" s="2" t="str">
        <f>"P(ill) from "&amp;AK48</f>
        <v>P(ill) from Level over the threshold</v>
      </c>
      <c r="AL77" s="61" t="e" cm="1">
        <f t="array" aca="1" ref="AL77" ca="1">_xll.RiskOutput()+1-(1+(AL$63/AM$56))^(-AL$56)</f>
        <v>#N/A</v>
      </c>
      <c r="AM77" s="62" t="e" cm="1">
        <f t="array" aca="1" ref="AM77" ca="1">_xll.RiskOutput()+LOG10(AL77)</f>
        <v>#N/A</v>
      </c>
      <c r="AO77" t="s">
        <v>20</v>
      </c>
      <c r="AW77" s="2" t="str">
        <f>"P(ill) from "&amp;AW48</f>
        <v>P(ill) from Level over the threshold</v>
      </c>
      <c r="AX77" s="61" t="e" cm="1">
        <f t="array" aca="1" ref="AX77" ca="1">_xll.RiskOutput()+1-(1+(AX$63/AY$56))^(-AX$56)</f>
        <v>#N/A</v>
      </c>
      <c r="AY77" s="62" t="e" cm="1">
        <f t="array" aca="1" ref="AY77" ca="1">_xll.RiskOutput()+LOG10(AX77)</f>
        <v>#N/A</v>
      </c>
      <c r="BA77" t="s">
        <v>20</v>
      </c>
      <c r="BI77" s="2" t="str">
        <f>"P(ill) from "&amp;BI48</f>
        <v>P(ill) from Level over the threshold</v>
      </c>
      <c r="BJ77" s="61" t="e" cm="1">
        <f t="array" aca="1" ref="BJ77" ca="1">_xll.RiskOutput()+1-(1+(BJ$63/BK$56))^(-BJ$56)</f>
        <v>#N/A</v>
      </c>
      <c r="BK77" s="62" t="e" cm="1">
        <f t="array" aca="1" ref="BK77" ca="1">_xll.RiskOutput()+LOG10(BJ77)</f>
        <v>#N/A</v>
      </c>
      <c r="BM77" t="s">
        <v>20</v>
      </c>
    </row>
    <row r="78" spans="1:71" x14ac:dyDescent="0.25">
      <c r="A78" s="46" t="str">
        <f>A$77&amp;"-mean"</f>
        <v>P(ill) from Level over the threshold-mean</v>
      </c>
      <c r="B78" s="18" cm="1">
        <f t="array" aca="1" ref="B78" ca="1">_xll.RiskMean(B77)</f>
        <v>8.9650213984245766E-6</v>
      </c>
      <c r="C78" s="57" cm="1">
        <f t="array" aca="1" ref="C78" ca="1">_xll.RiskOutput()+LOG10(B78)</f>
        <v>-5.0474486694920246</v>
      </c>
      <c r="M78" s="46" t="str">
        <f>M$77&amp;"-mean"</f>
        <v>P(ill) from Level over the threshold-mean</v>
      </c>
      <c r="N78" s="18" cm="1">
        <f t="array" aca="1" ref="N78" ca="1">_xll.RiskMean(N77)</f>
        <v>1.9604717780939248E-4</v>
      </c>
      <c r="O78" s="57" cm="1">
        <f t="array" aca="1" ref="O78" ca="1">_xll.RiskOutput()+LOG10(N78)</f>
        <v>-3.7076394051905006</v>
      </c>
      <c r="Y78" s="46" t="str">
        <f>Y$77&amp;"-mean"</f>
        <v>P(ill) from Level over the threshold-mean</v>
      </c>
      <c r="Z78" s="18" cm="1">
        <f t="array" aca="1" ref="Z78" ca="1">_xll.RiskMean(Z77)</f>
        <v>1.2472221885735974E-3</v>
      </c>
      <c r="AA78" s="57" cm="1">
        <f t="array" aca="1" ref="AA78" ca="1">_xll.RiskOutput()+LOG10(Z78)</f>
        <v>-2.9040561714807311</v>
      </c>
      <c r="AK78" s="46" t="str">
        <f>AK$77&amp;"-mean"</f>
        <v>P(ill) from Level over the threshold-mean</v>
      </c>
      <c r="AL78" s="18" cm="1">
        <f t="array" aca="1" ref="AL78" ca="1">_xll.RiskMean(AL77)</f>
        <v>3.0543867159871039E-5</v>
      </c>
      <c r="AM78" s="57" cm="1">
        <f t="array" aca="1" ref="AM78" ca="1">_xll.RiskOutput()+LOG10(AL78)</f>
        <v>-4.5150759777619731</v>
      </c>
      <c r="AW78" s="46" t="str">
        <f>AW$77&amp;"-mean"</f>
        <v>P(ill) from Level over the threshold-mean</v>
      </c>
      <c r="AX78" s="18" cm="1">
        <f t="array" aca="1" ref="AX78" ca="1">_xll.RiskMean(AX77)</f>
        <v>2.1024671570937795E-4</v>
      </c>
      <c r="AY78" s="57" cm="1">
        <f t="array" aca="1" ref="AY78" ca="1">_xll.RiskOutput()+LOG10(AX78)</f>
        <v>-3.6772707796462676</v>
      </c>
      <c r="BI78" s="46" t="str">
        <f>BI$77&amp;"-mean"</f>
        <v>P(ill) from Level over the threshold-mean</v>
      </c>
      <c r="BJ78" s="18" cm="1">
        <f t="array" aca="1" ref="BJ78" ca="1">_xll.RiskMean(BJ77)</f>
        <v>6.5571436624309559E-4</v>
      </c>
      <c r="BK78" s="57" cm="1">
        <f t="array" aca="1" ref="BK78" ca="1">_xll.RiskOutput()+LOG10(BJ78)</f>
        <v>-3.1832853011409368</v>
      </c>
    </row>
    <row r="79" spans="1:71" x14ac:dyDescent="0.25">
      <c r="A79" s="46" t="str">
        <f>A$77&amp;"-5th"</f>
        <v>P(ill) from Level over the threshold-5th</v>
      </c>
      <c r="B79" s="19" cm="1">
        <f t="array" aca="1" ref="B79" ca="1">_xll.RiskPercentile(B77,0.05)</f>
        <v>1.8980359506315381E-7</v>
      </c>
      <c r="C79" s="56" cm="1">
        <f t="array" aca="1" ref="C79" ca="1">_xll.RiskOutput()+LOG10(B79)</f>
        <v>-6.7216955658744624</v>
      </c>
      <c r="M79" s="46" t="str">
        <f>M$77&amp;"-5th"</f>
        <v>P(ill) from Level over the threshold-5th</v>
      </c>
      <c r="N79" s="19" cm="1">
        <f t="array" aca="1" ref="N79" ca="1">_xll.RiskPercentile(N77,0.05)</f>
        <v>2.1647393635415568E-5</v>
      </c>
      <c r="O79" s="56" cm="1">
        <f t="array" aca="1" ref="O79" ca="1">_xll.RiskOutput()+LOG10(N79)</f>
        <v>-4.6645943855876029</v>
      </c>
      <c r="Y79" s="46" t="str">
        <f>Y$77&amp;"-5th"</f>
        <v>P(ill) from Level over the threshold-5th</v>
      </c>
      <c r="Z79" s="19" cm="1">
        <f t="array" aca="1" ref="Z79" ca="1">_xll.RiskPercentile(Z77,0.05)</f>
        <v>1.8447536724908176E-4</v>
      </c>
      <c r="AA79" s="56" cm="1">
        <f t="array" aca="1" ref="AA79" ca="1">_xll.RiskOutput()+LOG10(Z79)</f>
        <v>-3.7340616163992415</v>
      </c>
      <c r="AK79" s="46" t="str">
        <f>AK$77&amp;"-5th"</f>
        <v>P(ill) from Level over the threshold-5th</v>
      </c>
      <c r="AL79" s="19" cm="1">
        <f t="array" aca="1" ref="AL79" ca="1">_xll.RiskPercentile(AL77,0.05)</f>
        <v>3.1456952598318821E-9</v>
      </c>
      <c r="AM79" s="56" cm="1">
        <f t="array" aca="1" ref="AM79" ca="1">_xll.RiskOutput()+LOG10(AL79)</f>
        <v>-8.5022833520826619</v>
      </c>
      <c r="AW79" s="46" t="str">
        <f>AW$77&amp;"-5th"</f>
        <v>P(ill) from Level over the threshold-5th</v>
      </c>
      <c r="AX79" s="19" cm="1">
        <f t="array" aca="1" ref="AX79" ca="1">_xll.RiskPercentile(AX77,0.05)</f>
        <v>3.7958547971506107E-7</v>
      </c>
      <c r="AY79" s="56" cm="1">
        <f t="array" aca="1" ref="AY79" ca="1">_xll.RiskOutput()+LOG10(AX79)</f>
        <v>-6.4206904089956307</v>
      </c>
      <c r="BI79" s="46" t="str">
        <f>BI$77&amp;"-5th"</f>
        <v>P(ill) from Level over the threshold-5th</v>
      </c>
      <c r="BJ79" s="19" cm="1">
        <f t="array" aca="1" ref="BJ79" ca="1">_xll.RiskPercentile(BJ77,0.05)</f>
        <v>3.6581309779126769E-6</v>
      </c>
      <c r="BK79" s="56" cm="1">
        <f t="array" aca="1" ref="BK79" ca="1">_xll.RiskOutput()+LOG10(BJ79)</f>
        <v>-5.4367407488414559</v>
      </c>
    </row>
    <row r="80" spans="1:71" x14ac:dyDescent="0.25">
      <c r="A80" s="46" t="str">
        <f>A$77&amp;"-95th"</f>
        <v>P(ill) from Level over the threshold-95th</v>
      </c>
      <c r="B80" s="19" cm="1">
        <f t="array" aca="1" ref="B80" ca="1">_xll.RiskPercentile(B77,0.95)</f>
        <v>2.2293500656966891E-5</v>
      </c>
      <c r="C80" s="56" cm="1">
        <f t="array" aca="1" ref="C80" ca="1">_xll.RiskOutput()+LOG10(B80)</f>
        <v>-4.6518217306838263</v>
      </c>
      <c r="M80" s="46" t="str">
        <f>M$77&amp;"-95th"</f>
        <v>P(ill) from Level over the threshold-95th</v>
      </c>
      <c r="N80" s="19" cm="1">
        <f t="array" aca="1" ref="N80" ca="1">_xll.RiskPercentile(N77,0.95)</f>
        <v>5.6587272792596455E-4</v>
      </c>
      <c r="O80" s="56" cm="1">
        <f t="array" aca="1" ref="O80" ca="1">_xll.RiskOutput()+LOG10(N80)</f>
        <v>-3.2472812362584711</v>
      </c>
      <c r="Y80" s="46" t="str">
        <f>Y$77&amp;"-95th"</f>
        <v>P(ill) from Level over the threshold-95th</v>
      </c>
      <c r="Z80" s="19" cm="1">
        <f t="array" aca="1" ref="Z80" ca="1">_xll.RiskPercentile(Z77,0.95)</f>
        <v>3.6975331286099866E-3</v>
      </c>
      <c r="AA80" s="56" cm="1">
        <f t="array" aca="1" ref="AA80" ca="1">_xll.RiskOutput()+LOG10(Z80)</f>
        <v>-2.4320879261862269</v>
      </c>
      <c r="AK80" s="46" t="str">
        <f>AK$77&amp;"-95th"</f>
        <v>P(ill) from Level over the threshold-95th</v>
      </c>
      <c r="AL80" s="19" cm="1">
        <f t="array" aca="1" ref="AL80" ca="1">_xll.RiskPercentile(AL77,0.95)</f>
        <v>4.320598408047438E-6</v>
      </c>
      <c r="AM80" s="56" cm="1">
        <f t="array" aca="1" ref="AM80" ca="1">_xll.RiskOutput()+LOG10(AL80)</f>
        <v>-5.3644560987140499</v>
      </c>
      <c r="AW80" s="46" t="str">
        <f>AW$77&amp;"-95th"</f>
        <v>P(ill) from Level over the threshold-95th</v>
      </c>
      <c r="AX80" s="19" cm="1">
        <f t="array" aca="1" ref="AX80" ca="1">_xll.RiskPercentile(AX77,0.95)</f>
        <v>1.2391106772935423E-4</v>
      </c>
      <c r="AY80" s="56" cm="1">
        <f t="array" aca="1" ref="AY80" ca="1">_xll.RiskOutput()+LOG10(AX80)</f>
        <v>-3.9068899007335869</v>
      </c>
      <c r="BI80" s="46" t="str">
        <f>BI$77&amp;"-95th"</f>
        <v>P(ill) from Level over the threshold-95th</v>
      </c>
      <c r="BJ80" s="19" cm="1">
        <f t="array" aca="1" ref="BJ80" ca="1">_xll.RiskPercentile(BJ77,0.95)</f>
        <v>7.7845918671515246E-4</v>
      </c>
      <c r="BK80" s="56" cm="1">
        <f t="array" aca="1" ref="BK80" ca="1">_xll.RiskOutput()+LOG10(BJ80)</f>
        <v>-3.1087641518165223</v>
      </c>
    </row>
    <row r="81" spans="1:71" x14ac:dyDescent="0.25">
      <c r="A81" s="52" t="str">
        <f>"P(ill) from " &amp; A50</f>
        <v>P(ill) from Inclusion list &amp; level over the threshold</v>
      </c>
      <c r="B81" s="61" t="e" cm="1">
        <f t="array" aca="1" ref="B81" ca="1">_xll.RiskOutput()+1-(1+(B$64/C$56))^(-B$56)</f>
        <v>#N/A</v>
      </c>
      <c r="C81" s="62" t="e" cm="1">
        <f t="array" aca="1" ref="C81" ca="1">_xll.RiskOutput()+LOG10(B81)</f>
        <v>#N/A</v>
      </c>
      <c r="E81" t="s">
        <v>20</v>
      </c>
      <c r="M81" s="52" t="str">
        <f>"P(ill) from " &amp; M50</f>
        <v>P(ill) from Inclusion list &amp; level over the threshold</v>
      </c>
      <c r="N81" s="61" t="e" cm="1">
        <f t="array" aca="1" ref="N81" ca="1">_xll.RiskOutput()+1-(1+(N$64/O$56))^(-N$56)</f>
        <v>#N/A</v>
      </c>
      <c r="O81" s="62" t="e" cm="1">
        <f t="array" aca="1" ref="O81" ca="1">_xll.RiskOutput()+LOG10(N81)</f>
        <v>#N/A</v>
      </c>
      <c r="Q81" t="s">
        <v>20</v>
      </c>
      <c r="Y81" s="52" t="str">
        <f>"P(ill) from " &amp; Y50</f>
        <v>P(ill) from Inclusion list &amp; level over the threshold</v>
      </c>
      <c r="Z81" s="61" t="e" cm="1">
        <f t="array" aca="1" ref="Z81" ca="1">_xll.RiskOutput()+1-(1+(Z$64/AA$56))^(-Z$56)</f>
        <v>#N/A</v>
      </c>
      <c r="AA81" s="62" t="e" cm="1">
        <f t="array" aca="1" ref="AA81" ca="1">_xll.RiskOutput()+LOG10(Z81)</f>
        <v>#N/A</v>
      </c>
      <c r="AC81" t="s">
        <v>20</v>
      </c>
      <c r="AK81" s="52" t="str">
        <f>"P(ill) from " &amp; AK50</f>
        <v>P(ill) from Inclusion list &amp; level over the threshold</v>
      </c>
      <c r="AL81" s="61" t="e" cm="1">
        <f t="array" aca="1" ref="AL81" ca="1">_xll.RiskOutput()+1-(1+(AL$64/AM$56))^(-AL$56)</f>
        <v>#N/A</v>
      </c>
      <c r="AM81" s="62" t="e" cm="1">
        <f t="array" aca="1" ref="AM81" ca="1">_xll.RiskOutput()+LOG10(AL81)</f>
        <v>#N/A</v>
      </c>
      <c r="AO81" t="s">
        <v>20</v>
      </c>
      <c r="AW81" s="52" t="str">
        <f>"P(ill) from " &amp; AW50</f>
        <v>P(ill) from Inclusion list &amp; level over the threshold</v>
      </c>
      <c r="AX81" s="61" t="e" cm="1">
        <f t="array" aca="1" ref="AX81" ca="1">_xll.RiskOutput()+1-(1+(AX$64/AY$56))^(-AX$56)</f>
        <v>#N/A</v>
      </c>
      <c r="AY81" s="62" t="e" cm="1">
        <f t="array" aca="1" ref="AY81" ca="1">_xll.RiskOutput()+LOG10(AX81)</f>
        <v>#N/A</v>
      </c>
      <c r="BA81" t="s">
        <v>20</v>
      </c>
      <c r="BI81" s="52" t="str">
        <f>"P(ill) from " &amp; BI50</f>
        <v>P(ill) from Inclusion list &amp; level over the threshold</v>
      </c>
      <c r="BJ81" s="61" t="e" cm="1">
        <f t="array" aca="1" ref="BJ81" ca="1">_xll.RiskOutput()+1-(1+(BJ$64/BK$56))^(-BJ$56)</f>
        <v>#N/A</v>
      </c>
      <c r="BK81" s="62" t="e" cm="1">
        <f t="array" aca="1" ref="BK81" ca="1">_xll.RiskOutput()+LOG10(BJ81)</f>
        <v>#N/A</v>
      </c>
      <c r="BM81" t="s">
        <v>20</v>
      </c>
    </row>
    <row r="82" spans="1:71" x14ac:dyDescent="0.25">
      <c r="A82" s="46" t="str">
        <f>A$81&amp;" -mean"</f>
        <v>P(ill) from Inclusion list &amp; level over the threshold -mean</v>
      </c>
      <c r="B82" s="18" cm="1">
        <f t="array" aca="1" ref="B82" ca="1">_xll.RiskMean(B81)</f>
        <v>8.6836145186637567E-6</v>
      </c>
      <c r="C82" s="57" cm="1">
        <f t="array" aca="1" ref="C82" ca="1">_xll.RiskOutput()+LOG10(B82)</f>
        <v>-5.0612994639063578</v>
      </c>
      <c r="M82" s="46" t="str">
        <f>M$81&amp;" -mean"</f>
        <v>P(ill) from Inclusion list &amp; level over the threshold -mean</v>
      </c>
      <c r="N82" s="18" cm="1">
        <f t="array" aca="1" ref="N82" ca="1">_xll.RiskMean(N81)</f>
        <v>1.8426062611190115E-4</v>
      </c>
      <c r="O82" s="57" cm="1">
        <f t="array" aca="1" ref="O82" ca="1">_xll.RiskOutput()+LOG10(N82)</f>
        <v>-3.7345674574515804</v>
      </c>
      <c r="Y82" s="46" t="str">
        <f>Y$81&amp;" -mean"</f>
        <v>P(ill) from Inclusion list &amp; level over the threshold -mean</v>
      </c>
      <c r="Z82" s="18" cm="1">
        <f t="array" aca="1" ref="Z82" ca="1">_xll.RiskMean(Z81)</f>
        <v>1.1554508396468348E-3</v>
      </c>
      <c r="AA82" s="57" cm="1">
        <f t="array" aca="1" ref="AA82" ca="1">_xll.RiskOutput()+LOG10(Z82)</f>
        <v>-2.9372485274884519</v>
      </c>
      <c r="AK82" s="46" t="str">
        <f>AK$81&amp;" -mean"</f>
        <v>P(ill) from Inclusion list &amp; level over the threshold -mean</v>
      </c>
      <c r="AL82" s="18" cm="1">
        <f t="array" aca="1" ref="AL82" ca="1">_xll.RiskMean(AL81)</f>
        <v>3.0108571323022691E-5</v>
      </c>
      <c r="AM82" s="57" cm="1">
        <f t="array" aca="1" ref="AM82" ca="1">_xll.RiskOutput()+LOG10(AL82)</f>
        <v>-4.5213098516359711</v>
      </c>
      <c r="AW82" s="46" t="str">
        <f>AW$81&amp;" -mean"</f>
        <v>P(ill) from Inclusion list &amp; level over the threshold -mean</v>
      </c>
      <c r="AX82" s="18" cm="1">
        <f t="array" aca="1" ref="AX82" ca="1">_xll.RiskMean(AX81)</f>
        <v>2.0458276002879795E-4</v>
      </c>
      <c r="AY82" s="57" cm="1">
        <f t="array" aca="1" ref="AY82" ca="1">_xll.RiskOutput()+LOG10(AX82)</f>
        <v>-3.6891309666151715</v>
      </c>
      <c r="BI82" s="46" t="str">
        <f>BI$81&amp;" -mean"</f>
        <v>P(ill) from Inclusion list &amp; level over the threshold -mean</v>
      </c>
      <c r="BJ82" s="18" cm="1">
        <f t="array" aca="1" ref="BJ82" ca="1">_xll.RiskMean(BJ81)</f>
        <v>6.5964487952879433E-4</v>
      </c>
      <c r="BK82" s="57" cm="1">
        <f t="array" aca="1" ref="BK82" ca="1">_xll.RiskOutput()+LOG10(BJ82)</f>
        <v>-3.1806898044091905</v>
      </c>
    </row>
    <row r="83" spans="1:71" x14ac:dyDescent="0.25">
      <c r="A83" s="46" t="str">
        <f>A$81&amp;" -5th"</f>
        <v>P(ill) from Inclusion list &amp; level over the threshold -5th</v>
      </c>
      <c r="B83" s="19" cm="1">
        <f t="array" aca="1" ref="B83" ca="1">_xll.RiskPercentile(B81,0.05)</f>
        <v>1.8983030869446083E-7</v>
      </c>
      <c r="C83" s="56" cm="1">
        <f t="array" aca="1" ref="C83" ca="1">_xll.RiskOutput()+LOG10(B83)</f>
        <v>-6.7216344460294088</v>
      </c>
      <c r="M83" s="46" t="str">
        <f>M$81&amp;" -5th"</f>
        <v>P(ill) from Inclusion list &amp; level over the threshold -5th</v>
      </c>
      <c r="N83" s="19" cm="1">
        <f t="array" aca="1" ref="N83" ca="1">_xll.RiskPercentile(N81,0.05)</f>
        <v>2.0988527451026862E-5</v>
      </c>
      <c r="O83" s="56" cm="1">
        <f t="array" aca="1" ref="O83" ca="1">_xll.RiskOutput()+LOG10(N83)</f>
        <v>-4.6780180303231313</v>
      </c>
      <c r="Y83" s="46" t="str">
        <f>Y$81&amp;" -5th"</f>
        <v>P(ill) from Inclusion list &amp; level over the threshold -5th</v>
      </c>
      <c r="Z83" s="19" cm="1">
        <f t="array" aca="1" ref="Z83" ca="1">_xll.RiskPercentile(Z81,0.05)</f>
        <v>1.8447536724908176E-4</v>
      </c>
      <c r="AA83" s="56" cm="1">
        <f t="array" aca="1" ref="AA83" ca="1">_xll.RiskOutput()+LOG10(Z83)</f>
        <v>-3.7340616163992415</v>
      </c>
      <c r="AK83" s="46" t="str">
        <f>AK$81&amp;" -5th"</f>
        <v>P(ill) from Inclusion list &amp; level over the threshold -5th</v>
      </c>
      <c r="AL83" s="19" cm="1">
        <f t="array" aca="1" ref="AL83" ca="1">_xll.RiskPercentile(AL81,0.05)</f>
        <v>3.1397153765766461E-9</v>
      </c>
      <c r="AM83" s="56" cm="1">
        <f t="array" aca="1" ref="AM83" ca="1">_xll.RiskOutput()+LOG10(AL83)</f>
        <v>-8.503109720074816</v>
      </c>
      <c r="AW83" s="46" t="str">
        <f>AW$81&amp;" -5th"</f>
        <v>P(ill) from Inclusion list &amp; level over the threshold -5th</v>
      </c>
      <c r="AX83" s="19" cm="1">
        <f t="array" aca="1" ref="AX83" ca="1">_xll.RiskPercentile(AX81,0.05)</f>
        <v>3.800509874585245E-7</v>
      </c>
      <c r="AY83" s="56" cm="1">
        <f t="array" aca="1" ref="AY83" ca="1">_xll.RiskOutput()+LOG10(AX83)</f>
        <v>-6.4201581347346854</v>
      </c>
      <c r="BI83" s="46" t="str">
        <f>BI$81&amp;" -5th"</f>
        <v>P(ill) from Inclusion list &amp; level over the threshold -5th</v>
      </c>
      <c r="BJ83" s="19" cm="1">
        <f t="array" aca="1" ref="BJ83" ca="1">_xll.RiskPercentile(BJ81,0.05)</f>
        <v>3.6869193235089526E-6</v>
      </c>
      <c r="BK83" s="56" cm="1">
        <f t="array" aca="1" ref="BK83" ca="1">_xll.RiskOutput()+LOG10(BJ83)</f>
        <v>-5.4333363654419493</v>
      </c>
    </row>
    <row r="84" spans="1:71" x14ac:dyDescent="0.25">
      <c r="A84" s="46" t="str">
        <f>A$81&amp;" -95th"</f>
        <v>P(ill) from Inclusion list &amp; level over the threshold -95th</v>
      </c>
      <c r="B84" s="19" cm="1">
        <f t="array" aca="1" ref="B84" ca="1">_xll.RiskPercentile(B81,0.95)</f>
        <v>2.2375837191557224E-5</v>
      </c>
      <c r="C84" s="56" cm="1">
        <f t="array" aca="1" ref="C84" ca="1">_xll.RiskOutput()+LOG10(B84)</f>
        <v>-4.6502207065876169</v>
      </c>
      <c r="M84" s="46" t="str">
        <f>M$81&amp;" -95th"</f>
        <v>P(ill) from Inclusion list &amp; level over the threshold -95th</v>
      </c>
      <c r="N84" s="19" cm="1">
        <f t="array" aca="1" ref="N84" ca="1">_xll.RiskPercentile(N81,0.95)</f>
        <v>5.4468659380657591E-4</v>
      </c>
      <c r="O84" s="56" cm="1">
        <f t="array" aca="1" ref="O84" ca="1">_xll.RiskOutput()+LOG10(N84)</f>
        <v>-3.263853313743716</v>
      </c>
      <c r="Y84" s="46" t="str">
        <f>Y$81&amp;" -95th"</f>
        <v>P(ill) from Inclusion list &amp; level over the threshold -95th</v>
      </c>
      <c r="Z84" s="19" cm="1">
        <f t="array" aca="1" ref="Z84" ca="1">_xll.RiskPercentile(Z81,0.95)</f>
        <v>3.6975331286099866E-3</v>
      </c>
      <c r="AA84" s="56" cm="1">
        <f t="array" aca="1" ref="AA84" ca="1">_xll.RiskOutput()+LOG10(Z84)</f>
        <v>-2.4320879261862269</v>
      </c>
      <c r="AK84" s="46" t="str">
        <f>AK$81&amp;" -95th"</f>
        <v>P(ill) from Inclusion list &amp; level over the threshold -95th</v>
      </c>
      <c r="AL84" s="19" cm="1">
        <f t="array" aca="1" ref="AL84" ca="1">_xll.RiskPercentile(AL81,0.95)</f>
        <v>4.2331852143639992E-6</v>
      </c>
      <c r="AM84" s="56" cm="1">
        <f t="array" aca="1" ref="AM84" ca="1">_xll.RiskOutput()+LOG10(AL84)</f>
        <v>-5.3733327294431792</v>
      </c>
      <c r="AW84" s="46" t="str">
        <f>AW$81&amp;" -95th"</f>
        <v>P(ill) from Inclusion list &amp; level over the threshold -95th</v>
      </c>
      <c r="AX84" s="19" cm="1">
        <f t="array" aca="1" ref="AX84" ca="1">_xll.RiskPercentile(AX81,0.95)</f>
        <v>1.2009100983867427E-4</v>
      </c>
      <c r="AY84" s="56" cm="1">
        <f t="array" aca="1" ref="AY84" ca="1">_xll.RiskOutput()+LOG10(AX84)</f>
        <v>-3.920489503201547</v>
      </c>
      <c r="BI84" s="46" t="str">
        <f>BI$81&amp;" -95th"</f>
        <v>P(ill) from Inclusion list &amp; level over the threshold -95th</v>
      </c>
      <c r="BJ84" s="19" cm="1">
        <f t="array" aca="1" ref="BJ84" ca="1">_xll.RiskPercentile(BJ81,0.95)</f>
        <v>7.0785550403773545E-4</v>
      </c>
      <c r="BK84" s="56" cm="1">
        <f t="array" aca="1" ref="BK84" ca="1">_xll.RiskOutput()+LOG10(BJ84)</f>
        <v>-3.1500553866656862</v>
      </c>
    </row>
    <row r="85" spans="1:71" x14ac:dyDescent="0.25">
      <c r="A85" s="52" t="str">
        <f>"P(ill) from "&amp;A$52</f>
        <v>P(ill) from Serotype Kentucky &amp; level over the threshold</v>
      </c>
      <c r="B85" s="61" t="e" cm="1">
        <f t="array" aca="1" ref="B85" ca="1">_xll.RiskOutput()+1-(1+(B$65/C$56))^(-B$56)</f>
        <v>#N/A</v>
      </c>
      <c r="C85" s="62" t="e" cm="1">
        <f t="array" aca="1" ref="C85" ca="1">_xll.RiskOutput()+LOG10(B85)</f>
        <v>#N/A</v>
      </c>
      <c r="E85" t="s">
        <v>20</v>
      </c>
      <c r="M85" s="52" t="str">
        <f>"P(ill) from "&amp;M$52</f>
        <v>P(ill) from Serotype Kentucky &amp; level over the threshold</v>
      </c>
      <c r="N85" s="61" t="e" cm="1">
        <f t="array" aca="1" ref="N85" ca="1">_xll.RiskOutput()+1-(1+(N$65/O$56))^(-N$56)</f>
        <v>#N/A</v>
      </c>
      <c r="O85" s="62" t="e" cm="1">
        <f t="array" aca="1" ref="O85" ca="1">_xll.RiskOutput()+LOG10(N85)</f>
        <v>#N/A</v>
      </c>
      <c r="Q85" t="s">
        <v>20</v>
      </c>
      <c r="Y85" s="52" t="str">
        <f>"P(ill) from "&amp;Y$52</f>
        <v>P(ill) from Serotype Kentucky &amp; level over the threshold</v>
      </c>
      <c r="Z85" s="61" t="e" cm="1">
        <f t="array" aca="1" ref="Z85" ca="1">_xll.RiskOutput()+1-(1+(Z$65/AA$56))^(-Z$56)</f>
        <v>#N/A</v>
      </c>
      <c r="AA85" s="62" t="e" cm="1">
        <f t="array" aca="1" ref="AA85" ca="1">_xll.RiskOutput()+LOG10(Z85)</f>
        <v>#N/A</v>
      </c>
      <c r="AC85" t="s">
        <v>20</v>
      </c>
      <c r="AK85" s="52" t="str">
        <f>"P(ill) from "&amp;AK$52</f>
        <v>P(ill) from Serotype Kentucky &amp; level over the threshold</v>
      </c>
      <c r="AL85" s="61" t="e" cm="1">
        <f t="array" aca="1" ref="AL85" ca="1">_xll.RiskOutput()+1-(1+(AL$65/AM$56))^(-AL$56)</f>
        <v>#N/A</v>
      </c>
      <c r="AM85" s="62" t="e" cm="1">
        <f t="array" aca="1" ref="AM85" ca="1">_xll.RiskOutput()+LOG10(AL85)</f>
        <v>#N/A</v>
      </c>
      <c r="AO85" t="s">
        <v>20</v>
      </c>
      <c r="AW85" s="52" t="str">
        <f>"P(ill) from "&amp;AW$52</f>
        <v>P(ill) from Serotype Kentucky &amp; level over the threshold</v>
      </c>
      <c r="AX85" s="61" t="e" cm="1">
        <f t="array" aca="1" ref="AX85" ca="1">_xll.RiskOutput()+1-(1+(AX$65/AY$56))^(-AX$56)</f>
        <v>#N/A</v>
      </c>
      <c r="AY85" s="62" t="e" cm="1">
        <f t="array" aca="1" ref="AY85" ca="1">_xll.RiskOutput()+LOG10(AX85)</f>
        <v>#N/A</v>
      </c>
      <c r="BA85" t="s">
        <v>20</v>
      </c>
      <c r="BI85" s="52" t="str">
        <f>"P(ill) from "&amp;BI$52</f>
        <v>P(ill) from Serotype Kentucky &amp; level over the threshold</v>
      </c>
      <c r="BJ85" s="61" t="e" cm="1">
        <f t="array" aca="1" ref="BJ85" ca="1">_xll.RiskOutput()+1-(1+(BJ$65/BK$56))^(-BJ$56)</f>
        <v>#N/A</v>
      </c>
      <c r="BK85" s="62" t="e" cm="1">
        <f t="array" aca="1" ref="BK85" ca="1">_xll.RiskOutput()+LOG10(BJ85)</f>
        <v>#N/A</v>
      </c>
      <c r="BM85" t="s">
        <v>20</v>
      </c>
    </row>
    <row r="86" spans="1:71" x14ac:dyDescent="0.25">
      <c r="A86" s="46" t="str">
        <f>A$85&amp; " -mean"</f>
        <v>P(ill) from Serotype Kentucky &amp; level over the threshold -mean</v>
      </c>
      <c r="B86" s="18" cm="1">
        <f t="array" aca="1" ref="B86" ca="1">_xll.RiskMean(B85)</f>
        <v>9.284822806873382E-6</v>
      </c>
      <c r="C86" s="57" cm="1">
        <f t="array" aca="1" ref="C86" ca="1">_xll.RiskOutput()+LOG10(B86)</f>
        <v>-5.0322263799943592</v>
      </c>
      <c r="M86" s="46" t="str">
        <f>M$85&amp; " -mean"</f>
        <v>P(ill) from Serotype Kentucky &amp; level over the threshold -mean</v>
      </c>
      <c r="N86" s="18" cm="1">
        <f t="array" aca="1" ref="N86" ca="1">_xll.RiskMean(N85)</f>
        <v>2.1508920571273879E-4</v>
      </c>
      <c r="O86" s="57" cm="1">
        <f t="array" aca="1" ref="O86" ca="1">_xll.RiskOutput()+LOG10(N86)</f>
        <v>-3.6673813842058576</v>
      </c>
      <c r="Y86" s="46" t="str">
        <f>Y$85&amp; " -mean"</f>
        <v>P(ill) from Serotype Kentucky &amp; level over the threshold -mean</v>
      </c>
      <c r="Z86" s="18" cm="1">
        <f t="array" aca="1" ref="Z86" ca="1">_xll.RiskMean(Z85)</f>
        <v>1.4534919731768112E-3</v>
      </c>
      <c r="AA86" s="57" cm="1">
        <f t="array" aca="1" ref="AA86" ca="1">_xll.RiskOutput()+LOG10(Z86)</f>
        <v>-2.8375873622524415</v>
      </c>
      <c r="AK86" s="46" t="str">
        <f>AK$85&amp; " -mean"</f>
        <v>P(ill) from Serotype Kentucky &amp; level over the threshold -mean</v>
      </c>
      <c r="AL86" s="18" cm="1">
        <f t="array" aca="1" ref="AL86" ca="1">_xll.RiskMean(AL85)</f>
        <v>2.8367060678300412E-5</v>
      </c>
      <c r="AM86" s="57" cm="1">
        <f t="array" aca="1" ref="AM86" ca="1">_xll.RiskOutput()+LOG10(AL86)</f>
        <v>-4.5471856623475322</v>
      </c>
      <c r="AW86" s="46" t="str">
        <f>AW$85&amp; " -mean"</f>
        <v>P(ill) from Serotype Kentucky &amp; level over the threshold -mean</v>
      </c>
      <c r="AX86" s="18" cm="1">
        <f t="array" aca="1" ref="AX86" ca="1">_xll.RiskMean(AX85)</f>
        <v>1.9858429025694334E-4</v>
      </c>
      <c r="AY86" s="57" cm="1">
        <f t="array" aca="1" ref="AY86" ca="1">_xll.RiskOutput()+LOG10(AX86)</f>
        <v>-3.7020551109492992</v>
      </c>
      <c r="BI86" s="46" t="str">
        <f>BI$85&amp; " -mean"</f>
        <v>P(ill) from Serotype Kentucky &amp; level over the threshold -mean</v>
      </c>
      <c r="BJ86" s="18" cm="1">
        <f t="array" aca="1" ref="BJ86" ca="1">_xll.RiskMean(BJ85)</f>
        <v>6.1758690450632861E-4</v>
      </c>
      <c r="BK86" s="57" cm="1">
        <f t="array" aca="1" ref="BK86" ca="1">_xll.RiskOutput()+LOG10(BJ86)</f>
        <v>-3.2093019214821266</v>
      </c>
    </row>
    <row r="87" spans="1:71" x14ac:dyDescent="0.25">
      <c r="A87" s="46" t="str">
        <f>A$85&amp; " -5th"</f>
        <v>P(ill) from Serotype Kentucky &amp; level over the threshold -5th</v>
      </c>
      <c r="B87" s="19" cm="1">
        <f t="array" aca="1" ref="B87" ca="1">_xll.RiskPercentile(B85,0.05)</f>
        <v>1.8982841953896212E-7</v>
      </c>
      <c r="C87" s="56" cm="1">
        <f t="array" aca="1" ref="C87" ca="1">_xll.RiskOutput()+LOG10(B87)</f>
        <v>-6.721638768067848</v>
      </c>
      <c r="M87" s="46" t="str">
        <f>M$85&amp; " -5th"</f>
        <v>P(ill) from Serotype Kentucky &amp; level over the threshold -5th</v>
      </c>
      <c r="N87" s="19" cm="1">
        <f t="array" aca="1" ref="N87" ca="1">_xll.RiskPercentile(N85,0.05)</f>
        <v>2.2599398383338354E-5</v>
      </c>
      <c r="O87" s="56" cm="1">
        <f t="array" aca="1" ref="O87" ca="1">_xll.RiskOutput()+LOG10(N87)</f>
        <v>-4.6459031220151692</v>
      </c>
      <c r="Y87" s="46" t="str">
        <f>Y$85&amp; " -5th"</f>
        <v>P(ill) from Serotype Kentucky &amp; level over the threshold -5th</v>
      </c>
      <c r="Z87" s="19" cm="1">
        <f t="array" aca="1" ref="Z87" ca="1">_xll.RiskPercentile(Z85,0.05)</f>
        <v>1.9973937925932272E-4</v>
      </c>
      <c r="AA87" s="56" cm="1">
        <f t="array" aca="1" ref="AA87" ca="1">_xll.RiskOutput()+LOG10(Z87)</f>
        <v>-3.6995363041376188</v>
      </c>
      <c r="AK87" s="46" t="str">
        <f>AK$85&amp; " -5th"</f>
        <v>P(ill) from Serotype Kentucky &amp; level over the threshold -5th</v>
      </c>
      <c r="AL87" s="19" cm="1">
        <f t="array" aca="1" ref="AL87" ca="1">_xll.RiskPercentile(AL85,0.05)</f>
        <v>3.1329545624458888E-9</v>
      </c>
      <c r="AM87" s="56" cm="1">
        <f t="array" aca="1" ref="AM87" ca="1">_xll.RiskOutput()+LOG10(AL87)</f>
        <v>-8.5040459036890308</v>
      </c>
      <c r="AW87" s="46" t="str">
        <f>AW$85&amp; " -5th"</f>
        <v>P(ill) from Serotype Kentucky &amp; level over the threshold -5th</v>
      </c>
      <c r="AX87" s="19" cm="1">
        <f t="array" aca="1" ref="AX87" ca="1">_xll.RiskPercentile(AX85,0.05)</f>
        <v>3.7469043079330078E-7</v>
      </c>
      <c r="AY87" s="56" cm="1">
        <f t="array" aca="1" ref="AY87" ca="1">_xll.RiskOutput()+LOG10(AX87)</f>
        <v>-6.4263273981971905</v>
      </c>
      <c r="BI87" s="46" t="str">
        <f>BI$85&amp; " -5th"</f>
        <v>P(ill) from Serotype Kentucky &amp; level over the threshold -5th</v>
      </c>
      <c r="BJ87" s="19" cm="1">
        <f t="array" aca="1" ref="BJ87" ca="1">_xll.RiskPercentile(BJ85,0.05)</f>
        <v>3.528161189980672E-6</v>
      </c>
      <c r="BK87" s="56" cm="1">
        <f t="array" aca="1" ref="BK87" ca="1">_xll.RiskOutput()+LOG10(BJ87)</f>
        <v>-5.452451581612781</v>
      </c>
    </row>
    <row r="88" spans="1:71" x14ac:dyDescent="0.25">
      <c r="A88" s="46" t="str">
        <f>A$85&amp; " -95th"</f>
        <v>P(ill) from Serotype Kentucky &amp; level over the threshold -95th</v>
      </c>
      <c r="B88" s="19" cm="1">
        <f t="array" aca="1" ref="B88" ca="1">_xll.RiskPercentile(B85,0.95)</f>
        <v>2.1822046832320474E-5</v>
      </c>
      <c r="C88" s="56" cm="1">
        <f t="array" aca="1" ref="C88" ca="1">_xll.RiskOutput()+LOG10(B88)</f>
        <v>-4.6611045165207443</v>
      </c>
      <c r="M88" s="46" t="str">
        <f>M$85&amp; " -95th"</f>
        <v>P(ill) from Serotype Kentucky &amp; level over the threshold -95th</v>
      </c>
      <c r="N88" s="19" cm="1">
        <f t="array" aca="1" ref="N88" ca="1">_xll.RiskPercentile(N85,0.95)</f>
        <v>5.600495921703752E-4</v>
      </c>
      <c r="O88" s="56" cm="1">
        <f t="array" aca="1" ref="O88" ca="1">_xll.RiskOutput()+LOG10(N88)</f>
        <v>-3.2517735146860529</v>
      </c>
      <c r="Y88" s="46" t="str">
        <f>Y$85&amp; " -95th"</f>
        <v>P(ill) from Serotype Kentucky &amp; level over the threshold -95th</v>
      </c>
      <c r="Z88" s="19" cm="1">
        <f t="array" aca="1" ref="Z88" ca="1">_xll.RiskPercentile(Z85,0.95)</f>
        <v>5.0001092674846204E-3</v>
      </c>
      <c r="AA88" s="56" cm="1">
        <f t="array" aca="1" ref="AA88" ca="1">_xll.RiskOutput()+LOG10(Z88)</f>
        <v>-2.3010205049145593</v>
      </c>
      <c r="AK88" s="46" t="str">
        <f>AK$85&amp; " -95th"</f>
        <v>P(ill) from Serotype Kentucky &amp; level over the threshold -95th</v>
      </c>
      <c r="AL88" s="19" cm="1">
        <f t="array" aca="1" ref="AL88" ca="1">_xll.RiskPercentile(AL85,0.95)</f>
        <v>4.2321205183659671E-6</v>
      </c>
      <c r="AM88" s="56" cm="1">
        <f t="array" aca="1" ref="AM88" ca="1">_xll.RiskOutput()+LOG10(AL88)</f>
        <v>-5.3734419733651082</v>
      </c>
      <c r="AW88" s="46" t="str">
        <f>AW$85&amp; " -95th"</f>
        <v>P(ill) from Serotype Kentucky &amp; level over the threshold -95th</v>
      </c>
      <c r="AX88" s="19" cm="1">
        <f t="array" aca="1" ref="AX88" ca="1">_xll.RiskPercentile(AX85,0.95)</f>
        <v>1.267746611799403E-4</v>
      </c>
      <c r="AY88" s="56" cm="1">
        <f t="array" aca="1" ref="AY88" ca="1">_xll.RiskOutput()+LOG10(AX88)</f>
        <v>-3.8969675414811653</v>
      </c>
      <c r="BI88" s="46" t="str">
        <f>BI$85&amp; " -95th"</f>
        <v>P(ill) from Serotype Kentucky &amp; level over the threshold -95th</v>
      </c>
      <c r="BJ88" s="19" cm="1">
        <f t="array" aca="1" ref="BJ88" ca="1">_xll.RiskPercentile(BJ85,0.95)</f>
        <v>8.0919031997672697E-4</v>
      </c>
      <c r="BK88" s="56" cm="1">
        <f t="array" aca="1" ref="BK88" ca="1">_xll.RiskOutput()+LOG10(BJ88)</f>
        <v>-3.0919493211630189</v>
      </c>
    </row>
    <row r="89" spans="1:71" x14ac:dyDescent="0.25">
      <c r="A89" s="52" t="str">
        <f>"P(ill) from "&amp;A$54</f>
        <v>P(ill) from Serotype not Kentucky &amp; level over the threshold</v>
      </c>
      <c r="B89" s="61" t="e" cm="1">
        <f t="array" aca="1" ref="B89" ca="1">_xll.RiskOutput()+1-(1+(B$66/C$56))^(-B$56)</f>
        <v>#N/A</v>
      </c>
      <c r="C89" s="62" t="e" cm="1">
        <f t="array" aca="1" ref="C89" ca="1">_xll.RiskOutput()+LOG10(B89)</f>
        <v>#N/A</v>
      </c>
      <c r="E89" t="s">
        <v>20</v>
      </c>
      <c r="M89" s="52" t="str">
        <f>"P(ill) from "&amp;M$54</f>
        <v>P(ill) from Serotype not Kentucky &amp; level over the threshold</v>
      </c>
      <c r="N89" s="61" t="e" cm="1">
        <f t="array" aca="1" ref="N89" ca="1">_xll.RiskOutput()+1-(1+(N$66/O$56))^(-N$56)</f>
        <v>#N/A</v>
      </c>
      <c r="O89" s="62" t="e" cm="1">
        <f t="array" aca="1" ref="O89" ca="1">_xll.RiskOutput()+LOG10(N89)</f>
        <v>#N/A</v>
      </c>
      <c r="Q89" t="s">
        <v>20</v>
      </c>
      <c r="Y89" s="52" t="str">
        <f>"P(ill) from "&amp;Y$54</f>
        <v>P(ill) from Serotype not Kentucky &amp; level over the threshold</v>
      </c>
      <c r="Z89" s="61" t="e" cm="1">
        <f t="array" aca="1" ref="Z89" ca="1">_xll.RiskOutput()+1-(1+(Z$66/AA$56))^(-Z$56)</f>
        <v>#N/A</v>
      </c>
      <c r="AA89" s="62" t="e" cm="1">
        <f t="array" aca="1" ref="AA89" ca="1">_xll.RiskOutput()+LOG10(Z89)</f>
        <v>#N/A</v>
      </c>
      <c r="AC89" t="s">
        <v>20</v>
      </c>
      <c r="AK89" s="52" t="str">
        <f>"P(ill) from "&amp;AK$54</f>
        <v>P(ill) from Serotype not Kentucky &amp; level over the threshold</v>
      </c>
      <c r="AL89" s="61" t="e" cm="1">
        <f t="array" aca="1" ref="AL89" ca="1">_xll.RiskOutput()+1-(1+(AL$66/AM$56))^(-AL$56)</f>
        <v>#N/A</v>
      </c>
      <c r="AM89" s="62" t="e" cm="1">
        <f t="array" aca="1" ref="AM89" ca="1">_xll.RiskOutput()+LOG10(AL89)</f>
        <v>#N/A</v>
      </c>
      <c r="AO89" t="s">
        <v>20</v>
      </c>
      <c r="AW89" s="52" t="str">
        <f>"P(ill) from "&amp;AW$54</f>
        <v>P(ill) from Serotype not Kentucky &amp; level over the threshold</v>
      </c>
      <c r="AX89" s="61" t="e" cm="1">
        <f t="array" aca="1" ref="AX89" ca="1">_xll.RiskOutput()+1-(1+(AX$66/AY$56))^(-AX$56)</f>
        <v>#N/A</v>
      </c>
      <c r="AY89" s="62" t="e" cm="1">
        <f t="array" aca="1" ref="AY89" ca="1">_xll.RiskOutput()+LOG10(AX89)</f>
        <v>#N/A</v>
      </c>
      <c r="BA89" t="s">
        <v>20</v>
      </c>
      <c r="BI89" s="52" t="str">
        <f>"P(ill) from "&amp;BI$54</f>
        <v>P(ill) from Serotype not Kentucky &amp; level over the threshold</v>
      </c>
      <c r="BJ89" s="61" t="e" cm="1">
        <f t="array" aca="1" ref="BJ89" ca="1">_xll.RiskOutput()+1-(1+(BJ$66/BK$56))^(-BJ$56)</f>
        <v>#N/A</v>
      </c>
      <c r="BK89" s="62" t="e" cm="1">
        <f t="array" aca="1" ref="BK89" ca="1">_xll.RiskOutput()+LOG10(BJ89)</f>
        <v>#N/A</v>
      </c>
      <c r="BM89" t="s">
        <v>20</v>
      </c>
    </row>
    <row r="90" spans="1:71" x14ac:dyDescent="0.25">
      <c r="A90" s="46" t="str">
        <f>A$89&amp; " -mean"</f>
        <v>P(ill) from Serotype not Kentucky &amp; level over the threshold -mean</v>
      </c>
      <c r="B90" s="18" cm="1">
        <f t="array" aca="1" ref="B90" ca="1">_xll.RiskMean(B89)</f>
        <v>8.832491343537745E-6</v>
      </c>
      <c r="C90" s="57" cm="1">
        <f t="array" aca="1" ref="C90" ca="1">_xll.RiskOutput()+LOG10(B90)</f>
        <v>-5.0539167795320221</v>
      </c>
      <c r="M90" s="46" t="str">
        <f>M$89&amp; " -mean"</f>
        <v>P(ill) from Serotype not Kentucky &amp; level over the threshold -mean</v>
      </c>
      <c r="N90" s="18" cm="1">
        <f t="array" aca="1" ref="N90" ca="1">_xll.RiskMean(N89)</f>
        <v>1.8863805290781019E-4</v>
      </c>
      <c r="O90" s="57" cm="1">
        <f t="array" aca="1" ref="O90" ca="1">_xll.RiskOutput()+LOG10(N90)</f>
        <v>-3.7243706949449038</v>
      </c>
      <c r="Y90" s="46" t="str">
        <f>Y$89&amp; " -mean"</f>
        <v>P(ill) from Serotype not Kentucky &amp; level over the threshold -mean</v>
      </c>
      <c r="Z90" s="18" cm="1">
        <f t="array" aca="1" ref="Z90" ca="1">_xll.RiskMean(Z89)</f>
        <v>1.1670061612279029E-3</v>
      </c>
      <c r="AA90" s="57" cm="1">
        <f t="array" aca="1" ref="AA90" ca="1">_xll.RiskOutput()+LOG10(Z90)</f>
        <v>-2.932926851083836</v>
      </c>
      <c r="AK90" s="46" t="str">
        <f>AK$89&amp; " -mean"</f>
        <v>P(ill) from Serotype not Kentucky &amp; level over the threshold -mean</v>
      </c>
      <c r="AL90" s="18" cm="1">
        <f t="array" aca="1" ref="AL90" ca="1">_xll.RiskMean(AL89)</f>
        <v>3.1430868343557339E-5</v>
      </c>
      <c r="AM90" s="57" cm="1">
        <f t="array" aca="1" ref="AM90" ca="1">_xll.RiskOutput()+LOG10(AL90)</f>
        <v>-4.5026436205221598</v>
      </c>
      <c r="AW90" s="46" t="str">
        <f>AW$89&amp; " -mean"</f>
        <v>P(ill) from Serotype not Kentucky &amp; level over the threshold -mean</v>
      </c>
      <c r="AX90" s="18" cm="1">
        <f t="array" aca="1" ref="AX90" ca="1">_xll.RiskMean(AX89)</f>
        <v>2.1488660540550897E-4</v>
      </c>
      <c r="AY90" s="57" cm="1">
        <f t="array" aca="1" ref="AY90" ca="1">_xll.RiskOutput()+LOG10(AX90)</f>
        <v>-3.6677906546796764</v>
      </c>
      <c r="BI90" s="46" t="str">
        <f>BI$89&amp; " -mean"</f>
        <v>P(ill) from Serotype not Kentucky &amp; level over the threshold -mean</v>
      </c>
      <c r="BJ90" s="18" cm="1">
        <f t="array" aca="1" ref="BJ90" ca="1">_xll.RiskMean(BJ89)</f>
        <v>6.7093736747964874E-4</v>
      </c>
      <c r="BK90" s="57" cm="1">
        <f t="array" aca="1" ref="BK90" ca="1">_xll.RiskOutput()+LOG10(BJ90)</f>
        <v>-3.1733180196634252</v>
      </c>
    </row>
    <row r="91" spans="1:71" x14ac:dyDescent="0.25">
      <c r="A91" s="46" t="str">
        <f>A$89&amp; " -5th"</f>
        <v>P(ill) from Serotype not Kentucky &amp; level over the threshold -5th</v>
      </c>
      <c r="B91" s="19" cm="1">
        <f t="array" aca="1" ref="B91" ca="1">_xll.RiskPercentile(B89,0.05)</f>
        <v>1.8980324001383053E-7</v>
      </c>
      <c r="C91" s="56" cm="1">
        <f t="array" aca="1" ref="C91" ca="1">_xll.RiskOutput()+LOG10(B91)</f>
        <v>-6.7216963782726999</v>
      </c>
      <c r="M91" s="46" t="str">
        <f>M$89&amp; " -5th"</f>
        <v>P(ill) from Serotype not Kentucky &amp; level over the threshold -5th</v>
      </c>
      <c r="N91" s="19" cm="1">
        <f t="array" aca="1" ref="N91" ca="1">_xll.RiskPercentile(N89,0.05)</f>
        <v>2.1050773350017593E-5</v>
      </c>
      <c r="O91" s="56" cm="1">
        <f t="array" aca="1" ref="O91" ca="1">_xll.RiskOutput()+LOG10(N91)</f>
        <v>-4.6767319446988207</v>
      </c>
      <c r="Y91" s="46" t="str">
        <f>Y$89&amp; " -5th"</f>
        <v>P(ill) from Serotype not Kentucky &amp; level over the threshold -5th</v>
      </c>
      <c r="Z91" s="19" cm="1">
        <f t="array" aca="1" ref="Z91" ca="1">_xll.RiskPercentile(Z89,0.05)</f>
        <v>1.8176456054364021E-4</v>
      </c>
      <c r="AA91" s="56" cm="1">
        <f t="array" aca="1" ref="AA91" ca="1">_xll.RiskOutput()+LOG10(Z91)</f>
        <v>-3.7404907892146189</v>
      </c>
      <c r="AK91" s="46" t="str">
        <f>AK$89&amp; " -5th"</f>
        <v>P(ill) from Serotype not Kentucky &amp; level over the threshold -5th</v>
      </c>
      <c r="AL91" s="19" cm="1">
        <f t="array" aca="1" ref="AL91" ca="1">_xll.RiskPercentile(AL89,0.05)</f>
        <v>3.1533009536843792E-9</v>
      </c>
      <c r="AM91" s="56" cm="1">
        <f t="array" aca="1" ref="AM91" ca="1">_xll.RiskOutput()+LOG10(AL91)</f>
        <v>-8.5012345778448459</v>
      </c>
      <c r="AW91" s="46" t="str">
        <f>AW$89&amp; " -5th"</f>
        <v>P(ill) from Serotype not Kentucky &amp; level over the threshold -5th</v>
      </c>
      <c r="AX91" s="19" cm="1">
        <f t="array" aca="1" ref="AX91" ca="1">_xll.RiskPercentile(AX89,0.05)</f>
        <v>3.8207959562885918E-7</v>
      </c>
      <c r="AY91" s="56" cm="1">
        <f t="array" aca="1" ref="AY91" ca="1">_xll.RiskOutput()+LOG10(AX91)</f>
        <v>-6.4178461545188838</v>
      </c>
      <c r="BI91" s="46" t="str">
        <f>BI$89&amp; " -5th"</f>
        <v>P(ill) from Serotype not Kentucky &amp; level over the threshold -5th</v>
      </c>
      <c r="BJ91" s="19" cm="1">
        <f t="array" aca="1" ref="BJ91" ca="1">_xll.RiskPercentile(BJ89,0.05)</f>
        <v>3.7127647322110491E-6</v>
      </c>
      <c r="BK91" s="56" cm="1">
        <f t="array" aca="1" ref="BK91" ca="1">_xll.RiskOutput()+LOG10(BJ91)</f>
        <v>-5.4303025699604115</v>
      </c>
    </row>
    <row r="92" spans="1:71" x14ac:dyDescent="0.25">
      <c r="A92" s="46" t="str">
        <f>A$89&amp; " -95th"</f>
        <v>P(ill) from Serotype not Kentucky &amp; level over the threshold -95th</v>
      </c>
      <c r="B92" s="19" cm="1">
        <f t="array" aca="1" ref="B92" ca="1">_xll.RiskPercentile(B89,0.95)</f>
        <v>2.2481266025331514E-5</v>
      </c>
      <c r="C92" s="56" cm="1">
        <f t="array" aca="1" ref="C92" ca="1">_xll.RiskOutput()+LOG10(B92)</f>
        <v>-4.6481792352589624</v>
      </c>
      <c r="M92" s="46" t="str">
        <f>M$89&amp; " -95th"</f>
        <v>P(ill) from Serotype not Kentucky &amp; level over the threshold -95th</v>
      </c>
      <c r="N92" s="19" cm="1">
        <f t="array" aca="1" ref="N92" ca="1">_xll.RiskPercentile(N89,0.95)</f>
        <v>5.6587272792596455E-4</v>
      </c>
      <c r="O92" s="56" cm="1">
        <f t="array" aca="1" ref="O92" ca="1">_xll.RiskOutput()+LOG10(N92)</f>
        <v>-3.2472812362584711</v>
      </c>
      <c r="Y92" s="46" t="str">
        <f>Y$89&amp; " -95th"</f>
        <v>P(ill) from Serotype not Kentucky &amp; level over the threshold -95th</v>
      </c>
      <c r="Z92" s="19" cm="1">
        <f t="array" aca="1" ref="Z92" ca="1">_xll.RiskPercentile(Z89,0.95)</f>
        <v>3.6905756098832843E-3</v>
      </c>
      <c r="AA92" s="56" cm="1">
        <f t="array" aca="1" ref="AA92" ca="1">_xll.RiskOutput()+LOG10(Z92)</f>
        <v>-2.432905892729742</v>
      </c>
      <c r="AK92" s="46" t="str">
        <f>AK$89&amp; " -95th"</f>
        <v>P(ill) from Serotype not Kentucky &amp; level over the threshold -95th</v>
      </c>
      <c r="AL92" s="19" cm="1">
        <f t="array" aca="1" ref="AL92" ca="1">_xll.RiskPercentile(AL89,0.95)</f>
        <v>4.3593958957144352E-6</v>
      </c>
      <c r="AM92" s="56" cm="1">
        <f t="array" aca="1" ref="AM92" ca="1">_xll.RiskOutput()+LOG10(AL92)</f>
        <v>-5.3605736890192848</v>
      </c>
      <c r="AW92" s="46" t="str">
        <f>AW$89&amp; " -95th"</f>
        <v>P(ill) from Serotype not Kentucky &amp; level over the threshold -95th</v>
      </c>
      <c r="AX92" s="19" cm="1">
        <f t="array" aca="1" ref="AX92" ca="1">_xll.RiskPercentile(AX89,0.95)</f>
        <v>1.224752251006711E-4</v>
      </c>
      <c r="AY92" s="56" cm="1">
        <f t="array" aca="1" ref="AY92" ca="1">_xll.RiskOutput()+LOG10(AX92)</f>
        <v>-3.9119517536688191</v>
      </c>
      <c r="BI92" s="46" t="str">
        <f>BI$89&amp; " -95th"</f>
        <v>P(ill) from Serotype not Kentucky &amp; level over the threshold -95th</v>
      </c>
      <c r="BJ92" s="19" cm="1">
        <f t="array" aca="1" ref="BJ92" ca="1">_xll.RiskPercentile(BJ89,0.95)</f>
        <v>7.3390867642031399E-4</v>
      </c>
      <c r="BK92" s="56" cm="1">
        <f t="array" aca="1" ref="BK92" ca="1">_xll.RiskOutput()+LOG10(BJ92)</f>
        <v>-3.1343579779507444</v>
      </c>
    </row>
    <row r="93" spans="1:71" ht="18.75" x14ac:dyDescent="0.3">
      <c r="A93" s="37" t="s">
        <v>24</v>
      </c>
      <c r="B93" s="38"/>
      <c r="C93" s="38"/>
      <c r="D93" s="38"/>
      <c r="E93" s="38"/>
      <c r="F93" s="36"/>
      <c r="G93" s="36"/>
      <c r="H93" s="36"/>
      <c r="I93" s="36"/>
      <c r="J93" s="36"/>
      <c r="K93" s="36"/>
      <c r="M93" s="37" t="s">
        <v>24</v>
      </c>
      <c r="N93" s="38"/>
      <c r="O93" s="38"/>
      <c r="P93" s="38"/>
      <c r="Q93" s="38"/>
      <c r="R93" s="36"/>
      <c r="S93" s="36"/>
      <c r="T93" s="36"/>
      <c r="U93" s="36"/>
      <c r="V93" s="36"/>
      <c r="W93" s="36"/>
      <c r="Y93" s="37" t="s">
        <v>24</v>
      </c>
      <c r="Z93" s="38"/>
      <c r="AA93" s="38"/>
      <c r="AB93" s="38"/>
      <c r="AC93" s="38"/>
      <c r="AD93" s="36"/>
      <c r="AE93" s="36"/>
      <c r="AF93" s="36"/>
      <c r="AG93" s="36"/>
      <c r="AH93" s="36"/>
      <c r="AI93" s="36"/>
      <c r="AK93" s="37" t="s">
        <v>24</v>
      </c>
      <c r="AL93" s="38"/>
      <c r="AM93" s="38"/>
      <c r="AN93" s="38"/>
      <c r="AO93" s="38"/>
      <c r="AP93" s="36"/>
      <c r="AQ93" s="36"/>
      <c r="AR93" s="36"/>
      <c r="AS93" s="36"/>
      <c r="AT93" s="36"/>
      <c r="AU93" s="36"/>
      <c r="AW93" s="37" t="s">
        <v>24</v>
      </c>
      <c r="AX93" s="38"/>
      <c r="AY93" s="38"/>
      <c r="AZ93" s="38"/>
      <c r="BA93" s="38"/>
      <c r="BB93" s="36"/>
      <c r="BC93" s="36"/>
      <c r="BD93" s="36"/>
      <c r="BE93" s="36"/>
      <c r="BF93" s="36"/>
      <c r="BG93" s="36"/>
      <c r="BI93" s="37" t="s">
        <v>24</v>
      </c>
      <c r="BJ93" s="38"/>
      <c r="BK93" s="38"/>
      <c r="BL93" s="38"/>
      <c r="BM93" s="38"/>
      <c r="BN93" s="36"/>
      <c r="BO93" s="36"/>
      <c r="BP93" s="36"/>
      <c r="BQ93" s="36"/>
      <c r="BR93" s="36"/>
      <c r="BS93" s="36"/>
    </row>
    <row r="94" spans="1:71" x14ac:dyDescent="0.25">
      <c r="A94" s="43" t="s">
        <v>36</v>
      </c>
      <c r="B94" s="43">
        <f ca="1">B69</f>
        <v>1.8684279764805813E-6</v>
      </c>
      <c r="C94" t="s">
        <v>37</v>
      </c>
      <c r="D94" s="7"/>
      <c r="M94" s="43" t="s">
        <v>36</v>
      </c>
      <c r="N94" s="43">
        <f ca="1">N69</f>
        <v>1.8684279764805813E-6</v>
      </c>
      <c r="O94" t="s">
        <v>37</v>
      </c>
      <c r="P94" s="7"/>
      <c r="Y94" s="43" t="s">
        <v>36</v>
      </c>
      <c r="Z94" s="43">
        <f ca="1">Z69</f>
        <v>1.8684279764805813E-6</v>
      </c>
      <c r="AA94" t="s">
        <v>37</v>
      </c>
      <c r="AB94" s="7"/>
      <c r="AK94" s="43" t="s">
        <v>36</v>
      </c>
      <c r="AL94" s="43">
        <f ca="1">AL69</f>
        <v>2.5192125758061127E-6</v>
      </c>
      <c r="AM94" t="s">
        <v>37</v>
      </c>
      <c r="AN94" s="7"/>
      <c r="AW94" s="43" t="s">
        <v>36</v>
      </c>
      <c r="AX94" s="43">
        <f ca="1">AX69</f>
        <v>2.5192125758061127E-6</v>
      </c>
      <c r="AY94" t="s">
        <v>37</v>
      </c>
      <c r="AZ94" s="7"/>
      <c r="BI94" s="43" t="s">
        <v>36</v>
      </c>
      <c r="BJ94" s="43">
        <f ca="1">BJ69</f>
        <v>2.5192125758061127E-6</v>
      </c>
      <c r="BK94" t="s">
        <v>37</v>
      </c>
      <c r="BL94" s="7"/>
    </row>
    <row r="95" spans="1:71" x14ac:dyDescent="0.25">
      <c r="A95" t="str">
        <f>A78</f>
        <v>P(ill) from Level over the threshold-mean</v>
      </c>
      <c r="B95" s="7">
        <f ca="1">B78</f>
        <v>8.9650213984245766E-6</v>
      </c>
      <c r="M95" t="str">
        <f>M78</f>
        <v>P(ill) from Level over the threshold-mean</v>
      </c>
      <c r="N95" s="7">
        <f ca="1">N78</f>
        <v>1.9604717780939248E-4</v>
      </c>
      <c r="Y95" t="str">
        <f>Y78</f>
        <v>P(ill) from Level over the threshold-mean</v>
      </c>
      <c r="Z95" s="7">
        <f ca="1">Z78</f>
        <v>1.2472221885735974E-3</v>
      </c>
      <c r="AK95" t="str">
        <f>AK78</f>
        <v>P(ill) from Level over the threshold-mean</v>
      </c>
      <c r="AL95" s="7">
        <f ca="1">AL78</f>
        <v>3.0543867159871039E-5</v>
      </c>
      <c r="AW95" t="str">
        <f>AW78</f>
        <v>P(ill) from Level over the threshold-mean</v>
      </c>
      <c r="AX95" s="7">
        <f ca="1">AX78</f>
        <v>2.1024671570937795E-4</v>
      </c>
      <c r="BI95" t="str">
        <f>BI78</f>
        <v>P(ill) from Level over the threshold-mean</v>
      </c>
      <c r="BJ95" s="7">
        <f ca="1">BJ78</f>
        <v>6.5571436624309559E-4</v>
      </c>
    </row>
    <row r="96" spans="1:71" x14ac:dyDescent="0.25">
      <c r="A96" t="str">
        <f>A82</f>
        <v>P(ill) from Inclusion list &amp; level over the threshold -mean</v>
      </c>
      <c r="B96" s="7">
        <f ca="1">B82</f>
        <v>8.6836145186637567E-6</v>
      </c>
      <c r="M96" t="str">
        <f>M82</f>
        <v>P(ill) from Inclusion list &amp; level over the threshold -mean</v>
      </c>
      <c r="N96" s="7">
        <f ca="1">N82</f>
        <v>1.8426062611190115E-4</v>
      </c>
      <c r="Y96" t="str">
        <f>Y82</f>
        <v>P(ill) from Inclusion list &amp; level over the threshold -mean</v>
      </c>
      <c r="Z96" s="7">
        <f ca="1">Z82</f>
        <v>1.1554508396468348E-3</v>
      </c>
      <c r="AK96" t="str">
        <f>AK82</f>
        <v>P(ill) from Inclusion list &amp; level over the threshold -mean</v>
      </c>
      <c r="AL96" s="7">
        <f ca="1">AL82</f>
        <v>3.0108571323022691E-5</v>
      </c>
      <c r="AW96" t="str">
        <f>AW82</f>
        <v>P(ill) from Inclusion list &amp; level over the threshold -mean</v>
      </c>
      <c r="AX96" s="7">
        <f ca="1">AX82</f>
        <v>2.0458276002879795E-4</v>
      </c>
      <c r="BI96" t="str">
        <f>BI82</f>
        <v>P(ill) from Inclusion list &amp; level over the threshold -mean</v>
      </c>
      <c r="BJ96" s="7">
        <f ca="1">BJ82</f>
        <v>6.5964487952879433E-4</v>
      </c>
    </row>
    <row r="97" spans="1:71" x14ac:dyDescent="0.25">
      <c r="A97" t="str">
        <f>A86</f>
        <v>P(ill) from Serotype Kentucky &amp; level over the threshold -mean</v>
      </c>
      <c r="B97" s="7">
        <f ca="1">B86</f>
        <v>9.284822806873382E-6</v>
      </c>
      <c r="M97" t="str">
        <f>M86</f>
        <v>P(ill) from Serotype Kentucky &amp; level over the threshold -mean</v>
      </c>
      <c r="N97" s="7">
        <f ca="1">N86</f>
        <v>2.1508920571273879E-4</v>
      </c>
      <c r="Y97" t="str">
        <f>Y86</f>
        <v>P(ill) from Serotype Kentucky &amp; level over the threshold -mean</v>
      </c>
      <c r="Z97" s="7">
        <f ca="1">Z86</f>
        <v>1.4534919731768112E-3</v>
      </c>
      <c r="AK97" t="str">
        <f>AK86</f>
        <v>P(ill) from Serotype Kentucky &amp; level over the threshold -mean</v>
      </c>
      <c r="AL97" s="7">
        <f ca="1">AL86</f>
        <v>2.8367060678300412E-5</v>
      </c>
      <c r="AW97" t="str">
        <f>AW86</f>
        <v>P(ill) from Serotype Kentucky &amp; level over the threshold -mean</v>
      </c>
      <c r="AX97" s="7">
        <f ca="1">AX86</f>
        <v>1.9858429025694334E-4</v>
      </c>
      <c r="BI97" t="str">
        <f>BI86</f>
        <v>P(ill) from Serotype Kentucky &amp; level over the threshold -mean</v>
      </c>
      <c r="BJ97" s="7">
        <f ca="1">BJ86</f>
        <v>6.1758690450632861E-4</v>
      </c>
    </row>
    <row r="98" spans="1:71" x14ac:dyDescent="0.25">
      <c r="A98" t="str">
        <f>A90</f>
        <v>P(ill) from Serotype not Kentucky &amp; level over the threshold -mean</v>
      </c>
      <c r="B98" s="7">
        <f ca="1">B90</f>
        <v>8.832491343537745E-6</v>
      </c>
      <c r="M98" t="str">
        <f>M90</f>
        <v>P(ill) from Serotype not Kentucky &amp; level over the threshold -mean</v>
      </c>
      <c r="N98" s="7">
        <f ca="1">N90</f>
        <v>1.8863805290781019E-4</v>
      </c>
      <c r="Y98" t="str">
        <f>Y90</f>
        <v>P(ill) from Serotype not Kentucky &amp; level over the threshold -mean</v>
      </c>
      <c r="Z98" s="7">
        <f ca="1">Z90</f>
        <v>1.1670061612279029E-3</v>
      </c>
      <c r="AK98" t="str">
        <f>AK90</f>
        <v>P(ill) from Serotype not Kentucky &amp; level over the threshold -mean</v>
      </c>
      <c r="AL98" s="7">
        <f ca="1">AL90</f>
        <v>3.1430868343557339E-5</v>
      </c>
      <c r="AW98" t="str">
        <f>AW90</f>
        <v>P(ill) from Serotype not Kentucky &amp; level over the threshold -mean</v>
      </c>
      <c r="AX98" s="7">
        <f ca="1">AX90</f>
        <v>2.1488660540550897E-4</v>
      </c>
      <c r="BI98" t="str">
        <f>BI90</f>
        <v>P(ill) from Serotype not Kentucky &amp; level over the threshold -mean</v>
      </c>
      <c r="BJ98" s="7">
        <f ca="1">BJ90</f>
        <v>6.7093736747964874E-4</v>
      </c>
    </row>
    <row r="99" spans="1:71" x14ac:dyDescent="0.25">
      <c r="A99" t="str">
        <f>A94&amp;"-Relative Risk"</f>
        <v>No-Threshold-mean-Relative Risk</v>
      </c>
      <c r="B99" s="42">
        <f ca="1">B94/B$94</f>
        <v>1</v>
      </c>
      <c r="C99" s="80" t="s">
        <v>126</v>
      </c>
      <c r="M99" t="str">
        <f>M94&amp;"-Relative Risk"</f>
        <v>No-Threshold-mean-Relative Risk</v>
      </c>
      <c r="N99" s="42">
        <f ca="1">N94/N$94</f>
        <v>1</v>
      </c>
      <c r="O99" s="80" t="s">
        <v>126</v>
      </c>
      <c r="Y99" t="str">
        <f>Y94&amp;"-Relative Risk"</f>
        <v>No-Threshold-mean-Relative Risk</v>
      </c>
      <c r="Z99" s="42">
        <f ca="1">Z94/Z$94</f>
        <v>1</v>
      </c>
      <c r="AA99" s="80" t="s">
        <v>126</v>
      </c>
      <c r="AK99" t="str">
        <f>AK94&amp;"-Relative Risk"</f>
        <v>No-Threshold-mean-Relative Risk</v>
      </c>
      <c r="AL99" s="42">
        <f ca="1">AL94/AL$94</f>
        <v>1</v>
      </c>
      <c r="AM99" s="80" t="s">
        <v>126</v>
      </c>
      <c r="AW99" t="str">
        <f>AW94&amp;"-Relative Risk"</f>
        <v>No-Threshold-mean-Relative Risk</v>
      </c>
      <c r="AX99" s="42">
        <f ca="1">AX94/AX$94</f>
        <v>1</v>
      </c>
      <c r="AY99" s="80" t="s">
        <v>126</v>
      </c>
      <c r="BI99" t="str">
        <f>BI94&amp;"-Relative Risk"</f>
        <v>No-Threshold-mean-Relative Risk</v>
      </c>
      <c r="BJ99" s="42">
        <f ca="1">BJ94/BJ$94</f>
        <v>1</v>
      </c>
      <c r="BK99" s="80" t="s">
        <v>126</v>
      </c>
    </row>
    <row r="100" spans="1:71" x14ac:dyDescent="0.25">
      <c r="A100" t="str">
        <f>A77&amp;"-Relative Risk"</f>
        <v>P(ill) from Level over the threshold-Relative Risk</v>
      </c>
      <c r="B100" s="81">
        <f ca="1">B95/B94</f>
        <v>4.7981626861054183</v>
      </c>
      <c r="C100" s="81">
        <f ca="1">B26</f>
        <v>0.20491599999999999</v>
      </c>
      <c r="M100" t="str">
        <f>M77&amp;"-Relative Risk"</f>
        <v>P(ill) from Level over the threshold-Relative Risk</v>
      </c>
      <c r="N100" s="81">
        <f ca="1">N95/N94</f>
        <v>104.92626971828582</v>
      </c>
      <c r="O100" s="81">
        <f ca="1">N26</f>
        <v>6.4190000000000002E-3</v>
      </c>
      <c r="Y100" t="str">
        <f>Y77&amp;"-Relative Risk"</f>
        <v>P(ill) from Level over the threshold-Relative Risk</v>
      </c>
      <c r="Z100" s="81">
        <f ca="1">Z95/Z94</f>
        <v>667.52489487065861</v>
      </c>
      <c r="AA100" s="81">
        <f ca="1">Z26</f>
        <v>5.5000000000000003E-4</v>
      </c>
      <c r="AK100" t="str">
        <f>AK77&amp;"-Relative Risk"</f>
        <v>P(ill) from Level over the threshold-Relative Risk</v>
      </c>
      <c r="AL100" s="81">
        <f ca="1">AL95/AL94</f>
        <v>12.124370707421317</v>
      </c>
      <c r="AM100" s="81">
        <f ca="1">AL26</f>
        <v>8.2474000000000006E-2</v>
      </c>
      <c r="AW100" t="str">
        <f>AW77&amp;"-Relative Risk"</f>
        <v>P(ill) from Level over the threshold-Relative Risk</v>
      </c>
      <c r="AX100" s="81">
        <f ca="1">AX95/AX94</f>
        <v>83.457314292781319</v>
      </c>
      <c r="AY100" s="81">
        <f ca="1">AX26</f>
        <v>1.196E-2</v>
      </c>
      <c r="BI100" t="str">
        <f>BI77&amp;"-Relative Risk"</f>
        <v>P(ill) from Level over the threshold-Relative Risk</v>
      </c>
      <c r="BJ100" s="81">
        <f ca="1">BJ95/BJ94</f>
        <v>260.28544496022778</v>
      </c>
      <c r="BK100" s="81">
        <f ca="1">BJ26</f>
        <v>3.813E-3</v>
      </c>
    </row>
    <row r="101" spans="1:71" x14ac:dyDescent="0.25">
      <c r="A101" t="str">
        <f>A81&amp;"-Relative Risk"</f>
        <v>P(ill) from Inclusion list &amp; level over the threshold-Relative Risk</v>
      </c>
      <c r="B101" s="81">
        <f ca="1">B96/B94</f>
        <v>4.6475511114003094</v>
      </c>
      <c r="C101" s="81">
        <f ca="1">B33</f>
        <v>0.104573</v>
      </c>
      <c r="M101" t="str">
        <f>M81&amp;"-Relative Risk"</f>
        <v>P(ill) from Inclusion list &amp; level over the threshold-Relative Risk</v>
      </c>
      <c r="N101" s="81">
        <f ca="1">N96/N94</f>
        <v>98.617997820274113</v>
      </c>
      <c r="O101" s="81">
        <f ca="1">N33</f>
        <v>3.3319999999999999E-3</v>
      </c>
      <c r="Y101" t="str">
        <f>Y81&amp;"-Relative Risk"</f>
        <v>P(ill) from Inclusion list &amp; level over the threshold-Relative Risk</v>
      </c>
      <c r="Z101" s="81">
        <f ca="1">Z96/Z94</f>
        <v>618.40801689518241</v>
      </c>
      <c r="AA101" s="81">
        <f ca="1">Z33</f>
        <v>2.7799999999999998E-4</v>
      </c>
      <c r="AK101" t="str">
        <f>AK81&amp;"-Relative Risk"</f>
        <v>P(ill) from Inclusion list &amp; level over the threshold-Relative Risk</v>
      </c>
      <c r="AL101" s="81">
        <f ca="1">AL96/AL94</f>
        <v>11.951580272414436</v>
      </c>
      <c r="AM101" s="81">
        <f ca="1">AL33</f>
        <v>4.2483E-2</v>
      </c>
      <c r="AW101" t="str">
        <f>AW81&amp;"-Relative Risk"</f>
        <v>P(ill) from Inclusion list &amp; level over the threshold-Relative Risk</v>
      </c>
      <c r="AX101" s="81">
        <f ca="1">AX96/AX94</f>
        <v>81.209010304870503</v>
      </c>
      <c r="AY101" s="81">
        <f ca="1">AX33</f>
        <v>6.241E-3</v>
      </c>
      <c r="BI101" t="str">
        <f>BI81&amp;"-Relative Risk"</f>
        <v>P(ill) from Inclusion list &amp; level over the threshold-Relative Risk</v>
      </c>
      <c r="BJ101" s="81">
        <f ca="1">BJ96/BJ94</f>
        <v>261.84565997481064</v>
      </c>
      <c r="BK101" s="81">
        <f ca="1">BJ33</f>
        <v>1.9239999999999999E-3</v>
      </c>
    </row>
    <row r="102" spans="1:71" x14ac:dyDescent="0.25">
      <c r="A102" t="str">
        <f>A85&amp;"-Relative Risk"</f>
        <v>P(ill) from Serotype Kentucky &amp; level over the threshold-Relative Risk</v>
      </c>
      <c r="B102" s="81">
        <f ca="1">B97/B94</f>
        <v>4.9693233690294614</v>
      </c>
      <c r="C102" s="81">
        <f ca="1">B37</f>
        <v>6.0039000000000002E-2</v>
      </c>
      <c r="M102" t="str">
        <f>M85&amp;"-Relative Risk"</f>
        <v>P(ill) from Serotype Kentucky &amp; level over the threshold-Relative Risk</v>
      </c>
      <c r="N102" s="81">
        <f ca="1">N97/N94</f>
        <v>115.11773984346259</v>
      </c>
      <c r="O102" s="81">
        <f ca="1">N37</f>
        <v>1.7979999999999999E-3</v>
      </c>
      <c r="Y102" t="str">
        <f>Y85&amp;"-Relative Risk"</f>
        <v>P(ill) from Serotype Kentucky &amp; level over the threshold-Relative Risk</v>
      </c>
      <c r="Z102" s="81">
        <f ca="1">Z97/Z94</f>
        <v>777.92239865442707</v>
      </c>
      <c r="AA102" s="81">
        <f ca="1">Z37</f>
        <v>1.54E-4</v>
      </c>
      <c r="AK102" t="str">
        <f>AK85&amp;"-Relative Risk"</f>
        <v>P(ill) from Serotype Kentucky &amp; level over the threshold-Relative Risk</v>
      </c>
      <c r="AL102" s="81">
        <f ca="1">AL97/AL94</f>
        <v>11.260288611898243</v>
      </c>
      <c r="AM102" s="81">
        <f ca="1">AL37</f>
        <v>2.3876999999999999E-2</v>
      </c>
      <c r="AW102" t="str">
        <f>AW85&amp;"-Relative Risk"</f>
        <v>P(ill) from Serotype Kentucky &amp; level over the threshold-Relative Risk</v>
      </c>
      <c r="AX102" s="81">
        <f ca="1">AX97/AX94</f>
        <v>78.827921138572094</v>
      </c>
      <c r="AY102" s="81">
        <f ca="1">AX37</f>
        <v>3.4039999999999999E-3</v>
      </c>
      <c r="BI102" t="str">
        <f>BI85&amp;"-Relative Risk"</f>
        <v>P(ill) from Serotype Kentucky &amp; level over the threshold-Relative Risk</v>
      </c>
      <c r="BJ102" s="81">
        <f ca="1">BJ97/BJ94</f>
        <v>245.15077069616066</v>
      </c>
      <c r="BK102" s="81">
        <f ca="1">BJ37</f>
        <v>1.088E-3</v>
      </c>
    </row>
    <row r="103" spans="1:71" x14ac:dyDescent="0.25">
      <c r="A103" t="str">
        <f>A89&amp; "-Relative Risk"</f>
        <v>P(ill) from Serotype not Kentucky &amp; level over the threshold-Relative Risk</v>
      </c>
      <c r="B103" s="81">
        <f ca="1">B98/B94</f>
        <v>4.7272313702853301</v>
      </c>
      <c r="C103" s="81">
        <f ca="1">B39</f>
        <v>0.14487700000000001</v>
      </c>
      <c r="E103" s="97"/>
      <c r="M103" t="str">
        <f>M89&amp; "-Relative Risk"</f>
        <v>P(ill) from Serotype not Kentucky &amp; level over the threshold-Relative Risk</v>
      </c>
      <c r="N103" s="81">
        <f ca="1">N98/N94</f>
        <v>100.96083728265172</v>
      </c>
      <c r="O103" s="81">
        <f ca="1">N39</f>
        <v>4.6210000000000001E-3</v>
      </c>
      <c r="Y103" t="str">
        <f>Y89&amp; "-Relative Risk"</f>
        <v>P(ill) from Serotype not Kentucky &amp; level over the threshold-Relative Risk</v>
      </c>
      <c r="Z103" s="81">
        <f ca="1">Z98/Z94</f>
        <v>624.59253228808188</v>
      </c>
      <c r="AA103" s="81">
        <f ca="1">Z39</f>
        <v>3.9599999999999998E-4</v>
      </c>
      <c r="AK103" t="str">
        <f>AK89&amp; "-Relative Risk"</f>
        <v>P(ill) from Serotype not Kentucky &amp; level over the threshold-Relative Risk</v>
      </c>
      <c r="AL103" s="81">
        <f ca="1">AL98/AL94</f>
        <v>12.476465323097994</v>
      </c>
      <c r="AM103" s="81">
        <f ca="1">AL39</f>
        <v>5.8597000000000003E-2</v>
      </c>
      <c r="AW103" t="str">
        <f>AW89&amp; "-Relative Risk"</f>
        <v>P(ill) from Serotype not Kentucky &amp; level over the threshold-Relative Risk</v>
      </c>
      <c r="AX103" s="81">
        <f ca="1">AX98/AX94</f>
        <v>85.299115870262867</v>
      </c>
      <c r="AY103" s="81">
        <f ca="1">AX39</f>
        <v>8.5559999999999994E-3</v>
      </c>
      <c r="BI103" t="str">
        <f>BI89&amp; "-Relative Risk"</f>
        <v>P(ill) from Serotype not Kentucky &amp; level over the threshold-Relative Risk</v>
      </c>
      <c r="BJ103" s="81">
        <f ca="1">BJ98/BJ94</f>
        <v>266.32820664804683</v>
      </c>
      <c r="BK103" s="81">
        <f ca="1">BJ39</f>
        <v>2.725E-3</v>
      </c>
    </row>
    <row r="104" spans="1:71" x14ac:dyDescent="0.25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</row>
    <row r="105" spans="1:71" x14ac:dyDescent="0.25">
      <c r="A105" s="20" t="s">
        <v>151</v>
      </c>
      <c r="K105" s="7"/>
      <c r="L105" s="7"/>
      <c r="M105" s="54"/>
      <c r="P105" s="7"/>
      <c r="Q105" s="7"/>
      <c r="R105" s="54"/>
    </row>
    <row r="107" spans="1:71" x14ac:dyDescent="0.25">
      <c r="A107" s="20" t="s">
        <v>154</v>
      </c>
      <c r="B107" s="82" t="s">
        <v>157</v>
      </c>
      <c r="C107" s="92" t="s">
        <v>158</v>
      </c>
    </row>
    <row r="108" spans="1:71" x14ac:dyDescent="0.25">
      <c r="A108" s="20" t="s">
        <v>148</v>
      </c>
      <c r="B108" s="87">
        <v>89969366913.233688</v>
      </c>
      <c r="C108" s="87">
        <v>89969366913.233688</v>
      </c>
    </row>
    <row r="109" spans="1:71" x14ac:dyDescent="0.25">
      <c r="A109" t="s">
        <v>155</v>
      </c>
      <c r="B109" s="7">
        <f ca="1">B94</f>
        <v>1.8684279764805813E-6</v>
      </c>
      <c r="C109" s="7">
        <f ca="1">AL69</f>
        <v>2.5192125758061127E-6</v>
      </c>
    </row>
    <row r="110" spans="1:71" x14ac:dyDescent="0.25">
      <c r="A110" t="s">
        <v>156</v>
      </c>
      <c r="B110" s="88">
        <f ca="1">B108*B109</f>
        <v>168101.28216693219</v>
      </c>
      <c r="C110" s="88">
        <f ca="1">C109*B108</f>
        <v>226651.9605651327</v>
      </c>
    </row>
    <row r="112" spans="1:71" x14ac:dyDescent="0.25">
      <c r="A112" s="20" t="s">
        <v>129</v>
      </c>
      <c r="B112" s="82" t="s">
        <v>149</v>
      </c>
      <c r="C112" s="82"/>
      <c r="D112" s="82"/>
      <c r="E112" s="82"/>
      <c r="F112" s="82"/>
      <c r="G112" s="92" t="s">
        <v>150</v>
      </c>
      <c r="H112" s="92"/>
      <c r="I112" s="92"/>
      <c r="J112" s="92"/>
      <c r="K112" s="92"/>
      <c r="L112" s="92"/>
    </row>
    <row r="113" spans="1:13" x14ac:dyDescent="0.25">
      <c r="A113" t="s">
        <v>161</v>
      </c>
      <c r="B113" t="s">
        <v>145</v>
      </c>
      <c r="C113" t="s">
        <v>162</v>
      </c>
      <c r="D113" t="s">
        <v>163</v>
      </c>
      <c r="E113" t="s">
        <v>146</v>
      </c>
      <c r="F113" s="20" t="s">
        <v>167</v>
      </c>
      <c r="G113" t="s">
        <v>161</v>
      </c>
      <c r="H113" t="s">
        <v>145</v>
      </c>
      <c r="I113" t="s">
        <v>162</v>
      </c>
      <c r="J113" t="s">
        <v>163</v>
      </c>
      <c r="K113" t="s">
        <v>147</v>
      </c>
      <c r="L113" s="20" t="s">
        <v>167</v>
      </c>
    </row>
    <row r="114" spans="1:13" x14ac:dyDescent="0.25">
      <c r="A114" t="s">
        <v>165</v>
      </c>
      <c r="B114" s="53">
        <v>7.4000000000000003E-3</v>
      </c>
      <c r="C114" s="89">
        <f ca="1">C100</f>
        <v>0.20491599999999999</v>
      </c>
      <c r="D114" s="93">
        <f ca="1">$B$108*C114</f>
        <v>18436162790.392193</v>
      </c>
      <c r="E114" s="90">
        <f ca="1">B95</f>
        <v>8.9650213984245766E-6</v>
      </c>
      <c r="F114" s="95">
        <f ca="1">D114*E114/$B$110</f>
        <v>0.98322030498597779</v>
      </c>
      <c r="G114" s="53" t="s">
        <v>152</v>
      </c>
      <c r="H114" s="53">
        <v>7.4000000000000003E-3</v>
      </c>
      <c r="I114" s="91">
        <f ca="1">AM100</f>
        <v>8.2474000000000006E-2</v>
      </c>
      <c r="J114" s="93">
        <f ca="1">$B$108*I114</f>
        <v>7420133566.8020353</v>
      </c>
      <c r="K114" s="90">
        <f ca="1">AL95</f>
        <v>3.0543867159871039E-5</v>
      </c>
      <c r="L114" s="95">
        <f ca="1">J114*K114/$C$110</f>
        <v>0.99994534972386573</v>
      </c>
      <c r="M114" s="88"/>
    </row>
    <row r="115" spans="1:13" x14ac:dyDescent="0.25">
      <c r="A115" t="s">
        <v>165</v>
      </c>
      <c r="B115" s="53">
        <v>1</v>
      </c>
      <c r="C115" s="89">
        <f ca="1">O100</f>
        <v>6.4190000000000002E-3</v>
      </c>
      <c r="D115" s="93">
        <f t="shared" ref="D115:D128" ca="1" si="0">$B$108*C115</f>
        <v>577513366.21604705</v>
      </c>
      <c r="E115" s="90">
        <f ca="1">N95</f>
        <v>1.9604717780939248E-4</v>
      </c>
      <c r="F115" s="95">
        <f ca="1">D115*E115/$B$110</f>
        <v>0.67352172532167676</v>
      </c>
      <c r="G115" s="53" t="s">
        <v>152</v>
      </c>
      <c r="H115" s="53">
        <v>1</v>
      </c>
      <c r="I115" s="91">
        <f ca="1">AY100</f>
        <v>1.196E-2</v>
      </c>
      <c r="J115" s="93">
        <f t="shared" ref="J115:J128" ca="1" si="1">$B$108*I115</f>
        <v>1076033628.282275</v>
      </c>
      <c r="K115" s="90">
        <f ca="1">AX95</f>
        <v>2.1024671570937795E-4</v>
      </c>
      <c r="L115" s="95">
        <f ca="1">J115*K115/$C$110</f>
        <v>0.99814947894166461</v>
      </c>
      <c r="M115" s="88"/>
    </row>
    <row r="116" spans="1:13" x14ac:dyDescent="0.25">
      <c r="A116" t="s">
        <v>165</v>
      </c>
      <c r="B116" s="53">
        <v>10</v>
      </c>
      <c r="C116" s="89">
        <f ca="1">AA100</f>
        <v>5.5000000000000003E-4</v>
      </c>
      <c r="D116" s="93">
        <f t="shared" ca="1" si="0"/>
        <v>49483151.802278534</v>
      </c>
      <c r="E116" s="90">
        <f ca="1">Z95</f>
        <v>1.2472221885735974E-3</v>
      </c>
      <c r="F116" s="95">
        <f ca="1">D116*E116/$B$110</f>
        <v>0.36713869217886225</v>
      </c>
      <c r="G116" s="53" t="s">
        <v>152</v>
      </c>
      <c r="H116" s="53">
        <v>10</v>
      </c>
      <c r="I116" s="91">
        <f ca="1">BK100</f>
        <v>3.813E-3</v>
      </c>
      <c r="J116" s="93">
        <f t="shared" ca="1" si="1"/>
        <v>343053196.04016006</v>
      </c>
      <c r="K116" s="90">
        <f ca="1">BJ95</f>
        <v>6.5571436624309559E-4</v>
      </c>
      <c r="L116" s="95">
        <f ca="1">J116*K116/$C$110</f>
        <v>0.99246840163334848</v>
      </c>
      <c r="M116" s="88"/>
    </row>
    <row r="117" spans="1:13" x14ac:dyDescent="0.25">
      <c r="A117" t="s">
        <v>166</v>
      </c>
      <c r="B117">
        <v>7.4000000000000003E-3</v>
      </c>
      <c r="C117" s="94">
        <f ca="1">1-C114</f>
        <v>0.79508400000000001</v>
      </c>
      <c r="D117">
        <f t="shared" ca="1" si="0"/>
        <v>71533204122.841492</v>
      </c>
      <c r="E117" s="7">
        <f ca="1">B74</f>
        <v>3.943187336310899E-8</v>
      </c>
      <c r="F117" s="96">
        <f ca="1">D117*E117/$B$110</f>
        <v>1.6779695014034694E-2</v>
      </c>
      <c r="G117" t="s">
        <v>153</v>
      </c>
      <c r="H117">
        <v>7.4000000000000003E-3</v>
      </c>
      <c r="I117" s="86">
        <f ca="1">1-I114</f>
        <v>0.91752599999999995</v>
      </c>
      <c r="J117">
        <f t="shared" ca="1" si="1"/>
        <v>82549233346.431656</v>
      </c>
      <c r="K117" s="7">
        <f ca="1">AL74</f>
        <v>1.5005096642314899E-10</v>
      </c>
      <c r="L117" s="96">
        <f t="shared" ref="L117:L119" ca="1" si="2">J117*K117/$C$110</f>
        <v>5.4650276177790164E-5</v>
      </c>
    </row>
    <row r="118" spans="1:13" x14ac:dyDescent="0.25">
      <c r="A118" t="s">
        <v>166</v>
      </c>
      <c r="B118">
        <v>1</v>
      </c>
      <c r="C118" s="94">
        <f ca="1">1-C115</f>
        <v>0.99358100000000005</v>
      </c>
      <c r="D118">
        <f t="shared" ca="1" si="0"/>
        <v>89391853547.017639</v>
      </c>
      <c r="E118" s="7">
        <f ca="1">N74</f>
        <v>6.1394203605154691E-7</v>
      </c>
      <c r="F118" s="96">
        <f t="shared" ref="F118:F119" ca="1" si="3">D118*E118/$B$110</f>
        <v>0.32647827467834523</v>
      </c>
      <c r="G118" t="s">
        <v>153</v>
      </c>
      <c r="H118">
        <v>1</v>
      </c>
      <c r="I118" s="86">
        <f ca="1">1-I115</f>
        <v>0.98804000000000003</v>
      </c>
      <c r="J118">
        <f t="shared" ca="1" si="1"/>
        <v>88893333284.951416</v>
      </c>
      <c r="K118" s="7">
        <f ca="1">AX74</f>
        <v>4.7182866301694036E-9</v>
      </c>
      <c r="L118" s="96">
        <f t="shared" ca="1" si="2"/>
        <v>1.8505210583830342E-3</v>
      </c>
    </row>
    <row r="119" spans="1:13" x14ac:dyDescent="0.25">
      <c r="A119" t="s">
        <v>166</v>
      </c>
      <c r="B119">
        <v>10</v>
      </c>
      <c r="C119" s="94">
        <f ca="1">1-C116</f>
        <v>0.99944999999999995</v>
      </c>
      <c r="D119">
        <f t="shared" ca="1" si="0"/>
        <v>89919883761.431412</v>
      </c>
      <c r="E119" s="7">
        <f ca="1">Z74</f>
        <v>1.1831064813298794E-6</v>
      </c>
      <c r="F119" s="96">
        <f t="shared" ca="1" si="3"/>
        <v>0.63286130782116201</v>
      </c>
      <c r="G119" t="s">
        <v>153</v>
      </c>
      <c r="H119">
        <v>10</v>
      </c>
      <c r="I119" s="86">
        <f ca="1">1-I116</f>
        <v>0.99618700000000004</v>
      </c>
      <c r="J119">
        <f t="shared" ca="1" si="1"/>
        <v>89626313717.193527</v>
      </c>
      <c r="K119" s="7">
        <f ca="1">BJ74</f>
        <v>1.9046320943063617E-8</v>
      </c>
      <c r="L119" s="96">
        <f t="shared" ca="1" si="2"/>
        <v>7.5315983666985296E-3</v>
      </c>
    </row>
    <row r="120" spans="1:13" x14ac:dyDescent="0.25">
      <c r="A120" t="s">
        <v>164</v>
      </c>
      <c r="B120">
        <v>7.4000000000000003E-3</v>
      </c>
      <c r="C120" s="94">
        <f ca="1">C101</f>
        <v>0.104573</v>
      </c>
      <c r="D120">
        <f t="shared" ca="1" si="0"/>
        <v>9408366606.2175865</v>
      </c>
      <c r="E120" s="7">
        <f ca="1">B96</f>
        <v>8.6836145186637567E-6</v>
      </c>
      <c r="F120" s="96">
        <f t="shared" ref="F120:F128" ca="1" si="4">D120*E120/$B$110</f>
        <v>0.48600836237246453</v>
      </c>
      <c r="G120" t="s">
        <v>164</v>
      </c>
      <c r="H120">
        <v>7.4000000000000003E-3</v>
      </c>
      <c r="I120" s="86">
        <f ca="1">AM101</f>
        <v>4.2483E-2</v>
      </c>
      <c r="J120">
        <f t="shared" ca="1" si="1"/>
        <v>3822168614.5749068</v>
      </c>
      <c r="K120" s="7">
        <f ca="1">AL96</f>
        <v>3.0108571323022691E-5</v>
      </c>
      <c r="L120" s="96">
        <f t="shared" ref="L120:L128" ca="1" si="5">J120*K120/$C$110</f>
        <v>0.5077389847129824</v>
      </c>
      <c r="M120" s="88"/>
    </row>
    <row r="121" spans="1:13" x14ac:dyDescent="0.25">
      <c r="A121" t="s">
        <v>164</v>
      </c>
      <c r="B121">
        <v>1</v>
      </c>
      <c r="C121" s="94">
        <f ca="1">O101</f>
        <v>3.3319999999999999E-3</v>
      </c>
      <c r="D121">
        <f t="shared" ca="1" si="0"/>
        <v>299777930.55489463</v>
      </c>
      <c r="E121" s="7">
        <f ca="1">N96</f>
        <v>1.8426062611190115E-4</v>
      </c>
      <c r="F121" s="96">
        <f t="shared" ca="1" si="4"/>
        <v>0.32859516873715333</v>
      </c>
      <c r="G121" t="s">
        <v>164</v>
      </c>
      <c r="H121">
        <v>1</v>
      </c>
      <c r="I121" s="86">
        <f ca="1">AY101</f>
        <v>6.241E-3</v>
      </c>
      <c r="J121">
        <f t="shared" ca="1" si="1"/>
        <v>561498818.90549147</v>
      </c>
      <c r="K121" s="7">
        <f ca="1">AX96</f>
        <v>2.0458276002879795E-4</v>
      </c>
      <c r="L121" s="96">
        <f t="shared" ca="1" si="5"/>
        <v>0.5068254333126968</v>
      </c>
      <c r="M121" s="88"/>
    </row>
    <row r="122" spans="1:13" x14ac:dyDescent="0.25">
      <c r="A122" t="s">
        <v>164</v>
      </c>
      <c r="B122">
        <v>10</v>
      </c>
      <c r="C122" s="94">
        <f ca="1">AA101</f>
        <v>2.7799999999999998E-4</v>
      </c>
      <c r="D122">
        <f t="shared" ca="1" si="0"/>
        <v>25011484.001878962</v>
      </c>
      <c r="E122" s="7">
        <f ca="1">Z96</f>
        <v>1.1554508396468348E-3</v>
      </c>
      <c r="F122" s="96">
        <f t="shared" ca="1" si="4"/>
        <v>0.17191742869686069</v>
      </c>
      <c r="G122" t="s">
        <v>164</v>
      </c>
      <c r="H122">
        <v>10</v>
      </c>
      <c r="I122" s="86">
        <f ca="1">BK101</f>
        <v>1.9239999999999999E-3</v>
      </c>
      <c r="J122">
        <f t="shared" ca="1" si="1"/>
        <v>173101061.94106162</v>
      </c>
      <c r="K122" s="7">
        <f ca="1">BJ96</f>
        <v>6.5964487952879433E-4</v>
      </c>
      <c r="L122" s="96">
        <f t="shared" ca="1" si="5"/>
        <v>0.50379104979153577</v>
      </c>
      <c r="M122" s="88"/>
    </row>
    <row r="123" spans="1:13" x14ac:dyDescent="0.25">
      <c r="A123" t="s">
        <v>159</v>
      </c>
      <c r="B123">
        <v>7.4000000000000003E-3</v>
      </c>
      <c r="C123" s="86">
        <f ca="1">C102</f>
        <v>6.0039000000000002E-2</v>
      </c>
      <c r="D123">
        <f t="shared" ca="1" si="0"/>
        <v>5401670820.1036377</v>
      </c>
      <c r="E123" s="7">
        <f ca="1">B97</f>
        <v>9.284822806873382E-6</v>
      </c>
      <c r="F123" s="96">
        <f t="shared" ca="1" si="4"/>
        <v>0.29835320575315988</v>
      </c>
      <c r="G123" t="s">
        <v>159</v>
      </c>
      <c r="H123">
        <v>7.4000000000000003E-3</v>
      </c>
      <c r="I123" s="86">
        <f ca="1">AM102</f>
        <v>2.3876999999999999E-2</v>
      </c>
      <c r="J123">
        <f t="shared" ca="1" si="1"/>
        <v>2148198573.7872806</v>
      </c>
      <c r="K123" s="7">
        <f ca="1">AL97</f>
        <v>2.8367060678300412E-5</v>
      </c>
      <c r="L123" s="96">
        <f t="shared" ca="1" si="5"/>
        <v>0.26886191118629432</v>
      </c>
    </row>
    <row r="124" spans="1:13" x14ac:dyDescent="0.25">
      <c r="A124" t="s">
        <v>159</v>
      </c>
      <c r="B124">
        <v>1</v>
      </c>
      <c r="C124" s="86">
        <f ca="1">O102</f>
        <v>1.7979999999999999E-3</v>
      </c>
      <c r="D124">
        <f t="shared" ca="1" si="0"/>
        <v>161764921.70999417</v>
      </c>
      <c r="E124" s="7">
        <f ca="1">N97</f>
        <v>2.1508920571273879E-4</v>
      </c>
      <c r="F124" s="96">
        <f t="shared" ca="1" si="4"/>
        <v>0.20698169623854573</v>
      </c>
      <c r="G124" t="s">
        <v>159</v>
      </c>
      <c r="H124">
        <v>1</v>
      </c>
      <c r="I124" s="86">
        <f ca="1">AY102</f>
        <v>3.4039999999999999E-3</v>
      </c>
      <c r="J124">
        <f t="shared" ca="1" si="1"/>
        <v>306255724.97264749</v>
      </c>
      <c r="K124" s="7">
        <f ca="1">AX97</f>
        <v>1.9858429025694334E-4</v>
      </c>
      <c r="L124" s="96">
        <f t="shared" ca="1" si="5"/>
        <v>0.26833024355569945</v>
      </c>
    </row>
    <row r="125" spans="1:13" x14ac:dyDescent="0.25">
      <c r="A125" t="s">
        <v>159</v>
      </c>
      <c r="B125">
        <v>10</v>
      </c>
      <c r="C125" s="86">
        <f ca="1">AA102</f>
        <v>1.54E-4</v>
      </c>
      <c r="D125">
        <f t="shared" ca="1" si="0"/>
        <v>13855282.504637988</v>
      </c>
      <c r="E125" s="7">
        <f ca="1">Z97</f>
        <v>1.4534919731768112E-3</v>
      </c>
      <c r="F125" s="96">
        <f t="shared" ca="1" si="4"/>
        <v>0.11980004939278176</v>
      </c>
      <c r="G125" t="s">
        <v>159</v>
      </c>
      <c r="H125">
        <v>10</v>
      </c>
      <c r="I125" s="86">
        <f ca="1">BK102</f>
        <v>1.088E-3</v>
      </c>
      <c r="J125">
        <f t="shared" ca="1" si="1"/>
        <v>97886671.201598257</v>
      </c>
      <c r="K125" s="7">
        <f ca="1">BJ97</f>
        <v>6.1758690450632861E-4</v>
      </c>
      <c r="L125" s="96">
        <f t="shared" ca="1" si="5"/>
        <v>0.26672403851742282</v>
      </c>
    </row>
    <row r="126" spans="1:13" x14ac:dyDescent="0.25">
      <c r="A126" t="s">
        <v>160</v>
      </c>
      <c r="B126">
        <v>7.4000000000000003E-3</v>
      </c>
      <c r="C126" s="86">
        <f ca="1">C103</f>
        <v>0.14487700000000001</v>
      </c>
      <c r="D126">
        <f t="shared" ca="1" si="0"/>
        <v>13034491970.288557</v>
      </c>
      <c r="E126" s="7">
        <f ca="1">B98</f>
        <v>8.832491343537745E-6</v>
      </c>
      <c r="F126" s="96">
        <f t="shared" ca="1" si="4"/>
        <v>0.68486709923282774</v>
      </c>
      <c r="G126" t="s">
        <v>160</v>
      </c>
      <c r="H126">
        <v>7.4000000000000003E-3</v>
      </c>
      <c r="I126" s="86">
        <f ca="1">AM103</f>
        <v>5.8597000000000003E-2</v>
      </c>
      <c r="J126">
        <f t="shared" ca="1" si="1"/>
        <v>5271934993.0147543</v>
      </c>
      <c r="K126" s="7">
        <f ca="1">AL98</f>
        <v>3.1430868343557339E-5</v>
      </c>
      <c r="L126" s="96">
        <f t="shared" ca="1" si="5"/>
        <v>0.73108343853757307</v>
      </c>
    </row>
    <row r="127" spans="1:13" x14ac:dyDescent="0.25">
      <c r="A127" t="s">
        <v>160</v>
      </c>
      <c r="B127">
        <v>1</v>
      </c>
      <c r="C127" s="86">
        <f ca="1">O103</f>
        <v>4.6210000000000001E-3</v>
      </c>
      <c r="D127">
        <f t="shared" ca="1" si="0"/>
        <v>415748444.50605291</v>
      </c>
      <c r="E127" s="7">
        <f ca="1">N98</f>
        <v>1.8863805290781019E-4</v>
      </c>
      <c r="F127" s="96">
        <f t="shared" ca="1" si="4"/>
        <v>0.46654002908313369</v>
      </c>
      <c r="G127" t="s">
        <v>160</v>
      </c>
      <c r="H127">
        <v>1</v>
      </c>
      <c r="I127" s="86">
        <f ca="1">AY103</f>
        <v>8.5559999999999994E-3</v>
      </c>
      <c r="J127">
        <f t="shared" ca="1" si="1"/>
        <v>769777903.30962741</v>
      </c>
      <c r="K127" s="7">
        <f ca="1">AX98</f>
        <v>2.1488660540550897E-4</v>
      </c>
      <c r="L127" s="96">
        <f t="shared" ca="1" si="5"/>
        <v>0.72981923538596905</v>
      </c>
    </row>
    <row r="128" spans="1:13" x14ac:dyDescent="0.25">
      <c r="A128" t="s">
        <v>160</v>
      </c>
      <c r="B128">
        <v>10</v>
      </c>
      <c r="C128" s="86">
        <f ca="1">AA103</f>
        <v>3.9599999999999998E-4</v>
      </c>
      <c r="D128">
        <f t="shared" ca="1" si="0"/>
        <v>35627869.29764054</v>
      </c>
      <c r="E128" s="7">
        <f ca="1">Z98</f>
        <v>1.1670061612279029E-3</v>
      </c>
      <c r="F128" s="96">
        <f t="shared" ca="1" si="4"/>
        <v>0.24733864278608039</v>
      </c>
      <c r="G128" t="s">
        <v>160</v>
      </c>
      <c r="H128">
        <v>10</v>
      </c>
      <c r="I128" s="86">
        <f ca="1">BK103</f>
        <v>2.725E-3</v>
      </c>
      <c r="J128">
        <f t="shared" ca="1" si="1"/>
        <v>245166524.8385618</v>
      </c>
      <c r="K128" s="7">
        <f ca="1">BJ98</f>
        <v>6.7093736747964874E-4</v>
      </c>
      <c r="L128" s="96">
        <f t="shared" ca="1" si="5"/>
        <v>0.7257443631159276</v>
      </c>
    </row>
    <row r="129" spans="1:12" x14ac:dyDescent="0.25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</row>
  </sheetData>
  <mergeCells count="1">
    <mergeCell ref="E1:F1"/>
  </mergeCells>
  <phoneticPr fontId="9" type="noConversion"/>
  <pageMargins left="0.7" right="0.7" top="0.75" bottom="0.75" header="0.3" footer="0.3"/>
  <pageSetup scale="36" orientation="portrait" r:id="rId1"/>
  <headerFooter>
    <oddHeader>&amp;C&amp;Z&amp;F&amp;R&amp;P of &amp;N</oddHeader>
  </headerFooter>
  <colBreaks count="1" manualBreakCount="1">
    <brk id="20" max="22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goalSeekInfo</vt:lpstr>
      <vt:lpstr>RiskSerializationData8</vt:lpstr>
      <vt:lpstr>Chicken Parts</vt:lpstr>
      <vt:lpstr>RiskSerializationData8!BrowseRecords</vt:lpstr>
      <vt:lpstr>'Chicken Parts'!Print_Area</vt:lpstr>
      <vt:lpstr>RiskSerializationData8!SerializationHeader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Chavez Viteri, Ruben Alexander</dc:creator>
  <cp:lastModifiedBy>Kim, Minho</cp:lastModifiedBy>
  <cp:lastPrinted>2023-06-15T16:04:01Z</cp:lastPrinted>
  <dcterms:created xsi:type="dcterms:W3CDTF">2023-01-06T19:28:37Z</dcterms:created>
  <dcterms:modified xsi:type="dcterms:W3CDTF">2024-05-02T16:45:08Z</dcterms:modified>
</cp:coreProperties>
</file>