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areyes3\Documents\GitHub\CPS-Farm-to-Facility_L_T\"/>
    </mc:Choice>
  </mc:AlternateContent>
  <xr:revisionPtr revIDLastSave="0" documentId="13_ncr:1_{B5AE42D6-C9BD-4771-B571-A7E512876B9A}" xr6:coauthVersionLast="47" xr6:coauthVersionMax="47" xr10:uidLastSave="{00000000-0000-0000-0000-000000000000}"/>
  <bookViews>
    <workbookView xWindow="-120" yWindow="-120" windowWidth="29040" windowHeight="15840" activeTab="5" xr2:uid="{A7FC8448-A2FF-4BB1-802F-01EED4E56C52}"/>
  </bookViews>
  <sheets>
    <sheet name="Flume Washing" sheetId="5" r:id="rId1"/>
    <sheet name="Transfer Coefficients" sheetId="1" r:id="rId2"/>
    <sheet name="Growth Survival Model" sheetId="2" r:id="rId3"/>
    <sheet name="Waxing" sheetId="4" r:id="rId4"/>
    <sheet name="Temperature &amp; RH Calculations" sheetId="3" r:id="rId5"/>
    <sheet name="Freshcut-Dicing"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7" l="1"/>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30" i="7"/>
  <c r="C32" i="7"/>
  <c r="C33" i="7"/>
  <c r="C34" i="7"/>
  <c r="C31" i="7"/>
  <c r="B32" i="7"/>
  <c r="E34" i="7"/>
  <c r="D34" i="7"/>
  <c r="D54" i="7"/>
  <c r="G32" i="7"/>
  <c r="G33" i="7"/>
  <c r="G34" i="7"/>
  <c r="G35" i="7"/>
  <c r="G36" i="7"/>
  <c r="G37" i="7"/>
  <c r="G38" i="7"/>
  <c r="G39" i="7"/>
  <c r="G40" i="7"/>
  <c r="G31" i="7"/>
  <c r="B31" i="7"/>
  <c r="A27" i="7"/>
  <c r="B27" i="7" s="1"/>
  <c r="A15" i="7"/>
  <c r="B15" i="7" s="1"/>
  <c r="A10" i="7"/>
  <c r="B21" i="7"/>
  <c r="A18" i="7"/>
  <c r="B19" i="7" s="1"/>
  <c r="R37" i="4"/>
  <c r="S37" i="4" s="1"/>
  <c r="O37" i="4"/>
  <c r="P37" i="4" s="1"/>
  <c r="M37" i="4"/>
  <c r="L37" i="4"/>
  <c r="I37" i="4"/>
  <c r="J37" i="4" s="1"/>
  <c r="F37" i="4"/>
  <c r="G37" i="4" s="1"/>
  <c r="D37" i="4"/>
  <c r="C37" i="4"/>
  <c r="R36" i="4"/>
  <c r="S36" i="4" s="1"/>
  <c r="O36" i="4"/>
  <c r="P36" i="4" s="1"/>
  <c r="M36" i="4"/>
  <c r="L36" i="4"/>
  <c r="I36" i="4"/>
  <c r="J36" i="4" s="1"/>
  <c r="F36" i="4"/>
  <c r="G36" i="4" s="1"/>
  <c r="D36" i="4"/>
  <c r="C36" i="4"/>
  <c r="R35" i="4"/>
  <c r="S35" i="4" s="1"/>
  <c r="O35" i="4"/>
  <c r="P35" i="4" s="1"/>
  <c r="M35" i="4"/>
  <c r="L35" i="4"/>
  <c r="I35" i="4"/>
  <c r="J35" i="4" s="1"/>
  <c r="F35" i="4"/>
  <c r="G35" i="4" s="1"/>
  <c r="D35" i="4"/>
  <c r="C35" i="4"/>
  <c r="R34" i="4"/>
  <c r="S34" i="4" s="1"/>
  <c r="O34" i="4"/>
  <c r="P34" i="4" s="1"/>
  <c r="M34" i="4"/>
  <c r="L34" i="4"/>
  <c r="I34" i="4"/>
  <c r="J34" i="4" s="1"/>
  <c r="F34" i="4"/>
  <c r="G34" i="4" s="1"/>
  <c r="D34" i="4"/>
  <c r="C34" i="4"/>
  <c r="R33" i="4"/>
  <c r="S33" i="4" s="1"/>
  <c r="O33" i="4"/>
  <c r="P33" i="4" s="1"/>
  <c r="M33" i="4"/>
  <c r="L33" i="4"/>
  <c r="I33" i="4"/>
  <c r="J33" i="4" s="1"/>
  <c r="F33" i="4"/>
  <c r="G33" i="4" s="1"/>
  <c r="D33" i="4"/>
  <c r="C33" i="4"/>
  <c r="R32" i="4"/>
  <c r="S32" i="4" s="1"/>
  <c r="O32" i="4"/>
  <c r="P32" i="4" s="1"/>
  <c r="M32" i="4"/>
  <c r="L32" i="4"/>
  <c r="I32" i="4"/>
  <c r="J32" i="4" s="1"/>
  <c r="F32" i="4"/>
  <c r="G32" i="4" s="1"/>
  <c r="D32" i="4"/>
  <c r="C32" i="4"/>
  <c r="R31" i="4"/>
  <c r="S31" i="4" s="1"/>
  <c r="O31" i="4"/>
  <c r="P31" i="4" s="1"/>
  <c r="M31" i="4"/>
  <c r="L31" i="4"/>
  <c r="I31" i="4"/>
  <c r="J31" i="4" s="1"/>
  <c r="F31" i="4"/>
  <c r="G31" i="4" s="1"/>
  <c r="D31" i="4"/>
  <c r="C31" i="4"/>
  <c r="R30" i="4"/>
  <c r="S30" i="4" s="1"/>
  <c r="O30" i="4"/>
  <c r="P30" i="4" s="1"/>
  <c r="M30" i="4"/>
  <c r="L30" i="4"/>
  <c r="I30" i="4"/>
  <c r="J30" i="4" s="1"/>
  <c r="F30" i="4"/>
  <c r="G30" i="4" s="1"/>
  <c r="D30" i="4"/>
  <c r="C30" i="4"/>
  <c r="R29" i="4"/>
  <c r="S29" i="4" s="1"/>
  <c r="O29" i="4"/>
  <c r="P29" i="4" s="1"/>
  <c r="M29" i="4"/>
  <c r="L29" i="4"/>
  <c r="I29" i="4"/>
  <c r="J29" i="4" s="1"/>
  <c r="F29" i="4"/>
  <c r="G29" i="4" s="1"/>
  <c r="D29" i="4"/>
  <c r="C29" i="4"/>
  <c r="M23" i="4"/>
  <c r="L23" i="4"/>
  <c r="I23" i="4"/>
  <c r="J23" i="4" s="1"/>
  <c r="F23" i="4"/>
  <c r="G23" i="4" s="1"/>
  <c r="C23" i="4"/>
  <c r="D23" i="4" s="1"/>
  <c r="L22" i="4"/>
  <c r="M22" i="4" s="1"/>
  <c r="J22" i="4"/>
  <c r="I22" i="4"/>
  <c r="G22" i="4"/>
  <c r="F22" i="4"/>
  <c r="C22" i="4"/>
  <c r="D22" i="4" s="1"/>
  <c r="L21" i="4"/>
  <c r="M21" i="4" s="1"/>
  <c r="I21" i="4"/>
  <c r="J21" i="4" s="1"/>
  <c r="F21" i="4"/>
  <c r="G21" i="4" s="1"/>
  <c r="D21" i="4"/>
  <c r="C21" i="4"/>
  <c r="M20" i="4"/>
  <c r="L20" i="4"/>
  <c r="I20" i="4"/>
  <c r="J20" i="4" s="1"/>
  <c r="F20" i="4"/>
  <c r="G20" i="4" s="1"/>
  <c r="C20" i="4"/>
  <c r="D20" i="4" s="1"/>
  <c r="L19" i="4"/>
  <c r="M19" i="4" s="1"/>
  <c r="J19" i="4"/>
  <c r="I19" i="4"/>
  <c r="G19" i="4"/>
  <c r="F19" i="4"/>
  <c r="C19" i="4"/>
  <c r="D19" i="4" s="1"/>
  <c r="L18" i="4"/>
  <c r="M18" i="4" s="1"/>
  <c r="I18" i="4"/>
  <c r="J18" i="4" s="1"/>
  <c r="F18" i="4"/>
  <c r="G18" i="4" s="1"/>
  <c r="D18" i="4"/>
  <c r="C18" i="4"/>
  <c r="M17" i="4"/>
  <c r="L17" i="4"/>
  <c r="I17" i="4"/>
  <c r="J17" i="4" s="1"/>
  <c r="F17" i="4"/>
  <c r="G17" i="4" s="1"/>
  <c r="C17" i="4"/>
  <c r="D17" i="4" s="1"/>
  <c r="L16" i="4"/>
  <c r="M16" i="4" s="1"/>
  <c r="J16" i="4"/>
  <c r="I16" i="4"/>
  <c r="G16" i="4"/>
  <c r="F16" i="4"/>
  <c r="C16" i="4"/>
  <c r="D16" i="4" s="1"/>
  <c r="L15" i="4"/>
  <c r="M15" i="4" s="1"/>
  <c r="I15" i="4"/>
  <c r="J15" i="4" s="1"/>
  <c r="F15" i="4"/>
  <c r="G15" i="4" s="1"/>
  <c r="D15" i="4"/>
  <c r="C15" i="4"/>
  <c r="B33" i="7" l="1"/>
  <c r="A28" i="7"/>
  <c r="B28" i="7"/>
  <c r="C27" i="7"/>
  <c r="B16" i="7"/>
  <c r="C15" i="7"/>
  <c r="A16" i="7"/>
  <c r="B23" i="5"/>
  <c r="E23" i="5"/>
  <c r="F23" i="5" s="1"/>
  <c r="E19" i="5"/>
  <c r="F19" i="5" s="1"/>
  <c r="E20" i="5"/>
  <c r="F20" i="5" s="1"/>
  <c r="E21" i="5"/>
  <c r="F21" i="5" s="1"/>
  <c r="E22" i="5"/>
  <c r="F22" i="5" s="1"/>
  <c r="E18" i="5"/>
  <c r="F18" i="5" s="1"/>
  <c r="C18" i="5"/>
  <c r="D18" i="5" s="1"/>
  <c r="C22" i="5"/>
  <c r="D22" i="5" s="1"/>
  <c r="C21" i="5"/>
  <c r="D21" i="5" s="1"/>
  <c r="C20" i="5"/>
  <c r="D20" i="5" s="1"/>
  <c r="C19" i="5"/>
  <c r="D19" i="5" s="1"/>
  <c r="B22" i="5"/>
  <c r="B21" i="5"/>
  <c r="B20" i="5"/>
  <c r="B19" i="5"/>
  <c r="B18" i="5"/>
  <c r="O41" i="3"/>
  <c r="O40" i="3"/>
  <c r="AB16" i="3"/>
  <c r="B34" i="7" l="1"/>
  <c r="D27" i="7"/>
  <c r="C28" i="7"/>
  <c r="C16" i="7"/>
  <c r="D15" i="7"/>
  <c r="B35" i="7" l="1"/>
  <c r="D28" i="7"/>
  <c r="E27" i="7"/>
  <c r="E15" i="7"/>
  <c r="D16" i="7"/>
  <c r="B36" i="7" l="1"/>
  <c r="F27" i="7"/>
  <c r="E28" i="7"/>
  <c r="E16" i="7"/>
  <c r="F15" i="7"/>
  <c r="B37" i="7" l="1"/>
  <c r="G27" i="7"/>
  <c r="F28" i="7"/>
  <c r="F16" i="7"/>
  <c r="G15" i="7"/>
  <c r="B38" i="7" l="1"/>
  <c r="H27" i="7"/>
  <c r="G28" i="7"/>
  <c r="G16" i="7"/>
  <c r="H15" i="7"/>
  <c r="B39" i="7" l="1"/>
  <c r="I27" i="7"/>
  <c r="H28" i="7"/>
  <c r="H16" i="7"/>
  <c r="I15" i="7"/>
  <c r="B40" i="7" l="1"/>
  <c r="I28" i="7"/>
  <c r="J27" i="7"/>
  <c r="J28" i="7" s="1"/>
  <c r="I16" i="7"/>
  <c r="J15" i="7"/>
  <c r="J16" i="7" s="1"/>
  <c r="B41" i="7" l="1"/>
  <c r="B42" i="7" l="1"/>
  <c r="B43" i="7" l="1"/>
  <c r="B44" i="7" l="1"/>
  <c r="B45" i="7" l="1"/>
  <c r="B46" i="7" l="1"/>
  <c r="B47" i="7" l="1"/>
  <c r="B48" i="7" l="1"/>
  <c r="B49" i="7" l="1"/>
  <c r="B50" i="7" l="1"/>
  <c r="B51" i="7" l="1"/>
  <c r="B52" i="7" l="1"/>
  <c r="B53" i="7" l="1"/>
  <c r="B54" i="7" l="1"/>
  <c r="B55" i="7" l="1"/>
  <c r="B56" i="7" l="1"/>
  <c r="B57" i="7" l="1"/>
  <c r="B58" i="7" l="1"/>
  <c r="B59" i="7" l="1"/>
  <c r="B60" i="7" l="1"/>
  <c r="B61" i="7" l="1"/>
  <c r="B62" i="7" l="1"/>
  <c r="B63" i="7" l="1"/>
  <c r="B64" i="7" l="1"/>
  <c r="B65" i="7" l="1"/>
  <c r="B66" i="7" l="1"/>
  <c r="B67" i="7" l="1"/>
</calcChain>
</file>

<file path=xl/sharedStrings.xml><?xml version="1.0" encoding="utf-8"?>
<sst xmlns="http://schemas.openxmlformats.org/spreadsheetml/2006/main" count="343" uniqueCount="183">
  <si>
    <t>Parameters</t>
  </si>
  <si>
    <t>Tr_P_S</t>
  </si>
  <si>
    <t>Trasnfer from product to surface</t>
  </si>
  <si>
    <t>Tr_S_P</t>
  </si>
  <si>
    <t>Trasnfer from surface to product</t>
  </si>
  <si>
    <t>Desc</t>
  </si>
  <si>
    <t>Value</t>
  </si>
  <si>
    <t>Unit</t>
  </si>
  <si>
    <t>Reference</t>
  </si>
  <si>
    <t xml:space="preserve">0.02 (sd, 0.0085) </t>
  </si>
  <si>
    <t>Uless</t>
  </si>
  <si>
    <t>0.01 (df, 0.00425)</t>
  </si>
  <si>
    <t>Zoellner, 2018</t>
  </si>
  <si>
    <t>Justification</t>
  </si>
  <si>
    <t>Transfer coefficients used for cross contmaination between product and surfaces for the drying, and sorting stages. 
Zoellner obtain parameters from Wang and Ryser. Variability obtained from backcalcution of 95% intervals and adapting it to a random normal distribution</t>
  </si>
  <si>
    <t>Log_red</t>
  </si>
  <si>
    <t>log CFU/ 7d</t>
  </si>
  <si>
    <t>Log reduction of salmonella o cucumber surface as a factor of RH and Temp</t>
  </si>
  <si>
    <t>4.48384 - 0.00199 (T) (RH)</t>
  </si>
  <si>
    <t>Jung and Shaffner, 2021</t>
  </si>
  <si>
    <t>This is one the only research paper than quantified survival of salmonella on product as a factor of RH and Temperature</t>
  </si>
  <si>
    <t>cocktail of salmonella (newport, stanley, montevideo, Sainpaul</t>
  </si>
  <si>
    <t>Salmonella used</t>
  </si>
  <si>
    <t>RH_Env</t>
  </si>
  <si>
    <t>%</t>
  </si>
  <si>
    <t>APALACHICOLA</t>
  </si>
  <si>
    <t>DAYTONA BEACH</t>
  </si>
  <si>
    <t>FORT MYERS</t>
  </si>
  <si>
    <t>GAINESVILLE</t>
  </si>
  <si>
    <t>JACKSONVILLE</t>
  </si>
  <si>
    <t>KEY WEST</t>
  </si>
  <si>
    <t>MIAMI</t>
  </si>
  <si>
    <t>ORLANDO</t>
  </si>
  <si>
    <t>PENSACOLA</t>
  </si>
  <si>
    <t>TALLAHASSEE</t>
  </si>
  <si>
    <t>TAMPA</t>
  </si>
  <si>
    <t>VERO BEACH</t>
  </si>
  <si>
    <t>WEST PALM BEACH</t>
  </si>
  <si>
    <t>Average annual relative humidity in florida, taking into consideration morning and afternoon relative humidities</t>
  </si>
  <si>
    <t>https://climatecenter.fsu.edu/products-services/data/other-normals/relative-humidity</t>
  </si>
  <si>
    <t>NA</t>
  </si>
  <si>
    <t>Temp_Env</t>
  </si>
  <si>
    <t>71.4 </t>
  </si>
  <si>
    <t>73.9 </t>
  </si>
  <si>
    <t> 81.0</t>
  </si>
  <si>
    <t> 80.6</t>
  </si>
  <si>
    <t> 81.9</t>
  </si>
  <si>
    <t>79.9 </t>
  </si>
  <si>
    <t>73.8 </t>
  </si>
  <si>
    <t>67.3 </t>
  </si>
  <si>
    <t> 64.6</t>
  </si>
  <si>
    <t>71.6 </t>
  </si>
  <si>
    <t>Year</t>
  </si>
  <si>
    <t>JAN</t>
  </si>
  <si>
    <t>FEB</t>
  </si>
  <si>
    <t>MAR</t>
  </si>
  <si>
    <t>APR</t>
  </si>
  <si>
    <t>MAY</t>
  </si>
  <si>
    <t>JUN</t>
  </si>
  <si>
    <t>JUL</t>
  </si>
  <si>
    <t>AUG</t>
  </si>
  <si>
    <t>SEP</t>
  </si>
  <si>
    <t>OCT</t>
  </si>
  <si>
    <t>NOV</t>
  </si>
  <si>
    <t>DEC</t>
  </si>
  <si>
    <t>Annua</t>
  </si>
  <si>
    <t>in C</t>
  </si>
  <si>
    <t>C</t>
  </si>
  <si>
    <t>https://climatecenter.fsu.edu/products-services/data/statewide-averages/temperature</t>
  </si>
  <si>
    <t>Taking the 20 year average of temperatures in florida. Also from the FSU climate Center</t>
  </si>
  <si>
    <t>Relative Humidity of environment</t>
  </si>
  <si>
    <t xml:space="preserve">Average environment temperature. </t>
  </si>
  <si>
    <t>RH_Ripening</t>
  </si>
  <si>
    <t>Relative Humidity at ripening</t>
  </si>
  <si>
    <t xml:space="preserve">Taken from data from Shcenider et al about ripening conditions </t>
  </si>
  <si>
    <t>Temp_Ripening</t>
  </si>
  <si>
    <t>Temperature of ripening room</t>
  </si>
  <si>
    <t xml:space="preserve">Taken from Shneider et al on average temperature of ripening rooms. </t>
  </si>
  <si>
    <t>Allen et al. 
Survival of Salmonella spp. on the Surfaces of Fresh Tomatoes and Selected Packing Line Materials</t>
  </si>
  <si>
    <t xml:space="preserve">Used: </t>
  </si>
  <si>
    <t xml:space="preserve">Not Used: </t>
  </si>
  <si>
    <t>Survival during Fall and Winter</t>
  </si>
  <si>
    <t>Survival during summer and spring</t>
  </si>
  <si>
    <t>Survival in ripening room</t>
  </si>
  <si>
    <t>Log CFU after 28 days</t>
  </si>
  <si>
    <t xml:space="preserve">While this paper provides information of slamonella survival on tomato surface, it is isothermal, and iso RH. Which does not allow us to calculate survival over multiple days. Regression curves could be fitted to obtain a log liner die-off if necessary. </t>
  </si>
  <si>
    <t>Salmonella argona, gaminara, michigan, poona and montevideo</t>
  </si>
  <si>
    <t>https://meridian.allenpress.com/jfp/article/84/3/456/446920/Quantification-of-Survival-and-Transfer-of</t>
  </si>
  <si>
    <t>https://meridian.allenpress.com/jfp/article/65/2/274/168073/Survival-of-Salmonella-on-Tomatoes-Stored-at-High</t>
  </si>
  <si>
    <t>Survival on skin</t>
  </si>
  <si>
    <t>2.85-3.86 overnight
higher concentration survival after 9.48 CFU/g innoculation</t>
  </si>
  <si>
    <t>Wei et al, 1995</t>
  </si>
  <si>
    <t xml:space="preserve">Salmonella motevideo </t>
  </si>
  <si>
    <t>Does not provide enough datas to be able to assess or model salmonella dieoff As a function of temperature</t>
  </si>
  <si>
    <t xml:space="preserve">Salkmonella motevideo, michigan, Poona, Hartford, </t>
  </si>
  <si>
    <t>Wash_Red</t>
  </si>
  <si>
    <t>Washing reduction when Fc levels are under 10 mg/L</t>
  </si>
  <si>
    <t>Washing Reduction when FC levels are over 10 mg/L</t>
  </si>
  <si>
    <t>log CFU/g</t>
  </si>
  <si>
    <t>y = 0.0056x + 0.5952</t>
  </si>
  <si>
    <t>y = 0.04+0.3</t>
  </si>
  <si>
    <t>Maffei, 2017</t>
  </si>
  <si>
    <t xml:space="preserve">Salmonella reduction in leafy green when exposed to chlorinated wash. </t>
  </si>
  <si>
    <t>Log_red_SD</t>
  </si>
  <si>
    <t>Log reduction standard deviation</t>
  </si>
  <si>
    <t>CC_Upper</t>
  </si>
  <si>
    <t>Log % Transfer to non_ contmianted portions Upper</t>
  </si>
  <si>
    <t>CC_Lower</t>
  </si>
  <si>
    <t>Log % Transfer to non contmianated portion lower</t>
  </si>
  <si>
    <t>y=-0.6798*x-0.6</t>
  </si>
  <si>
    <t>y=-1.3596*x-0.6</t>
  </si>
  <si>
    <t>Log_CC</t>
  </si>
  <si>
    <t xml:space="preserve">Using distributio for log CC </t>
  </si>
  <si>
    <t>Uniform(CC_Lower, CC_Uper)</t>
  </si>
  <si>
    <t>Other Washing</t>
  </si>
  <si>
    <t>2 min dump tank approx 1/10 ratio</t>
  </si>
  <si>
    <t>log reduction</t>
  </si>
  <si>
    <t>log redution</t>
  </si>
  <si>
    <t>Wang and Rye, 2014</t>
  </si>
  <si>
    <t>40 ppm chlorine + T-128</t>
  </si>
  <si>
    <t>Overhead Pray Wash with Rollers</t>
  </si>
  <si>
    <t>25 ppm NaOCl, 15s</t>
  </si>
  <si>
    <t>25 ppm NaOCl, 30 s</t>
  </si>
  <si>
    <t>25 ppm NaOCl, 60 s</t>
  </si>
  <si>
    <t>Chang and Schneider, 2012</t>
  </si>
  <si>
    <t>50 ppm NaOCl, 15s</t>
  </si>
  <si>
    <t>50 ppm NaOCl, 30 s</t>
  </si>
  <si>
    <t>50 ppm NaOCl, 60 s</t>
  </si>
  <si>
    <t>FC levels</t>
  </si>
  <si>
    <t>Log Red</t>
  </si>
  <si>
    <t>Min CC Levels</t>
  </si>
  <si>
    <t>Max CC Levels</t>
  </si>
  <si>
    <t>100 ppm NaOCl, 15s</t>
  </si>
  <si>
    <t>100 ppm NaOCl, 30 s</t>
  </si>
  <si>
    <t>100 ppm NaOCl, 60 s</t>
  </si>
  <si>
    <t>Water</t>
  </si>
  <si>
    <t>100ppm NaOCl</t>
  </si>
  <si>
    <t>simulated flume treatment (10L), 15s</t>
  </si>
  <si>
    <t>simulated flume treatment (10L), 30s</t>
  </si>
  <si>
    <t>simulated flume treatment (10L), 60s</t>
  </si>
  <si>
    <t>40 ppm chlorine with electrolized water</t>
  </si>
  <si>
    <t>Zhuang, Beuchat and Angulo, 1995</t>
  </si>
  <si>
    <t>60ppm free chlorine, pH 7.1</t>
  </si>
  <si>
    <t>110ppm free chlorine, pH 7.1</t>
  </si>
  <si>
    <t>210ppm free chlorine, pH 7.1</t>
  </si>
  <si>
    <t>320ppm free chlorine, pH 7.1</t>
  </si>
  <si>
    <t>submerged for 2min, 37C</t>
  </si>
  <si>
    <t xml:space="preserve">Bolten et al. </t>
  </si>
  <si>
    <t xml:space="preserve">Bolten et al., Nou </t>
  </si>
  <si>
    <t>dump tank 30kg, 30L for 30 min</t>
  </si>
  <si>
    <t>1.22 +- 0.51</t>
  </si>
  <si>
    <t>2.29  +- 0.30</t>
  </si>
  <si>
    <t>2.45  +- 0.16</t>
  </si>
  <si>
    <t>Cross Contmaination</t>
  </si>
  <si>
    <t xml:space="preserve">Very low. And non existent at high chlorine levels. </t>
  </si>
  <si>
    <t>0 ppm FC 6.5 pH</t>
  </si>
  <si>
    <t>25 ppm FC pH</t>
  </si>
  <si>
    <t>50 ppm FC pH</t>
  </si>
  <si>
    <t>100 ppm FC pH</t>
  </si>
  <si>
    <t>150 ppm FC pH</t>
  </si>
  <si>
    <t>Chl_levels _Wash</t>
  </si>
  <si>
    <t xml:space="preserve">observed below we see between 25 and 200 ppm which is the limit for sodium hypochlorite. Therefore we decided to fit a triangular distribution of chlorine levels between with a lowest value of 25, med value of 100, and max value of 200 top simulate a variety of washing efficacies. </t>
  </si>
  <si>
    <t>Triangular (25,100,200)</t>
  </si>
  <si>
    <t xml:space="preserve">Maffei, Chang and Shneider, BoltenYuk and Bartz. </t>
  </si>
  <si>
    <t>Tr_Tomato_Brush</t>
  </si>
  <si>
    <t>Tr_Brush Tomato</t>
  </si>
  <si>
    <t>Decco Mineral Oil</t>
  </si>
  <si>
    <t>EU (veg oil)</t>
  </si>
  <si>
    <t>Dura (petrolium)</t>
  </si>
  <si>
    <t>A</t>
  </si>
  <si>
    <t>B</t>
  </si>
  <si>
    <t>run</t>
  </si>
  <si>
    <t>Inoculated-unwaxed cucumber</t>
  </si>
  <si>
    <t>Decco (mineral oil)</t>
  </si>
  <si>
    <t>CFU/cucumber</t>
  </si>
  <si>
    <t>% transfer</t>
  </si>
  <si>
    <t>log % transfer</t>
  </si>
  <si>
    <t>CFU/brush</t>
  </si>
  <si>
    <t>Brush-decco</t>
  </si>
  <si>
    <t>Brush-eu</t>
  </si>
  <si>
    <t>Brush-dura</t>
  </si>
  <si>
    <t>log Tr</t>
  </si>
  <si>
    <t>%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</si>
</sst>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2"/>
      <color rgb="FF2C2A29"/>
      <name val="Arial"/>
      <family val="2"/>
    </font>
    <font>
      <u/>
      <sz val="11"/>
      <color theme="10"/>
      <name val="Calibri"/>
      <family val="2"/>
      <scheme val="minor"/>
    </font>
    <font>
      <sz val="8"/>
      <name val="Calibri"/>
      <family val="2"/>
      <scheme val="minor"/>
    </font>
    <font>
      <sz val="11"/>
      <color rgb="FF2E2E2E"/>
      <name val="Georgia"/>
      <family val="1"/>
    </font>
  </fonts>
  <fills count="4">
    <fill>
      <patternFill patternType="none"/>
    </fill>
    <fill>
      <patternFill patternType="gray125"/>
    </fill>
    <fill>
      <patternFill patternType="solid">
        <fgColor rgb="FFF3F3F3"/>
        <bgColor indexed="64"/>
      </patternFill>
    </fill>
    <fill>
      <patternFill patternType="solid">
        <fgColor rgb="FFFFFF00"/>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0" xfId="0" applyAlignment="1">
      <alignment vertical="top"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2" fillId="2" borderId="7" xfId="0" applyFont="1" applyFill="1" applyBorder="1" applyAlignment="1">
      <alignment vertical="center" wrapText="1"/>
    </xf>
    <xf numFmtId="0" fontId="2" fillId="2" borderId="8" xfId="0" applyFont="1" applyFill="1" applyBorder="1" applyAlignment="1">
      <alignment vertical="center" wrapText="1"/>
    </xf>
    <xf numFmtId="0" fontId="2" fillId="2" borderId="9" xfId="0" applyFont="1" applyFill="1" applyBorder="1" applyAlignment="1">
      <alignment vertical="center" wrapText="1"/>
    </xf>
    <xf numFmtId="0" fontId="1" fillId="0" borderId="0" xfId="0" applyFont="1"/>
    <xf numFmtId="0" fontId="2" fillId="2" borderId="10" xfId="0" applyFont="1" applyFill="1" applyBorder="1" applyAlignment="1">
      <alignment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3" fillId="0" borderId="0" xfId="1"/>
    <xf numFmtId="0" fontId="5" fillId="0" borderId="0" xfId="0" applyFont="1"/>
    <xf numFmtId="0" fontId="0" fillId="3" borderId="0" xfId="0" applyFill="1"/>
    <xf numFmtId="0" fontId="0" fillId="0" borderId="0" xfId="0" applyAlignment="1">
      <alignment horizontal="right"/>
    </xf>
    <xf numFmtId="0" fontId="0" fillId="0" borderId="18" xfId="0" applyBorder="1"/>
    <xf numFmtId="0" fontId="0" fillId="0" borderId="13" xfId="0" applyBorder="1"/>
    <xf numFmtId="0" fontId="0" fillId="0" borderId="19" xfId="0" applyBorder="1"/>
    <xf numFmtId="0" fontId="0" fillId="0" borderId="20" xfId="0" applyBorder="1"/>
    <xf numFmtId="0" fontId="0" fillId="0" borderId="21" xfId="0" applyBorder="1"/>
    <xf numFmtId="0" fontId="0" fillId="0" borderId="17" xfId="0" applyBorder="1"/>
    <xf numFmtId="0" fontId="0" fillId="0" borderId="22" xfId="0" applyBorder="1"/>
    <xf numFmtId="0" fontId="0" fillId="0" borderId="23" xfId="0" applyBorder="1"/>
    <xf numFmtId="0" fontId="0" fillId="0" borderId="0" xfId="0" applyAlignment="1">
      <alignment horizontal="left" vertical="top"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3" xfId="0" applyBorder="1" applyAlignment="1">
      <alignment horizontal="center"/>
    </xf>
    <xf numFmtId="0" fontId="0" fillId="0" borderId="17"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meridian.allenpress.com/jfp/article/65/2/274/168073/Survival-of-Salmonella-on-Tomatoes-Stored-at-Hig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meridian.allenpress.com/jfp/article/84/3/456/446920/Quantification-of-Survival-and-Transfer-o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AF4F1-701C-4DEC-AB88-26A27A997BD3}">
  <sheetPr>
    <tabColor theme="4"/>
  </sheetPr>
  <dimension ref="A1:F57"/>
  <sheetViews>
    <sheetView workbookViewId="0">
      <selection activeCell="P47" sqref="P47"/>
    </sheetView>
  </sheetViews>
  <sheetFormatPr defaultRowHeight="15" x14ac:dyDescent="0.25"/>
  <cols>
    <col min="1" max="1" width="11.140625" bestFit="1" customWidth="1"/>
    <col min="2" max="2" width="35.42578125" customWidth="1"/>
    <col min="3" max="3" width="23.7109375"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ht="30" x14ac:dyDescent="0.25">
      <c r="A2" s="2" t="s">
        <v>95</v>
      </c>
      <c r="B2" s="2" t="s">
        <v>96</v>
      </c>
      <c r="C2" s="2" t="s">
        <v>100</v>
      </c>
      <c r="D2" s="2" t="s">
        <v>98</v>
      </c>
      <c r="E2" s="2" t="s">
        <v>101</v>
      </c>
      <c r="F2" s="2" t="s">
        <v>102</v>
      </c>
    </row>
    <row r="3" spans="1:6" s="1" customFormat="1" ht="30" x14ac:dyDescent="0.25">
      <c r="A3" s="2" t="s">
        <v>95</v>
      </c>
      <c r="B3" s="2" t="s">
        <v>97</v>
      </c>
      <c r="C3" s="2" t="s">
        <v>99</v>
      </c>
      <c r="D3" s="2" t="s">
        <v>98</v>
      </c>
      <c r="E3" s="2" t="s">
        <v>101</v>
      </c>
      <c r="F3" s="2"/>
    </row>
    <row r="4" spans="1:6" s="1" customFormat="1" ht="30" x14ac:dyDescent="0.25">
      <c r="A4" s="2" t="s">
        <v>103</v>
      </c>
      <c r="B4" s="2" t="s">
        <v>104</v>
      </c>
      <c r="C4" s="2">
        <v>0.17499999999999999</v>
      </c>
      <c r="D4" s="2"/>
      <c r="E4" s="2" t="s">
        <v>101</v>
      </c>
      <c r="F4" s="2"/>
    </row>
    <row r="5" spans="1:6" ht="30" x14ac:dyDescent="0.25">
      <c r="A5" s="2" t="s">
        <v>105</v>
      </c>
      <c r="B5" s="2" t="s">
        <v>106</v>
      </c>
      <c r="C5" t="s">
        <v>109</v>
      </c>
      <c r="E5" s="2" t="s">
        <v>101</v>
      </c>
    </row>
    <row r="6" spans="1:6" ht="30" x14ac:dyDescent="0.25">
      <c r="A6" s="2" t="s">
        <v>107</v>
      </c>
      <c r="B6" s="2" t="s">
        <v>108</v>
      </c>
      <c r="C6" t="s">
        <v>110</v>
      </c>
      <c r="E6" s="2" t="s">
        <v>101</v>
      </c>
    </row>
    <row r="7" spans="1:6" ht="30" x14ac:dyDescent="0.25">
      <c r="A7" s="2" t="s">
        <v>111</v>
      </c>
      <c r="B7" s="2" t="s">
        <v>112</v>
      </c>
      <c r="C7" s="2" t="s">
        <v>113</v>
      </c>
      <c r="E7" s="2" t="s">
        <v>101</v>
      </c>
    </row>
    <row r="9" spans="1:6" ht="105" x14ac:dyDescent="0.25">
      <c r="A9" s="2" t="s">
        <v>160</v>
      </c>
      <c r="C9" t="s">
        <v>162</v>
      </c>
      <c r="E9" s="2" t="s">
        <v>163</v>
      </c>
      <c r="F9" s="2" t="s">
        <v>161</v>
      </c>
    </row>
    <row r="12" spans="1:6" x14ac:dyDescent="0.25">
      <c r="B12" s="19"/>
    </row>
    <row r="17" spans="1:6" x14ac:dyDescent="0.25">
      <c r="A17" t="s">
        <v>128</v>
      </c>
      <c r="B17" t="s">
        <v>129</v>
      </c>
      <c r="C17" t="s">
        <v>130</v>
      </c>
      <c r="D17" t="s">
        <v>130</v>
      </c>
      <c r="E17" t="s">
        <v>131</v>
      </c>
    </row>
    <row r="18" spans="1:6" x14ac:dyDescent="0.25">
      <c r="A18">
        <v>0</v>
      </c>
      <c r="B18">
        <f>(0*0.04)+0.3</f>
        <v>0.3</v>
      </c>
      <c r="C18">
        <f>-1.3596*0-0.6</f>
        <v>-0.6</v>
      </c>
      <c r="D18">
        <f>10^C18</f>
        <v>0.25118864315095801</v>
      </c>
      <c r="E18">
        <f>-0.6798*A18-0.6</f>
        <v>-0.6</v>
      </c>
      <c r="F18">
        <f>10^E18</f>
        <v>0.25118864315095801</v>
      </c>
    </row>
    <row r="19" spans="1:6" x14ac:dyDescent="0.25">
      <c r="A19">
        <v>25</v>
      </c>
      <c r="B19">
        <f>(25*0.0056)+0.5952</f>
        <v>0.73519999999999996</v>
      </c>
      <c r="C19">
        <f>-1.3596*25-0.6</f>
        <v>-34.589999999999996</v>
      </c>
      <c r="D19">
        <f t="shared" ref="D19:F23" si="0">10^C19</f>
        <v>2.5703957827688728E-35</v>
      </c>
      <c r="E19">
        <f t="shared" ref="E19:E23" si="1">-0.6798*A19-0.6</f>
        <v>-17.594999999999999</v>
      </c>
      <c r="F19">
        <f t="shared" si="0"/>
        <v>2.5409727055492989E-18</v>
      </c>
    </row>
    <row r="20" spans="1:6" x14ac:dyDescent="0.25">
      <c r="A20">
        <v>50</v>
      </c>
      <c r="B20">
        <f>(50*0.0056)+0.5952</f>
        <v>0.87519999999999998</v>
      </c>
      <c r="C20">
        <f>-1.3596*50-0.6</f>
        <v>-68.579999999999984</v>
      </c>
      <c r="D20">
        <f t="shared" si="0"/>
        <v>2.6302679918954604E-69</v>
      </c>
      <c r="E20">
        <f t="shared" si="1"/>
        <v>-34.589999999999996</v>
      </c>
      <c r="F20">
        <f t="shared" si="0"/>
        <v>2.5703957827688728E-35</v>
      </c>
    </row>
    <row r="21" spans="1:6" x14ac:dyDescent="0.25">
      <c r="A21">
        <v>100</v>
      </c>
      <c r="B21">
        <f>(100*0.0056)+0.5952</f>
        <v>1.1551999999999998</v>
      </c>
      <c r="C21">
        <f>-1.3596*100-0.6</f>
        <v>-136.55999999999997</v>
      </c>
      <c r="D21">
        <f t="shared" si="0"/>
        <v>2.754228703338315E-137</v>
      </c>
      <c r="E21">
        <f t="shared" si="1"/>
        <v>-68.579999999999984</v>
      </c>
      <c r="F21">
        <f t="shared" si="0"/>
        <v>2.6302679918954604E-69</v>
      </c>
    </row>
    <row r="22" spans="1:6" x14ac:dyDescent="0.25">
      <c r="A22">
        <v>150</v>
      </c>
      <c r="B22">
        <f>(150*0.0056)+0.5952</f>
        <v>1.4352</v>
      </c>
      <c r="C22">
        <f>-1.3596*150-0.6</f>
        <v>-204.54</v>
      </c>
      <c r="D22">
        <f t="shared" si="0"/>
        <v>2.8840315031265033E-205</v>
      </c>
      <c r="E22">
        <f t="shared" si="1"/>
        <v>-102.57</v>
      </c>
      <c r="F22">
        <f t="shared" si="0"/>
        <v>2.6915348039268759E-103</v>
      </c>
    </row>
    <row r="23" spans="1:6" x14ac:dyDescent="0.25">
      <c r="A23">
        <v>200</v>
      </c>
      <c r="B23">
        <f>(A23*0.0056)+0.5952</f>
        <v>1.7151999999999998</v>
      </c>
      <c r="E23">
        <f t="shared" si="1"/>
        <v>-136.55999999999997</v>
      </c>
      <c r="F23">
        <f t="shared" si="0"/>
        <v>2.754228703338315E-137</v>
      </c>
    </row>
    <row r="25" spans="1:6" x14ac:dyDescent="0.25">
      <c r="A25" t="s">
        <v>114</v>
      </c>
    </row>
    <row r="26" spans="1:6" x14ac:dyDescent="0.25">
      <c r="B26" s="20" t="s">
        <v>115</v>
      </c>
      <c r="C26" s="20">
        <v>2</v>
      </c>
      <c r="D26" s="20" t="s">
        <v>116</v>
      </c>
      <c r="E26" s="20" t="s">
        <v>118</v>
      </c>
      <c r="F26" s="20" t="s">
        <v>119</v>
      </c>
    </row>
    <row r="27" spans="1:6" x14ac:dyDescent="0.25">
      <c r="B27" s="20" t="s">
        <v>115</v>
      </c>
      <c r="C27" s="20">
        <v>2.1</v>
      </c>
      <c r="D27" s="20" t="s">
        <v>117</v>
      </c>
      <c r="E27" s="20" t="s">
        <v>118</v>
      </c>
      <c r="F27" s="20" t="s">
        <v>140</v>
      </c>
    </row>
    <row r="28" spans="1:6" x14ac:dyDescent="0.25">
      <c r="B28" t="s">
        <v>120</v>
      </c>
      <c r="C28">
        <v>2</v>
      </c>
      <c r="D28" t="s">
        <v>116</v>
      </c>
      <c r="E28" t="s">
        <v>124</v>
      </c>
      <c r="F28" t="s">
        <v>121</v>
      </c>
    </row>
    <row r="29" spans="1:6" x14ac:dyDescent="0.25">
      <c r="B29" t="s">
        <v>120</v>
      </c>
      <c r="C29">
        <v>2.5</v>
      </c>
      <c r="D29" t="s">
        <v>117</v>
      </c>
      <c r="E29" t="s">
        <v>124</v>
      </c>
      <c r="F29" t="s">
        <v>122</v>
      </c>
    </row>
    <row r="30" spans="1:6" x14ac:dyDescent="0.25">
      <c r="B30" t="s">
        <v>120</v>
      </c>
      <c r="C30">
        <v>4.5</v>
      </c>
      <c r="D30" t="s">
        <v>116</v>
      </c>
      <c r="E30" t="s">
        <v>124</v>
      </c>
      <c r="F30" t="s">
        <v>123</v>
      </c>
    </row>
    <row r="31" spans="1:6" x14ac:dyDescent="0.25">
      <c r="B31" t="s">
        <v>120</v>
      </c>
      <c r="C31">
        <v>2.8</v>
      </c>
      <c r="D31" t="s">
        <v>116</v>
      </c>
      <c r="E31" t="s">
        <v>124</v>
      </c>
      <c r="F31" t="s">
        <v>125</v>
      </c>
    </row>
    <row r="32" spans="1:6" x14ac:dyDescent="0.25">
      <c r="B32" t="s">
        <v>120</v>
      </c>
      <c r="C32">
        <v>4.2</v>
      </c>
      <c r="D32" t="s">
        <v>117</v>
      </c>
      <c r="E32" t="s">
        <v>124</v>
      </c>
      <c r="F32" t="s">
        <v>126</v>
      </c>
    </row>
    <row r="33" spans="2:6" x14ac:dyDescent="0.25">
      <c r="B33" t="s">
        <v>120</v>
      </c>
      <c r="C33">
        <v>5</v>
      </c>
      <c r="D33" t="s">
        <v>116</v>
      </c>
      <c r="E33" t="s">
        <v>124</v>
      </c>
      <c r="F33" t="s">
        <v>127</v>
      </c>
    </row>
    <row r="34" spans="2:6" x14ac:dyDescent="0.25">
      <c r="B34" t="s">
        <v>120</v>
      </c>
      <c r="C34">
        <v>3.5</v>
      </c>
      <c r="D34" t="s">
        <v>116</v>
      </c>
      <c r="E34" t="s">
        <v>124</v>
      </c>
      <c r="F34" t="s">
        <v>132</v>
      </c>
    </row>
    <row r="35" spans="2:6" x14ac:dyDescent="0.25">
      <c r="B35" t="s">
        <v>120</v>
      </c>
      <c r="C35">
        <v>4.0999999999999996</v>
      </c>
      <c r="D35" t="s">
        <v>117</v>
      </c>
      <c r="E35" t="s">
        <v>124</v>
      </c>
      <c r="F35" t="s">
        <v>133</v>
      </c>
    </row>
    <row r="36" spans="2:6" x14ac:dyDescent="0.25">
      <c r="B36" t="s">
        <v>120</v>
      </c>
      <c r="C36">
        <v>5.5</v>
      </c>
      <c r="D36" t="s">
        <v>116</v>
      </c>
      <c r="E36" t="s">
        <v>124</v>
      </c>
      <c r="F36" t="s">
        <v>134</v>
      </c>
    </row>
    <row r="37" spans="2:6" x14ac:dyDescent="0.25">
      <c r="B37" t="s">
        <v>120</v>
      </c>
      <c r="C37">
        <v>3.2</v>
      </c>
      <c r="D37" t="s">
        <v>116</v>
      </c>
      <c r="E37" t="s">
        <v>124</v>
      </c>
      <c r="F37" t="s">
        <v>135</v>
      </c>
    </row>
    <row r="38" spans="2:6" x14ac:dyDescent="0.25">
      <c r="B38" t="s">
        <v>120</v>
      </c>
      <c r="C38">
        <v>3.4</v>
      </c>
      <c r="D38" t="s">
        <v>117</v>
      </c>
      <c r="E38" t="s">
        <v>124</v>
      </c>
      <c r="F38" t="s">
        <v>135</v>
      </c>
    </row>
    <row r="39" spans="2:6" x14ac:dyDescent="0.25">
      <c r="B39" t="s">
        <v>120</v>
      </c>
      <c r="C39">
        <v>3.8</v>
      </c>
      <c r="D39" t="s">
        <v>116</v>
      </c>
      <c r="E39" t="s">
        <v>124</v>
      </c>
      <c r="F39" t="s">
        <v>135</v>
      </c>
    </row>
    <row r="40" spans="2:6" x14ac:dyDescent="0.25">
      <c r="B40" s="20" t="s">
        <v>137</v>
      </c>
      <c r="C40" s="20">
        <v>1.3</v>
      </c>
      <c r="D40" s="20" t="s">
        <v>116</v>
      </c>
      <c r="E40" s="20" t="s">
        <v>124</v>
      </c>
      <c r="F40" s="20" t="s">
        <v>136</v>
      </c>
    </row>
    <row r="41" spans="2:6" x14ac:dyDescent="0.25">
      <c r="B41" s="20" t="s">
        <v>138</v>
      </c>
      <c r="C41" s="20">
        <v>3.2</v>
      </c>
      <c r="D41" s="20" t="s">
        <v>116</v>
      </c>
      <c r="E41" s="20" t="s">
        <v>124</v>
      </c>
      <c r="F41" s="20" t="s">
        <v>136</v>
      </c>
    </row>
    <row r="42" spans="2:6" x14ac:dyDescent="0.25">
      <c r="B42" s="20" t="s">
        <v>139</v>
      </c>
      <c r="C42" s="20">
        <v>3.3</v>
      </c>
      <c r="D42" s="20" t="s">
        <v>116</v>
      </c>
      <c r="E42" s="20" t="s">
        <v>124</v>
      </c>
      <c r="F42" s="20" t="s">
        <v>136</v>
      </c>
    </row>
    <row r="43" spans="2:6" x14ac:dyDescent="0.25">
      <c r="B43" s="20" t="s">
        <v>137</v>
      </c>
      <c r="C43" s="20">
        <v>1</v>
      </c>
      <c r="D43" s="20" t="s">
        <v>116</v>
      </c>
      <c r="E43" s="20" t="s">
        <v>124</v>
      </c>
      <c r="F43" s="20" t="s">
        <v>135</v>
      </c>
    </row>
    <row r="44" spans="2:6" x14ac:dyDescent="0.25">
      <c r="B44" s="20" t="s">
        <v>138</v>
      </c>
      <c r="C44" s="20">
        <v>1.4</v>
      </c>
      <c r="D44" s="20" t="s">
        <v>116</v>
      </c>
      <c r="E44" s="20" t="s">
        <v>124</v>
      </c>
      <c r="F44" s="20" t="s">
        <v>135</v>
      </c>
    </row>
    <row r="45" spans="2:6" x14ac:dyDescent="0.25">
      <c r="B45" s="20" t="s">
        <v>139</v>
      </c>
      <c r="C45" s="20">
        <v>1.3</v>
      </c>
      <c r="D45" s="20" t="s">
        <v>116</v>
      </c>
      <c r="E45" s="20" t="s">
        <v>124</v>
      </c>
      <c r="F45" s="20" t="s">
        <v>135</v>
      </c>
    </row>
    <row r="46" spans="2:6" x14ac:dyDescent="0.25">
      <c r="B46" t="s">
        <v>146</v>
      </c>
      <c r="C46">
        <v>0.6</v>
      </c>
      <c r="D46" s="20" t="s">
        <v>116</v>
      </c>
      <c r="E46" t="s">
        <v>141</v>
      </c>
      <c r="F46" t="s">
        <v>142</v>
      </c>
    </row>
    <row r="47" spans="2:6" x14ac:dyDescent="0.25">
      <c r="B47" t="s">
        <v>146</v>
      </c>
      <c r="C47">
        <v>1.2</v>
      </c>
      <c r="D47" s="20" t="s">
        <v>116</v>
      </c>
      <c r="E47" t="s">
        <v>141</v>
      </c>
      <c r="F47" t="s">
        <v>143</v>
      </c>
    </row>
    <row r="48" spans="2:6" x14ac:dyDescent="0.25">
      <c r="B48" t="s">
        <v>146</v>
      </c>
      <c r="C48">
        <v>1.2</v>
      </c>
      <c r="D48" s="20" t="s">
        <v>116</v>
      </c>
      <c r="E48" t="s">
        <v>141</v>
      </c>
      <c r="F48" t="s">
        <v>144</v>
      </c>
    </row>
    <row r="49" spans="2:6" x14ac:dyDescent="0.25">
      <c r="B49" t="s">
        <v>146</v>
      </c>
      <c r="C49">
        <v>1.4</v>
      </c>
      <c r="D49" s="20" t="s">
        <v>116</v>
      </c>
      <c r="E49" t="s">
        <v>141</v>
      </c>
      <c r="F49" t="s">
        <v>145</v>
      </c>
    </row>
    <row r="50" spans="2:6" x14ac:dyDescent="0.25">
      <c r="B50" t="s">
        <v>149</v>
      </c>
      <c r="C50" s="21" t="s">
        <v>150</v>
      </c>
      <c r="E50" t="s">
        <v>148</v>
      </c>
      <c r="F50" t="s">
        <v>155</v>
      </c>
    </row>
    <row r="51" spans="2:6" x14ac:dyDescent="0.25">
      <c r="B51" t="s">
        <v>149</v>
      </c>
      <c r="C51" s="21"/>
      <c r="E51" t="s">
        <v>148</v>
      </c>
      <c r="F51" t="s">
        <v>156</v>
      </c>
    </row>
    <row r="52" spans="2:6" x14ac:dyDescent="0.25">
      <c r="B52" t="s">
        <v>149</v>
      </c>
      <c r="C52" s="21" t="s">
        <v>151</v>
      </c>
      <c r="E52" t="s">
        <v>148</v>
      </c>
      <c r="F52" t="s">
        <v>157</v>
      </c>
    </row>
    <row r="53" spans="2:6" x14ac:dyDescent="0.25">
      <c r="B53" t="s">
        <v>149</v>
      </c>
      <c r="C53" s="21"/>
      <c r="E53" t="s">
        <v>148</v>
      </c>
      <c r="F53" t="s">
        <v>158</v>
      </c>
    </row>
    <row r="54" spans="2:6" x14ac:dyDescent="0.25">
      <c r="B54" t="s">
        <v>149</v>
      </c>
      <c r="C54" s="21" t="s">
        <v>152</v>
      </c>
      <c r="E54" t="s">
        <v>148</v>
      </c>
      <c r="F54" t="s">
        <v>159</v>
      </c>
    </row>
    <row r="56" spans="2:6" x14ac:dyDescent="0.25">
      <c r="B56" t="s">
        <v>153</v>
      </c>
      <c r="E56" t="s">
        <v>147</v>
      </c>
    </row>
    <row r="57" spans="2:6" x14ac:dyDescent="0.25">
      <c r="B57" t="s">
        <v>154</v>
      </c>
    </row>
  </sheetData>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9929-C0F9-4A0B-B20C-FFEA9B426D53}">
  <sheetPr>
    <tabColor theme="4"/>
  </sheetPr>
  <dimension ref="A1:F4"/>
  <sheetViews>
    <sheetView workbookViewId="0">
      <selection sqref="A1:F1"/>
    </sheetView>
  </sheetViews>
  <sheetFormatPr defaultRowHeight="15" x14ac:dyDescent="0.25"/>
  <cols>
    <col min="1" max="1" width="11.140625" bestFit="1" customWidth="1"/>
    <col min="2" max="2" width="35.42578125" customWidth="1"/>
    <col min="3" max="3" width="15.5703125" bestFit="1"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x14ac:dyDescent="0.25">
      <c r="A2" s="2"/>
      <c r="B2" s="2"/>
      <c r="C2" s="2"/>
      <c r="D2" s="2"/>
      <c r="E2" s="2"/>
      <c r="F2" s="2"/>
    </row>
    <row r="3" spans="1:6" s="1" customFormat="1" ht="105" x14ac:dyDescent="0.25">
      <c r="A3" s="2" t="s">
        <v>1</v>
      </c>
      <c r="B3" s="2" t="s">
        <v>2</v>
      </c>
      <c r="C3" s="2" t="s">
        <v>9</v>
      </c>
      <c r="D3" s="2" t="s">
        <v>10</v>
      </c>
      <c r="E3" s="2" t="s">
        <v>12</v>
      </c>
      <c r="F3" s="2" t="s">
        <v>14</v>
      </c>
    </row>
    <row r="4" spans="1:6" s="1" customFormat="1" ht="30" x14ac:dyDescent="0.25">
      <c r="A4" s="2" t="s">
        <v>3</v>
      </c>
      <c r="B4" s="2" t="s">
        <v>4</v>
      </c>
      <c r="C4" s="2" t="s">
        <v>11</v>
      </c>
      <c r="D4" s="2" t="s">
        <v>10</v>
      </c>
      <c r="E4" s="2" t="s">
        <v>12</v>
      </c>
      <c r="F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840E-0617-46DB-9403-031DC4CD311E}">
  <sheetPr>
    <tabColor theme="4"/>
  </sheetPr>
  <dimension ref="A1:G20"/>
  <sheetViews>
    <sheetView topLeftCell="A24" workbookViewId="0">
      <selection activeCell="P47" sqref="P47"/>
    </sheetView>
  </sheetViews>
  <sheetFormatPr defaultRowHeight="15" x14ac:dyDescent="0.25"/>
  <cols>
    <col min="1" max="1" width="16.42578125" customWidth="1"/>
    <col min="2" max="2" width="35.42578125" customWidth="1"/>
    <col min="3" max="3" width="15.5703125" bestFit="1" customWidth="1"/>
    <col min="4" max="4" width="12.140625" bestFit="1" customWidth="1"/>
    <col min="5" max="5" width="33.28515625" customWidth="1"/>
    <col min="6" max="6" width="41" customWidth="1"/>
    <col min="7" max="7" width="38.5703125" customWidth="1"/>
  </cols>
  <sheetData>
    <row r="1" spans="1:7" x14ac:dyDescent="0.25">
      <c r="A1" t="s">
        <v>79</v>
      </c>
    </row>
    <row r="2" spans="1:7" s="1" customFormat="1" x14ac:dyDescent="0.25">
      <c r="A2" s="16" t="s">
        <v>0</v>
      </c>
      <c r="B2" s="16" t="s">
        <v>5</v>
      </c>
      <c r="C2" s="16" t="s">
        <v>6</v>
      </c>
      <c r="D2" s="16" t="s">
        <v>7</v>
      </c>
      <c r="E2" s="16" t="s">
        <v>8</v>
      </c>
      <c r="F2" s="16" t="s">
        <v>13</v>
      </c>
      <c r="G2" s="16" t="s">
        <v>22</v>
      </c>
    </row>
    <row r="3" spans="1:7" s="1" customFormat="1" ht="45" x14ac:dyDescent="0.25">
      <c r="A3" s="16" t="s">
        <v>15</v>
      </c>
      <c r="B3" s="16" t="s">
        <v>17</v>
      </c>
      <c r="C3" s="16" t="s">
        <v>18</v>
      </c>
      <c r="D3" s="16" t="s">
        <v>16</v>
      </c>
      <c r="E3" s="16" t="s">
        <v>19</v>
      </c>
      <c r="F3" s="16" t="s">
        <v>20</v>
      </c>
      <c r="G3" s="16" t="s">
        <v>21</v>
      </c>
    </row>
    <row r="4" spans="1:7" s="1" customFormat="1" ht="45" x14ac:dyDescent="0.25">
      <c r="A4" s="16" t="s">
        <v>23</v>
      </c>
      <c r="B4" s="16" t="s">
        <v>70</v>
      </c>
      <c r="C4" s="16">
        <v>72.400000000000006</v>
      </c>
      <c r="D4" s="16" t="s">
        <v>24</v>
      </c>
      <c r="E4" s="16" t="s">
        <v>39</v>
      </c>
      <c r="F4" s="16" t="s">
        <v>38</v>
      </c>
      <c r="G4" s="16" t="s">
        <v>40</v>
      </c>
    </row>
    <row r="5" spans="1:7" s="1" customFormat="1" ht="45" x14ac:dyDescent="0.25">
      <c r="A5" s="16" t="s">
        <v>41</v>
      </c>
      <c r="B5" s="16" t="s">
        <v>71</v>
      </c>
      <c r="C5" s="16">
        <v>22.1</v>
      </c>
      <c r="D5" s="16" t="s">
        <v>67</v>
      </c>
      <c r="E5" s="16" t="s">
        <v>68</v>
      </c>
      <c r="F5" s="16" t="s">
        <v>69</v>
      </c>
      <c r="G5" s="16" t="s">
        <v>40</v>
      </c>
    </row>
    <row r="6" spans="1:7" ht="60" x14ac:dyDescent="0.25">
      <c r="A6" s="16" t="s">
        <v>72</v>
      </c>
      <c r="B6" s="16" t="s">
        <v>73</v>
      </c>
      <c r="C6" s="17">
        <v>90</v>
      </c>
      <c r="D6" s="16" t="s">
        <v>24</v>
      </c>
      <c r="E6" s="16" t="s">
        <v>78</v>
      </c>
      <c r="F6" s="16" t="s">
        <v>74</v>
      </c>
      <c r="G6" s="16" t="s">
        <v>40</v>
      </c>
    </row>
    <row r="7" spans="1:7" ht="60" x14ac:dyDescent="0.25">
      <c r="A7" s="16" t="s">
        <v>75</v>
      </c>
      <c r="B7" s="16" t="s">
        <v>76</v>
      </c>
      <c r="C7" s="16">
        <v>20</v>
      </c>
      <c r="D7" s="16" t="s">
        <v>67</v>
      </c>
      <c r="E7" s="16" t="s">
        <v>78</v>
      </c>
      <c r="F7" s="16" t="s">
        <v>77</v>
      </c>
      <c r="G7" s="16" t="s">
        <v>40</v>
      </c>
    </row>
    <row r="10" spans="1:7" s="1" customFormat="1" x14ac:dyDescent="0.25">
      <c r="A10" s="1" t="s">
        <v>80</v>
      </c>
    </row>
    <row r="11" spans="1:7" s="1" customFormat="1" x14ac:dyDescent="0.25">
      <c r="A11" s="16" t="s">
        <v>0</v>
      </c>
      <c r="B11" s="16" t="s">
        <v>5</v>
      </c>
      <c r="C11" s="16" t="s">
        <v>6</v>
      </c>
      <c r="D11" s="16" t="s">
        <v>7</v>
      </c>
      <c r="E11" s="16" t="s">
        <v>8</v>
      </c>
      <c r="F11" s="16" t="s">
        <v>13</v>
      </c>
      <c r="G11" s="16" t="s">
        <v>22</v>
      </c>
    </row>
    <row r="12" spans="1:7" s="1" customFormat="1" ht="30" x14ac:dyDescent="0.25">
      <c r="B12" s="1" t="s">
        <v>81</v>
      </c>
      <c r="C12" s="1">
        <v>3.1</v>
      </c>
      <c r="D12" s="1" t="s">
        <v>84</v>
      </c>
      <c r="E12" s="30" t="s">
        <v>78</v>
      </c>
      <c r="F12" s="30" t="s">
        <v>85</v>
      </c>
      <c r="G12" s="1" t="s">
        <v>86</v>
      </c>
    </row>
    <row r="13" spans="1:7" s="1" customFormat="1" ht="30" x14ac:dyDescent="0.25">
      <c r="B13" s="1" t="s">
        <v>82</v>
      </c>
      <c r="C13" s="1">
        <v>3.9</v>
      </c>
      <c r="D13" s="1" t="s">
        <v>84</v>
      </c>
      <c r="E13" s="30"/>
      <c r="F13" s="30"/>
    </row>
    <row r="14" spans="1:7" s="1" customFormat="1" ht="30" x14ac:dyDescent="0.25">
      <c r="B14" s="1" t="s">
        <v>83</v>
      </c>
      <c r="C14" s="1">
        <v>3.2</v>
      </c>
      <c r="D14" s="1" t="s">
        <v>84</v>
      </c>
      <c r="E14" s="30"/>
      <c r="F14" s="30"/>
    </row>
    <row r="17" spans="1:7" x14ac:dyDescent="0.25">
      <c r="A17" s="18" t="s">
        <v>88</v>
      </c>
    </row>
    <row r="19" spans="1:7" ht="105" x14ac:dyDescent="0.25">
      <c r="B19" t="s">
        <v>89</v>
      </c>
      <c r="C19" s="1" t="s">
        <v>90</v>
      </c>
      <c r="E19" t="s">
        <v>91</v>
      </c>
      <c r="F19" t="s">
        <v>93</v>
      </c>
      <c r="G19" t="s">
        <v>92</v>
      </c>
    </row>
    <row r="20" spans="1:7" x14ac:dyDescent="0.25">
      <c r="G20" t="s">
        <v>94</v>
      </c>
    </row>
  </sheetData>
  <mergeCells count="2">
    <mergeCell ref="E12:E14"/>
    <mergeCell ref="F12:F14"/>
  </mergeCells>
  <hyperlinks>
    <hyperlink ref="A17" r:id="rId1" xr:uid="{45BC8776-2DA0-4267-8E4A-BE9F129B0D3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4F63B-9E4A-4577-8E0F-8659496532A7}">
  <sheetPr>
    <tabColor theme="4"/>
  </sheetPr>
  <dimension ref="A1:S37"/>
  <sheetViews>
    <sheetView workbookViewId="0">
      <selection activeCell="P47" sqref="P47"/>
    </sheetView>
  </sheetViews>
  <sheetFormatPr defaultRowHeight="15" x14ac:dyDescent="0.25"/>
  <cols>
    <col min="1" max="1" width="19.7109375" customWidth="1"/>
  </cols>
  <sheetData>
    <row r="1" spans="1:13" x14ac:dyDescent="0.25">
      <c r="A1" s="18" t="s">
        <v>87</v>
      </c>
    </row>
    <row r="2" spans="1:13" x14ac:dyDescent="0.25">
      <c r="B2" t="s">
        <v>181</v>
      </c>
      <c r="C2" t="s">
        <v>182</v>
      </c>
    </row>
    <row r="3" spans="1:13" x14ac:dyDescent="0.25">
      <c r="A3" t="s">
        <v>164</v>
      </c>
      <c r="B3">
        <v>0.56000000000000005</v>
      </c>
      <c r="C3">
        <v>1.77</v>
      </c>
      <c r="E3" t="s">
        <v>166</v>
      </c>
    </row>
    <row r="4" spans="1:13" x14ac:dyDescent="0.25">
      <c r="A4" t="s">
        <v>165</v>
      </c>
      <c r="B4">
        <v>1.62</v>
      </c>
      <c r="C4">
        <v>3.23</v>
      </c>
      <c r="E4" t="s">
        <v>166</v>
      </c>
    </row>
    <row r="5" spans="1:13" x14ac:dyDescent="0.25">
      <c r="A5" t="s">
        <v>164</v>
      </c>
      <c r="B5">
        <v>0.71</v>
      </c>
      <c r="C5">
        <v>5.95</v>
      </c>
      <c r="E5" t="s">
        <v>167</v>
      </c>
    </row>
    <row r="6" spans="1:13" x14ac:dyDescent="0.25">
      <c r="A6" t="s">
        <v>165</v>
      </c>
      <c r="B6">
        <v>1.81</v>
      </c>
      <c r="C6">
        <v>2.4</v>
      </c>
      <c r="E6" t="s">
        <v>167</v>
      </c>
    </row>
    <row r="7" spans="1:13" x14ac:dyDescent="0.25">
      <c r="A7" t="s">
        <v>164</v>
      </c>
      <c r="B7">
        <v>0.42</v>
      </c>
      <c r="C7">
        <v>1.96</v>
      </c>
      <c r="E7" t="s">
        <v>168</v>
      </c>
    </row>
    <row r="8" spans="1:13" x14ac:dyDescent="0.25">
      <c r="A8" t="s">
        <v>165</v>
      </c>
      <c r="B8">
        <v>3.12</v>
      </c>
      <c r="C8">
        <v>7.93</v>
      </c>
      <c r="E8" t="s">
        <v>168</v>
      </c>
    </row>
    <row r="12" spans="1:13" x14ac:dyDescent="0.25">
      <c r="F12" t="s">
        <v>169</v>
      </c>
      <c r="I12" t="s">
        <v>170</v>
      </c>
      <c r="L12" t="s">
        <v>67</v>
      </c>
    </row>
    <row r="13" spans="1:13" x14ac:dyDescent="0.25">
      <c r="A13" s="34" t="s">
        <v>171</v>
      </c>
      <c r="B13" s="31" t="s">
        <v>172</v>
      </c>
      <c r="C13" s="32"/>
      <c r="D13" s="33"/>
      <c r="E13" s="31" t="s">
        <v>173</v>
      </c>
      <c r="F13" s="32"/>
      <c r="G13" s="33"/>
      <c r="H13" s="31" t="s">
        <v>167</v>
      </c>
      <c r="I13" s="32"/>
      <c r="J13" s="33"/>
      <c r="K13" s="31" t="s">
        <v>168</v>
      </c>
      <c r="L13" s="32"/>
      <c r="M13" s="33"/>
    </row>
    <row r="14" spans="1:13" x14ac:dyDescent="0.25">
      <c r="A14" s="35"/>
      <c r="B14" t="s">
        <v>174</v>
      </c>
      <c r="C14" t="s">
        <v>175</v>
      </c>
      <c r="D14" t="s">
        <v>176</v>
      </c>
      <c r="E14" t="s">
        <v>177</v>
      </c>
      <c r="F14" t="s">
        <v>175</v>
      </c>
      <c r="G14" t="s">
        <v>176</v>
      </c>
      <c r="H14" t="s">
        <v>177</v>
      </c>
      <c r="I14" t="s">
        <v>175</v>
      </c>
      <c r="J14" t="s">
        <v>176</v>
      </c>
      <c r="K14" t="s">
        <v>177</v>
      </c>
      <c r="L14" t="s">
        <v>175</v>
      </c>
      <c r="M14" s="22" t="s">
        <v>176</v>
      </c>
    </row>
    <row r="15" spans="1:13" x14ac:dyDescent="0.25">
      <c r="A15" s="23">
        <v>1</v>
      </c>
      <c r="B15" s="23">
        <v>740000</v>
      </c>
      <c r="C15" s="24">
        <f>(B15/B15)*100</f>
        <v>100</v>
      </c>
      <c r="D15" s="24">
        <f>LOG(C15)</f>
        <v>2</v>
      </c>
      <c r="E15" s="23">
        <v>2530</v>
      </c>
      <c r="F15" s="24">
        <f>(E15/B15)*100</f>
        <v>0.3418918918918919</v>
      </c>
      <c r="G15" s="24">
        <f>LOG(F15)</f>
        <v>-0.46611119855515826</v>
      </c>
      <c r="H15" s="23">
        <v>77000</v>
      </c>
      <c r="I15" s="24">
        <f>(H15/B15)*100</f>
        <v>10.405405405405405</v>
      </c>
      <c r="J15" s="24">
        <f>LOG(I15)</f>
        <v>1.0172590054415056</v>
      </c>
      <c r="K15" s="23">
        <v>2900</v>
      </c>
      <c r="L15" s="24">
        <f>(K15/B15)*100</f>
        <v>0.39189189189189189</v>
      </c>
      <c r="M15" s="25">
        <f>LOG(L15)</f>
        <v>-0.4068337218320201</v>
      </c>
    </row>
    <row r="16" spans="1:13" x14ac:dyDescent="0.25">
      <c r="A16" s="26">
        <v>2</v>
      </c>
      <c r="B16" s="26">
        <v>740000</v>
      </c>
      <c r="C16">
        <f t="shared" ref="C16:C23" si="0">(B16/B16)*100</f>
        <v>100</v>
      </c>
      <c r="D16">
        <f t="shared" ref="D16:D23" si="1">LOG(C16)</f>
        <v>2</v>
      </c>
      <c r="E16" s="26">
        <v>4270</v>
      </c>
      <c r="F16">
        <f t="shared" ref="F16:F23" si="2">(E16/B16)*100</f>
        <v>0.57702702702702702</v>
      </c>
      <c r="G16">
        <f t="shared" ref="G16:G23" si="3">LOG(F16)</f>
        <v>-0.23880384470595234</v>
      </c>
      <c r="H16" s="26">
        <v>46000</v>
      </c>
      <c r="I16">
        <f t="shared" ref="I16:I23" si="4">(H16/B16)*100</f>
        <v>6.2162162162162167</v>
      </c>
      <c r="J16">
        <f t="shared" ref="J16:J23" si="5">LOG(I16)</f>
        <v>0.79352611195059797</v>
      </c>
      <c r="K16" s="26">
        <v>890</v>
      </c>
      <c r="L16">
        <f t="shared" ref="L16:L23" si="6">(K16/B16)*100</f>
        <v>0.12027027027027026</v>
      </c>
      <c r="M16" s="22">
        <f t="shared" ref="M16:M23" si="7">LOG(L16)</f>
        <v>-0.91984171308606344</v>
      </c>
    </row>
    <row r="17" spans="1:19" x14ac:dyDescent="0.25">
      <c r="A17" s="26">
        <v>3</v>
      </c>
      <c r="B17" s="26">
        <v>740000</v>
      </c>
      <c r="C17">
        <f t="shared" si="0"/>
        <v>100</v>
      </c>
      <c r="D17">
        <f t="shared" si="1"/>
        <v>2</v>
      </c>
      <c r="E17" s="26">
        <v>1470</v>
      </c>
      <c r="F17">
        <f t="shared" si="2"/>
        <v>0.19864864864864865</v>
      </c>
      <c r="G17">
        <f t="shared" si="3"/>
        <v>-0.70191438498280012</v>
      </c>
      <c r="H17" s="26">
        <v>14200</v>
      </c>
      <c r="I17">
        <f t="shared" si="4"/>
        <v>1.9189189189189189</v>
      </c>
      <c r="J17">
        <f t="shared" si="5"/>
        <v>0.28305662465208026</v>
      </c>
      <c r="K17" s="26">
        <v>3020</v>
      </c>
      <c r="L17">
        <f t="shared" si="6"/>
        <v>0.40810810810810816</v>
      </c>
      <c r="M17" s="22">
        <f t="shared" si="7"/>
        <v>-0.3892247767738255</v>
      </c>
    </row>
    <row r="18" spans="1:19" x14ac:dyDescent="0.25">
      <c r="A18" s="26">
        <v>4</v>
      </c>
      <c r="B18" s="26">
        <v>203000</v>
      </c>
      <c r="C18">
        <f t="shared" si="0"/>
        <v>100</v>
      </c>
      <c r="D18">
        <f t="shared" si="1"/>
        <v>2</v>
      </c>
      <c r="E18" s="26">
        <v>5800</v>
      </c>
      <c r="F18">
        <f t="shared" si="2"/>
        <v>2.8571428571428572</v>
      </c>
      <c r="G18">
        <f t="shared" si="3"/>
        <v>0.45593195564972439</v>
      </c>
      <c r="H18" s="26">
        <v>12800</v>
      </c>
      <c r="I18">
        <f t="shared" si="4"/>
        <v>6.3054187192118221</v>
      </c>
      <c r="J18">
        <f t="shared" si="5"/>
        <v>0.79971393173465544</v>
      </c>
      <c r="K18" s="26">
        <v>2020</v>
      </c>
      <c r="L18">
        <f t="shared" si="6"/>
        <v>0.99507389162561588</v>
      </c>
      <c r="M18" s="22">
        <f t="shared" si="7"/>
        <v>-2.1446684665890974E-3</v>
      </c>
    </row>
    <row r="19" spans="1:19" x14ac:dyDescent="0.25">
      <c r="A19" s="26">
        <v>5</v>
      </c>
      <c r="B19" s="26">
        <v>203000</v>
      </c>
      <c r="C19">
        <f t="shared" si="0"/>
        <v>100</v>
      </c>
      <c r="D19">
        <f t="shared" si="1"/>
        <v>2</v>
      </c>
      <c r="E19" s="26">
        <v>6100</v>
      </c>
      <c r="F19">
        <f t="shared" si="2"/>
        <v>3.0049261083743843</v>
      </c>
      <c r="G19">
        <f t="shared" si="3"/>
        <v>0.47783379709755414</v>
      </c>
      <c r="H19" s="26">
        <v>17300</v>
      </c>
      <c r="I19">
        <f t="shared" si="4"/>
        <v>8.5221674876847295</v>
      </c>
      <c r="J19">
        <f t="shared" si="5"/>
        <v>0.93055006521558248</v>
      </c>
      <c r="K19" s="26">
        <v>14100</v>
      </c>
      <c r="L19">
        <f t="shared" si="6"/>
        <v>6.945812807881774</v>
      </c>
      <c r="M19" s="22">
        <f t="shared" si="7"/>
        <v>0.84172307474216701</v>
      </c>
    </row>
    <row r="20" spans="1:19" x14ac:dyDescent="0.25">
      <c r="A20" s="26">
        <v>6</v>
      </c>
      <c r="B20" s="26">
        <v>203000</v>
      </c>
      <c r="C20">
        <f t="shared" si="0"/>
        <v>100</v>
      </c>
      <c r="D20">
        <f t="shared" si="1"/>
        <v>2</v>
      </c>
      <c r="E20" s="26">
        <v>10200</v>
      </c>
      <c r="F20">
        <f t="shared" si="2"/>
        <v>5.0246305418719208</v>
      </c>
      <c r="G20">
        <f t="shared" si="3"/>
        <v>0.70110413384870462</v>
      </c>
      <c r="H20" s="26">
        <v>20000</v>
      </c>
      <c r="I20">
        <f t="shared" si="4"/>
        <v>9.8522167487684733</v>
      </c>
      <c r="J20">
        <f t="shared" si="5"/>
        <v>0.99353395775076825</v>
      </c>
      <c r="K20" s="26">
        <v>5100</v>
      </c>
      <c r="L20">
        <f t="shared" si="6"/>
        <v>2.5123152709359604</v>
      </c>
      <c r="M20" s="22">
        <f t="shared" si="7"/>
        <v>0.40007413818472343</v>
      </c>
    </row>
    <row r="21" spans="1:19" x14ac:dyDescent="0.25">
      <c r="A21" s="26">
        <v>7</v>
      </c>
      <c r="B21" s="26">
        <v>46000</v>
      </c>
      <c r="C21">
        <f t="shared" si="0"/>
        <v>100</v>
      </c>
      <c r="D21">
        <f t="shared" si="1"/>
        <v>2</v>
      </c>
      <c r="E21" s="26">
        <v>790</v>
      </c>
      <c r="F21">
        <f t="shared" si="2"/>
        <v>1.7173913043478262</v>
      </c>
      <c r="G21">
        <f t="shared" si="3"/>
        <v>0.23486925960886737</v>
      </c>
      <c r="H21" s="26">
        <v>1470</v>
      </c>
      <c r="I21">
        <f t="shared" si="4"/>
        <v>3.195652173913043</v>
      </c>
      <c r="J21">
        <f t="shared" si="5"/>
        <v>0.50455950306660191</v>
      </c>
      <c r="K21" s="26">
        <v>650</v>
      </c>
      <c r="L21">
        <f t="shared" si="6"/>
        <v>1.4130434782608696</v>
      </c>
      <c r="M21" s="22">
        <f t="shared" si="7"/>
        <v>0.15015552496128151</v>
      </c>
    </row>
    <row r="22" spans="1:19" x14ac:dyDescent="0.25">
      <c r="A22" s="26">
        <v>8</v>
      </c>
      <c r="B22" s="26">
        <v>46000</v>
      </c>
      <c r="C22">
        <f t="shared" si="0"/>
        <v>100</v>
      </c>
      <c r="D22">
        <f t="shared" si="1"/>
        <v>2</v>
      </c>
      <c r="E22" s="26">
        <v>480</v>
      </c>
      <c r="F22">
        <f t="shared" si="2"/>
        <v>1.0434782608695654</v>
      </c>
      <c r="G22">
        <f t="shared" si="3"/>
        <v>1.8483405694013223E-2</v>
      </c>
      <c r="H22" s="26">
        <v>1640</v>
      </c>
      <c r="I22">
        <f t="shared" si="4"/>
        <v>3.5652173913043477</v>
      </c>
      <c r="J22">
        <f t="shared" si="5"/>
        <v>0.55208601636612376</v>
      </c>
      <c r="K22" s="26">
        <v>1380</v>
      </c>
      <c r="L22">
        <f t="shared" si="6"/>
        <v>3</v>
      </c>
      <c r="M22" s="22">
        <f t="shared" si="7"/>
        <v>0.47712125471966244</v>
      </c>
    </row>
    <row r="23" spans="1:19" x14ac:dyDescent="0.25">
      <c r="A23" s="27">
        <v>9</v>
      </c>
      <c r="B23" s="27">
        <v>46000</v>
      </c>
      <c r="C23" s="28">
        <f t="shared" si="0"/>
        <v>100</v>
      </c>
      <c r="D23" s="28">
        <f t="shared" si="1"/>
        <v>2</v>
      </c>
      <c r="E23" s="27">
        <v>560</v>
      </c>
      <c r="F23" s="28">
        <f t="shared" si="2"/>
        <v>1.2173913043478262</v>
      </c>
      <c r="G23" s="28">
        <f t="shared" si="3"/>
        <v>8.5430195324626368E-2</v>
      </c>
      <c r="H23" s="27">
        <v>1670</v>
      </c>
      <c r="I23" s="28">
        <f t="shared" si="4"/>
        <v>3.6304347826086958</v>
      </c>
      <c r="J23" s="28">
        <f t="shared" si="5"/>
        <v>0.55995863946600921</v>
      </c>
      <c r="K23" s="27">
        <v>870</v>
      </c>
      <c r="L23" s="28">
        <f t="shared" si="6"/>
        <v>1.8913043478260869</v>
      </c>
      <c r="M23" s="29">
        <f t="shared" si="7"/>
        <v>0.27676142093704442</v>
      </c>
    </row>
    <row r="27" spans="1:19" x14ac:dyDescent="0.25">
      <c r="A27" s="34" t="s">
        <v>171</v>
      </c>
      <c r="B27" s="31" t="s">
        <v>178</v>
      </c>
      <c r="C27" s="32"/>
      <c r="D27" s="33"/>
      <c r="E27" s="31" t="s">
        <v>173</v>
      </c>
      <c r="F27" s="32"/>
      <c r="G27" s="33"/>
      <c r="H27" s="31" t="s">
        <v>179</v>
      </c>
      <c r="I27" s="32"/>
      <c r="J27" s="33"/>
      <c r="K27" s="31" t="s">
        <v>167</v>
      </c>
      <c r="L27" s="32"/>
      <c r="M27" s="33"/>
      <c r="N27" s="31" t="s">
        <v>180</v>
      </c>
      <c r="O27" s="32"/>
      <c r="P27" s="33"/>
      <c r="Q27" s="31" t="s">
        <v>168</v>
      </c>
      <c r="R27" s="32"/>
      <c r="S27" s="33"/>
    </row>
    <row r="28" spans="1:19" x14ac:dyDescent="0.25">
      <c r="A28" s="35"/>
      <c r="B28" t="s">
        <v>177</v>
      </c>
      <c r="C28" t="s">
        <v>175</v>
      </c>
      <c r="D28" t="s">
        <v>176</v>
      </c>
      <c r="E28" t="s">
        <v>174</v>
      </c>
      <c r="F28" t="s">
        <v>175</v>
      </c>
      <c r="G28" t="s">
        <v>176</v>
      </c>
      <c r="H28" t="s">
        <v>177</v>
      </c>
      <c r="I28" t="s">
        <v>175</v>
      </c>
      <c r="J28" t="s">
        <v>176</v>
      </c>
      <c r="K28" t="s">
        <v>174</v>
      </c>
      <c r="L28" t="s">
        <v>175</v>
      </c>
      <c r="M28" t="s">
        <v>176</v>
      </c>
      <c r="N28" t="s">
        <v>177</v>
      </c>
      <c r="O28" t="s">
        <v>175</v>
      </c>
      <c r="P28" t="s">
        <v>176</v>
      </c>
      <c r="Q28" t="s">
        <v>174</v>
      </c>
      <c r="R28" t="s">
        <v>175</v>
      </c>
      <c r="S28" s="22" t="s">
        <v>176</v>
      </c>
    </row>
    <row r="29" spans="1:19" x14ac:dyDescent="0.25">
      <c r="A29" s="23">
        <v>1</v>
      </c>
      <c r="B29" s="23">
        <v>2530</v>
      </c>
      <c r="C29" s="24">
        <f>(B29/B29)*100</f>
        <v>100</v>
      </c>
      <c r="D29" s="24">
        <f>LOG(C29)</f>
        <v>2</v>
      </c>
      <c r="E29" s="23">
        <v>30</v>
      </c>
      <c r="F29" s="24">
        <f>(E29/B29)*100</f>
        <v>1.1857707509881421</v>
      </c>
      <c r="G29" s="24">
        <f>LOG(F29)</f>
        <v>7.4000733543844455E-2</v>
      </c>
      <c r="H29" s="23">
        <v>77000</v>
      </c>
      <c r="I29" s="24">
        <f>(H29/H29)*100</f>
        <v>100</v>
      </c>
      <c r="J29" s="24">
        <f>LOG(I29)</f>
        <v>2</v>
      </c>
      <c r="K29" s="23">
        <v>20</v>
      </c>
      <c r="L29" s="24">
        <f>(K29/B29)*100</f>
        <v>0.79051383399209485</v>
      </c>
      <c r="M29" s="24">
        <f>LOG(L29)</f>
        <v>-0.10209052551183673</v>
      </c>
      <c r="N29" s="23">
        <v>2900</v>
      </c>
      <c r="O29" s="24">
        <f>(N29/N29)*100</f>
        <v>100</v>
      </c>
      <c r="P29" s="24">
        <f>LOG(O29)</f>
        <v>2</v>
      </c>
      <c r="Q29" s="23">
        <v>10</v>
      </c>
      <c r="R29" s="24">
        <f>(Q29/B29)*100</f>
        <v>0.39525691699604742</v>
      </c>
      <c r="S29" s="25">
        <f>LOG(R29)</f>
        <v>-0.40312052117581793</v>
      </c>
    </row>
    <row r="30" spans="1:19" x14ac:dyDescent="0.25">
      <c r="A30" s="26">
        <v>2</v>
      </c>
      <c r="B30" s="26">
        <v>4270</v>
      </c>
      <c r="C30">
        <f t="shared" ref="C30:C37" si="8">(B30/B30)*100</f>
        <v>100</v>
      </c>
      <c r="D30">
        <f t="shared" ref="D30:D37" si="9">LOG(C30)</f>
        <v>2</v>
      </c>
      <c r="E30" s="26">
        <v>20</v>
      </c>
      <c r="F30">
        <f t="shared" ref="F30:F37" si="10">(E30/B30)*100</f>
        <v>0.46838407494145201</v>
      </c>
      <c r="G30">
        <f t="shared" ref="G30:G37" si="11">LOG(F30)</f>
        <v>-0.32939787936104264</v>
      </c>
      <c r="H30" s="26">
        <v>46000</v>
      </c>
      <c r="I30">
        <f t="shared" ref="I30:I37" si="12">(H30/H30)*100</f>
        <v>100</v>
      </c>
      <c r="J30">
        <f t="shared" ref="J30:J37" si="13">LOG(I30)</f>
        <v>2</v>
      </c>
      <c r="K30" s="26">
        <v>10</v>
      </c>
      <c r="L30">
        <f t="shared" ref="L30:L37" si="14">(K30/B30)*100</f>
        <v>0.23419203747072601</v>
      </c>
      <c r="M30">
        <f t="shared" ref="M30:M37" si="15">LOG(L30)</f>
        <v>-0.63042787502502384</v>
      </c>
      <c r="N30" s="26">
        <v>890</v>
      </c>
      <c r="O30">
        <f t="shared" ref="O30:O37" si="16">(N30/N30)*100</f>
        <v>100</v>
      </c>
      <c r="P30">
        <f t="shared" ref="P30:P37" si="17">LOG(O30)</f>
        <v>2</v>
      </c>
      <c r="Q30" s="26">
        <v>30</v>
      </c>
      <c r="R30">
        <f t="shared" ref="R30:R37" si="18">(Q30/B30)*100</f>
        <v>0.70257611241217799</v>
      </c>
      <c r="S30" s="22">
        <f t="shared" ref="S30:S37" si="19">LOG(R30)</f>
        <v>-0.15330662030536144</v>
      </c>
    </row>
    <row r="31" spans="1:19" x14ac:dyDescent="0.25">
      <c r="A31" s="26">
        <v>3</v>
      </c>
      <c r="B31" s="26">
        <v>1470</v>
      </c>
      <c r="C31">
        <f t="shared" si="8"/>
        <v>100</v>
      </c>
      <c r="D31">
        <f t="shared" si="9"/>
        <v>2</v>
      </c>
      <c r="E31" s="26">
        <v>20</v>
      </c>
      <c r="F31">
        <f t="shared" si="10"/>
        <v>1.3605442176870748</v>
      </c>
      <c r="G31">
        <f t="shared" si="11"/>
        <v>0.13371266091580508</v>
      </c>
      <c r="H31" s="26">
        <v>14200</v>
      </c>
      <c r="I31">
        <f t="shared" si="12"/>
        <v>100</v>
      </c>
      <c r="J31">
        <f t="shared" si="13"/>
        <v>2</v>
      </c>
      <c r="K31" s="26">
        <v>10</v>
      </c>
      <c r="L31">
        <f t="shared" si="14"/>
        <v>0.68027210884353739</v>
      </c>
      <c r="M31">
        <f t="shared" si="15"/>
        <v>-0.16731733474817612</v>
      </c>
      <c r="N31" s="26">
        <v>3020</v>
      </c>
      <c r="O31">
        <f t="shared" si="16"/>
        <v>100</v>
      </c>
      <c r="P31">
        <f t="shared" si="17"/>
        <v>2</v>
      </c>
      <c r="Q31" s="26">
        <v>30</v>
      </c>
      <c r="R31">
        <f t="shared" si="18"/>
        <v>2.0408163265306123</v>
      </c>
      <c r="S31" s="22">
        <f t="shared" si="19"/>
        <v>0.30980391997148637</v>
      </c>
    </row>
    <row r="32" spans="1:19" x14ac:dyDescent="0.25">
      <c r="A32" s="26">
        <v>4</v>
      </c>
      <c r="B32" s="26">
        <v>5800</v>
      </c>
      <c r="C32">
        <f t="shared" si="8"/>
        <v>100</v>
      </c>
      <c r="D32">
        <f t="shared" si="9"/>
        <v>2</v>
      </c>
      <c r="E32" s="26">
        <v>20</v>
      </c>
      <c r="F32">
        <f t="shared" si="10"/>
        <v>0.34482758620689657</v>
      </c>
      <c r="G32">
        <f t="shared" si="11"/>
        <v>-0.46239799789895608</v>
      </c>
      <c r="H32" s="26">
        <v>12800</v>
      </c>
      <c r="I32">
        <f t="shared" si="12"/>
        <v>100</v>
      </c>
      <c r="J32">
        <f t="shared" si="13"/>
        <v>2</v>
      </c>
      <c r="K32" s="26">
        <v>130</v>
      </c>
      <c r="L32">
        <f t="shared" si="14"/>
        <v>2.2413793103448274</v>
      </c>
      <c r="M32">
        <f t="shared" si="15"/>
        <v>0.35051535874389944</v>
      </c>
      <c r="N32" s="26">
        <v>2020</v>
      </c>
      <c r="O32">
        <f t="shared" si="16"/>
        <v>100</v>
      </c>
      <c r="P32">
        <f t="shared" si="17"/>
        <v>2</v>
      </c>
      <c r="Q32" s="26">
        <v>10</v>
      </c>
      <c r="R32">
        <f t="shared" si="18"/>
        <v>0.17241379310344829</v>
      </c>
      <c r="S32" s="22">
        <f t="shared" si="19"/>
        <v>-0.76342799356293722</v>
      </c>
    </row>
    <row r="33" spans="1:19" x14ac:dyDescent="0.25">
      <c r="A33" s="26">
        <v>5</v>
      </c>
      <c r="B33" s="26">
        <v>6100</v>
      </c>
      <c r="C33">
        <f t="shared" si="8"/>
        <v>100</v>
      </c>
      <c r="D33">
        <f t="shared" si="9"/>
        <v>2</v>
      </c>
      <c r="E33" s="26">
        <v>50</v>
      </c>
      <c r="F33">
        <f t="shared" si="10"/>
        <v>0.81967213114754101</v>
      </c>
      <c r="G33">
        <f t="shared" si="11"/>
        <v>-8.6359830674748214E-2</v>
      </c>
      <c r="H33" s="26">
        <v>17300</v>
      </c>
      <c r="I33">
        <f t="shared" si="12"/>
        <v>100</v>
      </c>
      <c r="J33">
        <f t="shared" si="13"/>
        <v>2</v>
      </c>
      <c r="K33" s="26">
        <v>180</v>
      </c>
      <c r="L33">
        <f t="shared" si="14"/>
        <v>2.9508196721311477</v>
      </c>
      <c r="M33">
        <f t="shared" si="15"/>
        <v>0.46994267009253904</v>
      </c>
      <c r="N33" s="26">
        <v>14100</v>
      </c>
      <c r="O33">
        <f t="shared" si="16"/>
        <v>100</v>
      </c>
      <c r="P33">
        <f t="shared" si="17"/>
        <v>2</v>
      </c>
      <c r="Q33" s="26">
        <v>150</v>
      </c>
      <c r="R33">
        <f t="shared" si="18"/>
        <v>2.459016393442623</v>
      </c>
      <c r="S33" s="22">
        <f t="shared" si="19"/>
        <v>0.39076142404491421</v>
      </c>
    </row>
    <row r="34" spans="1:19" x14ac:dyDescent="0.25">
      <c r="A34" s="26">
        <v>6</v>
      </c>
      <c r="B34" s="26">
        <v>10200</v>
      </c>
      <c r="C34">
        <f t="shared" si="8"/>
        <v>100</v>
      </c>
      <c r="D34">
        <f t="shared" si="9"/>
        <v>2</v>
      </c>
      <c r="E34" s="26">
        <v>60</v>
      </c>
      <c r="F34">
        <f t="shared" si="10"/>
        <v>0.58823529411764708</v>
      </c>
      <c r="G34">
        <f t="shared" si="11"/>
        <v>-0.23044892137827391</v>
      </c>
      <c r="H34" s="26">
        <v>20000</v>
      </c>
      <c r="I34">
        <f t="shared" si="12"/>
        <v>100</v>
      </c>
      <c r="J34">
        <f t="shared" si="13"/>
        <v>2</v>
      </c>
      <c r="K34" s="26">
        <v>210</v>
      </c>
      <c r="L34">
        <f t="shared" si="14"/>
        <v>2.0588235294117645</v>
      </c>
      <c r="M34">
        <f t="shared" si="15"/>
        <v>0.31361912297200167</v>
      </c>
      <c r="N34" s="26">
        <v>5100</v>
      </c>
      <c r="O34">
        <f t="shared" si="16"/>
        <v>100</v>
      </c>
      <c r="P34">
        <f t="shared" si="17"/>
        <v>2</v>
      </c>
      <c r="Q34" s="26">
        <v>70</v>
      </c>
      <c r="R34">
        <f t="shared" si="18"/>
        <v>0.68627450980392157</v>
      </c>
      <c r="S34" s="22">
        <f t="shared" si="19"/>
        <v>-0.16350213174766073</v>
      </c>
    </row>
    <row r="35" spans="1:19" x14ac:dyDescent="0.25">
      <c r="A35" s="26">
        <v>7</v>
      </c>
      <c r="B35" s="26">
        <v>790</v>
      </c>
      <c r="C35">
        <f t="shared" si="8"/>
        <v>100</v>
      </c>
      <c r="D35">
        <f t="shared" si="9"/>
        <v>2</v>
      </c>
      <c r="E35" s="26">
        <v>30</v>
      </c>
      <c r="F35">
        <f t="shared" si="10"/>
        <v>3.79746835443038</v>
      </c>
      <c r="G35">
        <f t="shared" si="11"/>
        <v>0.579494163429221</v>
      </c>
      <c r="H35" s="26">
        <v>1470</v>
      </c>
      <c r="I35">
        <f t="shared" si="12"/>
        <v>100</v>
      </c>
      <c r="J35">
        <f t="shared" si="13"/>
        <v>2</v>
      </c>
      <c r="K35" s="26">
        <v>20</v>
      </c>
      <c r="L35">
        <f t="shared" si="14"/>
        <v>2.5316455696202533</v>
      </c>
      <c r="M35">
        <f t="shared" si="15"/>
        <v>0.40340290437353982</v>
      </c>
      <c r="N35" s="26">
        <v>650</v>
      </c>
      <c r="O35">
        <f t="shared" si="16"/>
        <v>100</v>
      </c>
      <c r="P35">
        <f t="shared" si="17"/>
        <v>2</v>
      </c>
      <c r="Q35" s="26">
        <v>90</v>
      </c>
      <c r="R35">
        <f t="shared" si="18"/>
        <v>11.39240506329114</v>
      </c>
      <c r="S35" s="22">
        <f t="shared" si="19"/>
        <v>1.0566154181488834</v>
      </c>
    </row>
    <row r="36" spans="1:19" x14ac:dyDescent="0.25">
      <c r="A36" s="26">
        <v>8</v>
      </c>
      <c r="B36" s="26">
        <v>480</v>
      </c>
      <c r="C36">
        <f t="shared" si="8"/>
        <v>100</v>
      </c>
      <c r="D36">
        <f t="shared" si="9"/>
        <v>2</v>
      </c>
      <c r="E36" s="26">
        <v>30</v>
      </c>
      <c r="F36">
        <f t="shared" si="10"/>
        <v>6.25</v>
      </c>
      <c r="G36">
        <f t="shared" si="11"/>
        <v>0.79588001734407521</v>
      </c>
      <c r="H36" s="26">
        <v>1640</v>
      </c>
      <c r="I36">
        <f t="shared" si="12"/>
        <v>100</v>
      </c>
      <c r="J36">
        <f t="shared" si="13"/>
        <v>2</v>
      </c>
      <c r="K36" s="26">
        <v>40</v>
      </c>
      <c r="L36">
        <f t="shared" si="14"/>
        <v>8.3333333333333321</v>
      </c>
      <c r="M36">
        <f t="shared" si="15"/>
        <v>0.92081875395237511</v>
      </c>
      <c r="N36" s="26">
        <v>1380</v>
      </c>
      <c r="O36">
        <f t="shared" si="16"/>
        <v>100</v>
      </c>
      <c r="P36">
        <f t="shared" si="17"/>
        <v>2</v>
      </c>
      <c r="Q36" s="26">
        <v>120</v>
      </c>
      <c r="R36">
        <f t="shared" si="18"/>
        <v>25</v>
      </c>
      <c r="S36" s="22">
        <f t="shared" si="19"/>
        <v>1.3979400086720377</v>
      </c>
    </row>
    <row r="37" spans="1:19" x14ac:dyDescent="0.25">
      <c r="A37" s="27">
        <v>9</v>
      </c>
      <c r="B37" s="27">
        <v>560</v>
      </c>
      <c r="C37" s="28">
        <f t="shared" si="8"/>
        <v>100</v>
      </c>
      <c r="D37" s="28">
        <f t="shared" si="9"/>
        <v>2</v>
      </c>
      <c r="E37" s="27">
        <v>80</v>
      </c>
      <c r="F37" s="28">
        <f t="shared" si="10"/>
        <v>14.285714285714285</v>
      </c>
      <c r="G37" s="28">
        <f t="shared" si="11"/>
        <v>1.1549019599857431</v>
      </c>
      <c r="H37" s="27">
        <v>1670</v>
      </c>
      <c r="I37" s="28">
        <f t="shared" si="12"/>
        <v>100</v>
      </c>
      <c r="J37" s="28">
        <f t="shared" si="13"/>
        <v>2</v>
      </c>
      <c r="K37" s="27">
        <v>10</v>
      </c>
      <c r="L37" s="28">
        <f t="shared" si="14"/>
        <v>1.7857142857142856</v>
      </c>
      <c r="M37" s="28">
        <f t="shared" si="15"/>
        <v>0.25181197299379954</v>
      </c>
      <c r="N37" s="27">
        <v>870</v>
      </c>
      <c r="O37" s="28">
        <f t="shared" si="16"/>
        <v>100</v>
      </c>
      <c r="P37" s="28">
        <f t="shared" si="17"/>
        <v>2</v>
      </c>
      <c r="Q37" s="27">
        <v>160</v>
      </c>
      <c r="R37" s="28">
        <f t="shared" si="18"/>
        <v>28.571428571428569</v>
      </c>
      <c r="S37" s="29">
        <f t="shared" si="19"/>
        <v>1.4559319556497243</v>
      </c>
    </row>
  </sheetData>
  <mergeCells count="12">
    <mergeCell ref="N27:P27"/>
    <mergeCell ref="Q27:S27"/>
    <mergeCell ref="A13:A14"/>
    <mergeCell ref="B13:D13"/>
    <mergeCell ref="E13:G13"/>
    <mergeCell ref="H13:J13"/>
    <mergeCell ref="K13:M13"/>
    <mergeCell ref="A27:A28"/>
    <mergeCell ref="B27:D27"/>
    <mergeCell ref="E27:G27"/>
    <mergeCell ref="H27:J27"/>
    <mergeCell ref="K27:M27"/>
  </mergeCells>
  <hyperlinks>
    <hyperlink ref="A1" r:id="rId1" xr:uid="{DEE8A500-0CE2-4AE3-9B98-3E7458DC21E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FDFB-F49C-4B99-87DE-D5B1B6521CCE}">
  <sheetPr>
    <tabColor theme="4"/>
  </sheetPr>
  <dimension ref="A1:AC41"/>
  <sheetViews>
    <sheetView topLeftCell="B14" workbookViewId="0">
      <selection activeCell="P47" sqref="P47"/>
    </sheetView>
  </sheetViews>
  <sheetFormatPr defaultRowHeight="15" x14ac:dyDescent="0.25"/>
  <sheetData>
    <row r="1" spans="1:29" ht="15.75" thickBot="1" x14ac:dyDescent="0.3"/>
    <row r="2" spans="1:29" ht="45" x14ac:dyDescent="0.25">
      <c r="A2" s="4" t="s">
        <v>25</v>
      </c>
      <c r="B2" s="5">
        <v>42</v>
      </c>
      <c r="C2" s="5">
        <v>42</v>
      </c>
      <c r="D2" s="5">
        <v>85</v>
      </c>
      <c r="E2" s="5">
        <v>66</v>
      </c>
      <c r="F2" s="5">
        <v>86</v>
      </c>
      <c r="G2" s="5">
        <v>65</v>
      </c>
      <c r="H2" s="5">
        <v>86</v>
      </c>
      <c r="I2" s="5">
        <v>65</v>
      </c>
      <c r="J2" s="5">
        <v>86</v>
      </c>
      <c r="K2" s="5">
        <v>64</v>
      </c>
      <c r="L2" s="5">
        <v>85</v>
      </c>
      <c r="M2" s="5">
        <v>65</v>
      </c>
      <c r="N2" s="5">
        <v>85</v>
      </c>
      <c r="O2" s="5">
        <v>67</v>
      </c>
      <c r="P2" s="5">
        <v>86</v>
      </c>
      <c r="Q2" s="5">
        <v>71</v>
      </c>
      <c r="R2" s="5">
        <v>88</v>
      </c>
      <c r="S2" s="5">
        <v>75</v>
      </c>
      <c r="T2" s="5">
        <v>88</v>
      </c>
      <c r="U2" s="5">
        <v>69</v>
      </c>
      <c r="V2" s="5">
        <v>86</v>
      </c>
      <c r="W2" s="5">
        <v>62</v>
      </c>
      <c r="X2" s="5">
        <v>85</v>
      </c>
      <c r="Y2" s="5">
        <v>63</v>
      </c>
      <c r="Z2" s="5">
        <v>86</v>
      </c>
      <c r="AA2" s="5">
        <v>67</v>
      </c>
      <c r="AB2" s="5">
        <v>67</v>
      </c>
      <c r="AC2" s="6">
        <v>66</v>
      </c>
    </row>
    <row r="3" spans="1:29" ht="60" x14ac:dyDescent="0.25">
      <c r="A3" s="7" t="s">
        <v>26</v>
      </c>
      <c r="B3" s="3">
        <v>61</v>
      </c>
      <c r="C3" s="3">
        <v>61</v>
      </c>
      <c r="D3" s="3">
        <v>88</v>
      </c>
      <c r="E3" s="3">
        <v>59</v>
      </c>
      <c r="F3" s="3">
        <v>87</v>
      </c>
      <c r="G3" s="3">
        <v>57</v>
      </c>
      <c r="H3" s="3">
        <v>87</v>
      </c>
      <c r="I3" s="3">
        <v>56</v>
      </c>
      <c r="J3" s="3">
        <v>86</v>
      </c>
      <c r="K3" s="3">
        <v>53</v>
      </c>
      <c r="L3" s="3">
        <v>85</v>
      </c>
      <c r="M3" s="3">
        <v>57</v>
      </c>
      <c r="N3" s="3">
        <v>87</v>
      </c>
      <c r="O3" s="3">
        <v>63</v>
      </c>
      <c r="P3" s="3">
        <v>89</v>
      </c>
      <c r="Q3" s="3">
        <v>64</v>
      </c>
      <c r="R3" s="3">
        <v>91</v>
      </c>
      <c r="S3" s="3">
        <v>67</v>
      </c>
      <c r="T3" s="3">
        <v>90</v>
      </c>
      <c r="U3" s="3">
        <v>67</v>
      </c>
      <c r="V3" s="3">
        <v>87</v>
      </c>
      <c r="W3" s="3">
        <v>63</v>
      </c>
      <c r="X3" s="3">
        <v>88</v>
      </c>
      <c r="Y3" s="3">
        <v>60</v>
      </c>
      <c r="Z3" s="3">
        <v>88</v>
      </c>
      <c r="AA3" s="3">
        <v>61</v>
      </c>
      <c r="AB3" s="3">
        <v>88</v>
      </c>
      <c r="AC3" s="8">
        <v>61</v>
      </c>
    </row>
    <row r="4" spans="1:29" ht="30" x14ac:dyDescent="0.25">
      <c r="A4" s="7" t="s">
        <v>27</v>
      </c>
      <c r="B4" s="3">
        <v>61</v>
      </c>
      <c r="C4" s="3">
        <v>61</v>
      </c>
      <c r="D4" s="3">
        <v>89</v>
      </c>
      <c r="E4" s="3">
        <v>57</v>
      </c>
      <c r="F4" s="3">
        <v>89</v>
      </c>
      <c r="G4" s="3">
        <v>55</v>
      </c>
      <c r="H4" s="3">
        <v>89</v>
      </c>
      <c r="I4" s="3">
        <v>52</v>
      </c>
      <c r="J4" s="3">
        <v>88</v>
      </c>
      <c r="K4" s="3">
        <v>48</v>
      </c>
      <c r="L4" s="3">
        <v>88</v>
      </c>
      <c r="M4" s="3">
        <v>50</v>
      </c>
      <c r="N4" s="3">
        <v>89</v>
      </c>
      <c r="O4" s="3">
        <v>58</v>
      </c>
      <c r="P4" s="3">
        <v>89</v>
      </c>
      <c r="Q4" s="3">
        <v>60</v>
      </c>
      <c r="R4" s="3">
        <v>91</v>
      </c>
      <c r="S4" s="3">
        <v>61</v>
      </c>
      <c r="T4" s="3">
        <v>92</v>
      </c>
      <c r="U4" s="3">
        <v>61</v>
      </c>
      <c r="V4" s="3">
        <v>90</v>
      </c>
      <c r="W4" s="3">
        <v>57</v>
      </c>
      <c r="X4" s="3">
        <v>90</v>
      </c>
      <c r="Y4" s="3">
        <v>56</v>
      </c>
      <c r="Z4" s="3">
        <v>89</v>
      </c>
      <c r="AA4" s="3">
        <v>57</v>
      </c>
      <c r="AB4" s="3">
        <v>89</v>
      </c>
      <c r="AC4" s="8">
        <v>56</v>
      </c>
    </row>
    <row r="5" spans="1:29" ht="30" x14ac:dyDescent="0.25">
      <c r="A5" s="7" t="s">
        <v>28</v>
      </c>
      <c r="B5" s="3">
        <v>22</v>
      </c>
      <c r="C5" s="3">
        <v>22</v>
      </c>
      <c r="D5" s="3">
        <v>89</v>
      </c>
      <c r="E5" s="3">
        <v>59</v>
      </c>
      <c r="F5" s="3">
        <v>89</v>
      </c>
      <c r="G5" s="3">
        <v>56</v>
      </c>
      <c r="H5" s="3">
        <v>91</v>
      </c>
      <c r="I5" s="3">
        <v>53</v>
      </c>
      <c r="J5" s="3">
        <v>90</v>
      </c>
      <c r="K5" s="3">
        <v>49</v>
      </c>
      <c r="L5" s="3">
        <v>91</v>
      </c>
      <c r="M5" s="3">
        <v>50</v>
      </c>
      <c r="N5" s="3">
        <v>89</v>
      </c>
      <c r="O5" s="3">
        <v>57</v>
      </c>
      <c r="P5" s="3">
        <v>89</v>
      </c>
      <c r="Q5" s="3">
        <v>60</v>
      </c>
      <c r="R5" s="3">
        <v>91</v>
      </c>
      <c r="S5" s="3">
        <v>61</v>
      </c>
      <c r="T5" s="3">
        <v>95</v>
      </c>
      <c r="U5" s="3">
        <v>64</v>
      </c>
      <c r="V5" s="3">
        <v>93</v>
      </c>
      <c r="W5" s="3">
        <v>61</v>
      </c>
      <c r="X5" s="3">
        <v>93</v>
      </c>
      <c r="Y5" s="3">
        <v>59</v>
      </c>
      <c r="Z5" s="3">
        <v>91</v>
      </c>
      <c r="AA5" s="3">
        <v>60</v>
      </c>
      <c r="AB5" s="3">
        <v>91</v>
      </c>
      <c r="AC5" s="8">
        <v>57</v>
      </c>
    </row>
    <row r="6" spans="1:29" ht="45" x14ac:dyDescent="0.25">
      <c r="A6" s="7" t="s">
        <v>29</v>
      </c>
      <c r="B6" s="3">
        <v>69</v>
      </c>
      <c r="C6" s="3">
        <v>69</v>
      </c>
      <c r="D6" s="3">
        <v>88</v>
      </c>
      <c r="E6" s="3">
        <v>58</v>
      </c>
      <c r="F6" s="3">
        <v>87</v>
      </c>
      <c r="G6" s="3">
        <v>54</v>
      </c>
      <c r="H6" s="3">
        <v>87</v>
      </c>
      <c r="I6" s="3">
        <v>50</v>
      </c>
      <c r="J6" s="3">
        <v>87</v>
      </c>
      <c r="K6" s="3">
        <v>48</v>
      </c>
      <c r="L6" s="3">
        <v>86</v>
      </c>
      <c r="M6" s="3">
        <v>51</v>
      </c>
      <c r="N6" s="3">
        <v>88</v>
      </c>
      <c r="O6" s="3">
        <v>57</v>
      </c>
      <c r="P6" s="3">
        <v>89</v>
      </c>
      <c r="Q6" s="3">
        <v>59</v>
      </c>
      <c r="R6" s="3">
        <v>92</v>
      </c>
      <c r="S6" s="3">
        <v>61</v>
      </c>
      <c r="T6" s="3">
        <v>92</v>
      </c>
      <c r="U6" s="3">
        <v>63</v>
      </c>
      <c r="V6" s="3">
        <v>91</v>
      </c>
      <c r="W6" s="3">
        <v>59</v>
      </c>
      <c r="X6" s="3">
        <v>90</v>
      </c>
      <c r="Y6" s="3">
        <v>57</v>
      </c>
      <c r="Z6" s="3">
        <v>89</v>
      </c>
      <c r="AA6" s="3">
        <v>59</v>
      </c>
      <c r="AB6" s="3">
        <v>89</v>
      </c>
      <c r="AC6" s="8">
        <v>56</v>
      </c>
    </row>
    <row r="7" spans="1:29" ht="30" x14ac:dyDescent="0.25">
      <c r="A7" s="7" t="s">
        <v>30</v>
      </c>
      <c r="B7" s="3">
        <v>57</v>
      </c>
      <c r="C7" s="3">
        <v>57</v>
      </c>
      <c r="D7" s="3">
        <v>82</v>
      </c>
      <c r="E7" s="3">
        <v>69</v>
      </c>
      <c r="F7" s="3">
        <v>81</v>
      </c>
      <c r="G7" s="3">
        <v>67</v>
      </c>
      <c r="H7" s="3">
        <v>80</v>
      </c>
      <c r="I7" s="3">
        <v>66</v>
      </c>
      <c r="J7" s="3">
        <v>77</v>
      </c>
      <c r="K7" s="3">
        <v>64</v>
      </c>
      <c r="L7" s="3">
        <v>77</v>
      </c>
      <c r="M7" s="3">
        <v>66</v>
      </c>
      <c r="N7" s="3">
        <v>78</v>
      </c>
      <c r="O7" s="3">
        <v>69</v>
      </c>
      <c r="P7" s="3">
        <v>77</v>
      </c>
      <c r="Q7" s="3">
        <v>67</v>
      </c>
      <c r="R7" s="3">
        <v>78</v>
      </c>
      <c r="S7" s="3">
        <v>67</v>
      </c>
      <c r="T7" s="3">
        <v>81</v>
      </c>
      <c r="U7" s="3">
        <v>70</v>
      </c>
      <c r="V7" s="3">
        <v>82</v>
      </c>
      <c r="W7" s="3">
        <v>69</v>
      </c>
      <c r="X7" s="3">
        <v>83</v>
      </c>
      <c r="Y7" s="3">
        <v>69</v>
      </c>
      <c r="Z7" s="3">
        <v>83</v>
      </c>
      <c r="AA7" s="3">
        <v>70</v>
      </c>
      <c r="AB7" s="3">
        <v>80</v>
      </c>
      <c r="AC7" s="8">
        <v>68</v>
      </c>
    </row>
    <row r="8" spans="1:29" x14ac:dyDescent="0.25">
      <c r="A8" s="7" t="s">
        <v>31</v>
      </c>
      <c r="B8" s="3">
        <v>41</v>
      </c>
      <c r="C8" s="3">
        <v>41</v>
      </c>
      <c r="D8" s="3">
        <v>85</v>
      </c>
      <c r="E8" s="3">
        <v>60</v>
      </c>
      <c r="F8" s="3">
        <v>84</v>
      </c>
      <c r="G8" s="3">
        <v>58</v>
      </c>
      <c r="H8" s="3">
        <v>82</v>
      </c>
      <c r="I8" s="3">
        <v>57</v>
      </c>
      <c r="J8" s="3">
        <v>79</v>
      </c>
      <c r="K8" s="3">
        <v>54</v>
      </c>
      <c r="L8" s="3">
        <v>80</v>
      </c>
      <c r="M8" s="3">
        <v>59</v>
      </c>
      <c r="N8" s="3">
        <v>84</v>
      </c>
      <c r="O8" s="3">
        <v>66</v>
      </c>
      <c r="P8" s="3">
        <v>83</v>
      </c>
      <c r="Q8" s="3">
        <v>63</v>
      </c>
      <c r="R8" s="3">
        <v>85</v>
      </c>
      <c r="S8" s="3">
        <v>65</v>
      </c>
      <c r="T8" s="3">
        <v>87</v>
      </c>
      <c r="U8" s="3">
        <v>67</v>
      </c>
      <c r="V8" s="3">
        <v>86</v>
      </c>
      <c r="W8" s="3">
        <v>63</v>
      </c>
      <c r="X8" s="3">
        <v>84</v>
      </c>
      <c r="Y8" s="3">
        <v>62</v>
      </c>
      <c r="Z8" s="3">
        <v>84</v>
      </c>
      <c r="AA8" s="3">
        <v>60</v>
      </c>
      <c r="AB8" s="3">
        <v>83</v>
      </c>
      <c r="AC8" s="8">
        <v>61</v>
      </c>
    </row>
    <row r="9" spans="1:29" ht="30" x14ac:dyDescent="0.25">
      <c r="A9" s="7" t="s">
        <v>32</v>
      </c>
      <c r="B9" s="3">
        <v>42</v>
      </c>
      <c r="C9" s="3">
        <v>42</v>
      </c>
      <c r="D9" s="3">
        <v>88</v>
      </c>
      <c r="E9" s="3">
        <v>57</v>
      </c>
      <c r="F9" s="3">
        <v>88</v>
      </c>
      <c r="G9" s="3">
        <v>53</v>
      </c>
      <c r="H9" s="3">
        <v>89</v>
      </c>
      <c r="I9" s="3">
        <v>51</v>
      </c>
      <c r="J9" s="3">
        <v>88</v>
      </c>
      <c r="K9" s="3">
        <v>47</v>
      </c>
      <c r="L9" s="3">
        <v>88</v>
      </c>
      <c r="M9" s="3">
        <v>50</v>
      </c>
      <c r="N9" s="3">
        <v>90</v>
      </c>
      <c r="O9" s="3">
        <v>58</v>
      </c>
      <c r="P9" s="3">
        <v>91</v>
      </c>
      <c r="Q9" s="3">
        <v>59</v>
      </c>
      <c r="R9" s="3">
        <v>93</v>
      </c>
      <c r="S9" s="3">
        <v>60</v>
      </c>
      <c r="T9" s="3">
        <v>92</v>
      </c>
      <c r="U9" s="3">
        <v>61</v>
      </c>
      <c r="V9" s="3">
        <v>90</v>
      </c>
      <c r="W9" s="3">
        <v>57</v>
      </c>
      <c r="X9" s="3">
        <v>90</v>
      </c>
      <c r="Y9" s="3">
        <v>56</v>
      </c>
      <c r="Z9" s="3">
        <v>89</v>
      </c>
      <c r="AA9" s="3">
        <v>58</v>
      </c>
      <c r="AB9" s="3">
        <v>90</v>
      </c>
      <c r="AC9" s="8">
        <v>56</v>
      </c>
    </row>
    <row r="10" spans="1:29" ht="30" x14ac:dyDescent="0.25">
      <c r="A10" s="7" t="s">
        <v>33</v>
      </c>
      <c r="B10" s="3">
        <v>42</v>
      </c>
      <c r="C10" s="3">
        <v>42</v>
      </c>
      <c r="D10" s="3">
        <v>82</v>
      </c>
      <c r="E10" s="3">
        <v>66</v>
      </c>
      <c r="F10" s="3">
        <v>82</v>
      </c>
      <c r="G10" s="3">
        <v>63</v>
      </c>
      <c r="H10" s="3">
        <v>84</v>
      </c>
      <c r="I10" s="3">
        <v>63</v>
      </c>
      <c r="J10" s="3">
        <v>86</v>
      </c>
      <c r="K10" s="3">
        <v>62</v>
      </c>
      <c r="L10" s="3">
        <v>87</v>
      </c>
      <c r="M10" s="3">
        <v>63</v>
      </c>
      <c r="N10" s="3">
        <v>85</v>
      </c>
      <c r="O10" s="3">
        <v>63</v>
      </c>
      <c r="P10" s="3">
        <v>86</v>
      </c>
      <c r="Q10" s="3">
        <v>67</v>
      </c>
      <c r="R10" s="3">
        <v>88</v>
      </c>
      <c r="S10" s="3">
        <v>68</v>
      </c>
      <c r="T10" s="3">
        <v>85</v>
      </c>
      <c r="U10" s="3">
        <v>64</v>
      </c>
      <c r="V10" s="3">
        <v>82</v>
      </c>
      <c r="W10" s="3">
        <v>59</v>
      </c>
      <c r="X10" s="3">
        <v>82</v>
      </c>
      <c r="Y10" s="3">
        <v>62</v>
      </c>
      <c r="Z10" s="3">
        <v>81</v>
      </c>
      <c r="AA10" s="3">
        <v>66</v>
      </c>
      <c r="AB10" s="3">
        <v>84</v>
      </c>
      <c r="AC10" s="8">
        <v>64</v>
      </c>
    </row>
    <row r="11" spans="1:29" ht="45" x14ac:dyDescent="0.25">
      <c r="A11" s="7" t="s">
        <v>34</v>
      </c>
      <c r="B11" s="3">
        <v>44</v>
      </c>
      <c r="C11" s="3">
        <v>44</v>
      </c>
      <c r="D11" s="3">
        <v>87</v>
      </c>
      <c r="E11" s="3">
        <v>57</v>
      </c>
      <c r="F11" s="3">
        <v>87</v>
      </c>
      <c r="G11" s="3">
        <v>54</v>
      </c>
      <c r="H11" s="3">
        <v>89</v>
      </c>
      <c r="I11" s="3">
        <v>51</v>
      </c>
      <c r="J11" s="3">
        <v>91</v>
      </c>
      <c r="K11" s="3">
        <v>47</v>
      </c>
      <c r="L11" s="3">
        <v>90</v>
      </c>
      <c r="M11" s="3">
        <v>50</v>
      </c>
      <c r="N11" s="3">
        <v>91</v>
      </c>
      <c r="O11" s="3">
        <v>56</v>
      </c>
      <c r="P11" s="3">
        <v>93</v>
      </c>
      <c r="Q11" s="3">
        <v>61</v>
      </c>
      <c r="R11" s="3">
        <v>94</v>
      </c>
      <c r="S11" s="3">
        <v>61</v>
      </c>
      <c r="T11" s="3">
        <v>93</v>
      </c>
      <c r="U11" s="3">
        <v>58</v>
      </c>
      <c r="V11" s="3">
        <v>91</v>
      </c>
      <c r="W11" s="3">
        <v>53</v>
      </c>
      <c r="X11" s="3">
        <v>90</v>
      </c>
      <c r="Y11" s="3">
        <v>54</v>
      </c>
      <c r="Z11" s="3">
        <v>88</v>
      </c>
      <c r="AA11" s="3">
        <v>57</v>
      </c>
      <c r="AB11" s="3">
        <v>90</v>
      </c>
      <c r="AC11" s="8">
        <v>55</v>
      </c>
    </row>
    <row r="12" spans="1:29" x14ac:dyDescent="0.25">
      <c r="A12" s="7" t="s">
        <v>35</v>
      </c>
      <c r="B12" s="3">
        <v>42</v>
      </c>
      <c r="C12" s="3">
        <v>42</v>
      </c>
      <c r="D12" s="3">
        <v>87</v>
      </c>
      <c r="E12" s="3">
        <v>60</v>
      </c>
      <c r="F12" s="3">
        <v>86</v>
      </c>
      <c r="G12" s="3">
        <v>57</v>
      </c>
      <c r="H12" s="3">
        <v>87</v>
      </c>
      <c r="I12" s="3">
        <v>56</v>
      </c>
      <c r="J12" s="3">
        <v>86</v>
      </c>
      <c r="K12" s="3">
        <v>52</v>
      </c>
      <c r="L12" s="3">
        <v>85</v>
      </c>
      <c r="M12" s="3">
        <v>53</v>
      </c>
      <c r="N12" s="3">
        <v>86</v>
      </c>
      <c r="O12" s="3">
        <v>61</v>
      </c>
      <c r="P12" s="3">
        <v>87</v>
      </c>
      <c r="Q12" s="3">
        <v>64</v>
      </c>
      <c r="R12" s="3">
        <v>90</v>
      </c>
      <c r="S12" s="3">
        <v>65</v>
      </c>
      <c r="T12" s="3">
        <v>91</v>
      </c>
      <c r="U12" s="3">
        <v>63</v>
      </c>
      <c r="V12" s="3">
        <v>89</v>
      </c>
      <c r="W12" s="3">
        <v>58</v>
      </c>
      <c r="X12" s="3">
        <v>88</v>
      </c>
      <c r="Y12" s="3">
        <v>58</v>
      </c>
      <c r="Z12" s="3">
        <v>87</v>
      </c>
      <c r="AA12" s="3">
        <v>60</v>
      </c>
      <c r="AB12" s="3">
        <v>87</v>
      </c>
      <c r="AC12" s="8">
        <v>59</v>
      </c>
    </row>
    <row r="13" spans="1:29" ht="45" x14ac:dyDescent="0.25">
      <c r="A13" s="7" t="s">
        <v>36</v>
      </c>
      <c r="B13" s="3">
        <v>42</v>
      </c>
      <c r="C13" s="3">
        <v>42</v>
      </c>
      <c r="D13" s="3">
        <v>88</v>
      </c>
      <c r="E13" s="3">
        <v>60</v>
      </c>
      <c r="F13" s="3">
        <v>88</v>
      </c>
      <c r="G13" s="3">
        <v>56</v>
      </c>
      <c r="H13" s="3">
        <v>86</v>
      </c>
      <c r="I13" s="3">
        <v>56</v>
      </c>
      <c r="J13" s="3">
        <v>84</v>
      </c>
      <c r="K13" s="3">
        <v>55</v>
      </c>
      <c r="L13" s="3">
        <v>84</v>
      </c>
      <c r="M13" s="3">
        <v>58</v>
      </c>
      <c r="N13" s="3">
        <v>81</v>
      </c>
      <c r="O13" s="3">
        <v>60</v>
      </c>
      <c r="P13" s="3">
        <v>83</v>
      </c>
      <c r="Q13" s="3">
        <v>60</v>
      </c>
      <c r="R13" s="3">
        <v>85</v>
      </c>
      <c r="S13" s="3">
        <v>60</v>
      </c>
      <c r="T13" s="3">
        <v>82</v>
      </c>
      <c r="U13" s="3">
        <v>59</v>
      </c>
      <c r="V13" s="3">
        <v>81</v>
      </c>
      <c r="W13" s="3">
        <v>59</v>
      </c>
      <c r="X13" s="3">
        <v>79</v>
      </c>
      <c r="Y13" s="3">
        <v>57</v>
      </c>
      <c r="Z13" s="3">
        <v>82</v>
      </c>
      <c r="AA13" s="3">
        <v>56</v>
      </c>
      <c r="AB13" s="3">
        <v>84</v>
      </c>
      <c r="AC13" s="8">
        <v>58</v>
      </c>
    </row>
    <row r="14" spans="1:29" ht="60.75" thickBot="1" x14ac:dyDescent="0.3">
      <c r="A14" s="9" t="s">
        <v>37</v>
      </c>
      <c r="B14" s="10">
        <v>41</v>
      </c>
      <c r="C14" s="10">
        <v>41</v>
      </c>
      <c r="D14" s="10">
        <v>84</v>
      </c>
      <c r="E14" s="10">
        <v>59</v>
      </c>
      <c r="F14" s="10">
        <v>84</v>
      </c>
      <c r="G14" s="10">
        <v>57</v>
      </c>
      <c r="H14" s="10">
        <v>83</v>
      </c>
      <c r="I14" s="10">
        <v>56</v>
      </c>
      <c r="J14" s="10">
        <v>79</v>
      </c>
      <c r="K14" s="10">
        <v>55</v>
      </c>
      <c r="L14" s="10">
        <v>80</v>
      </c>
      <c r="M14" s="10">
        <v>59</v>
      </c>
      <c r="N14" s="10">
        <v>84</v>
      </c>
      <c r="O14" s="10">
        <v>66</v>
      </c>
      <c r="P14" s="10">
        <v>85</v>
      </c>
      <c r="Q14" s="10">
        <v>64</v>
      </c>
      <c r="R14" s="10">
        <v>86</v>
      </c>
      <c r="S14" s="10">
        <v>65</v>
      </c>
      <c r="T14" s="10">
        <v>87</v>
      </c>
      <c r="U14" s="10">
        <v>66</v>
      </c>
      <c r="V14" s="10">
        <v>84</v>
      </c>
      <c r="W14" s="10">
        <v>63</v>
      </c>
      <c r="X14" s="10">
        <v>83</v>
      </c>
      <c r="Y14" s="10">
        <v>61</v>
      </c>
      <c r="Z14" s="10">
        <v>84</v>
      </c>
      <c r="AA14" s="10">
        <v>60</v>
      </c>
      <c r="AB14" s="10">
        <v>84</v>
      </c>
      <c r="AC14" s="11">
        <v>61</v>
      </c>
    </row>
    <row r="15" spans="1:29" ht="15.75" thickBot="1" x14ac:dyDescent="0.3"/>
    <row r="16" spans="1:29" ht="15.75" thickBot="1" x14ac:dyDescent="0.3">
      <c r="B16" s="13" t="s">
        <v>52</v>
      </c>
      <c r="C16" s="14" t="s">
        <v>53</v>
      </c>
      <c r="D16" s="14" t="s">
        <v>54</v>
      </c>
      <c r="E16" s="14" t="s">
        <v>55</v>
      </c>
      <c r="F16" s="14" t="s">
        <v>56</v>
      </c>
      <c r="G16" s="14" t="s">
        <v>57</v>
      </c>
      <c r="H16" s="14" t="s">
        <v>58</v>
      </c>
      <c r="I16" s="14" t="s">
        <v>59</v>
      </c>
      <c r="J16" s="14" t="s">
        <v>60</v>
      </c>
      <c r="K16" s="14" t="s">
        <v>61</v>
      </c>
      <c r="L16" s="14" t="s">
        <v>62</v>
      </c>
      <c r="M16" s="14" t="s">
        <v>63</v>
      </c>
      <c r="N16" s="14" t="s">
        <v>64</v>
      </c>
      <c r="O16" s="15" t="s">
        <v>65</v>
      </c>
      <c r="AB16" s="12">
        <f>AVERAGE(AB2:AC14)</f>
        <v>72.461538461538467</v>
      </c>
    </row>
    <row r="17" spans="2:15" x14ac:dyDescent="0.25">
      <c r="B17" s="4">
        <v>2001</v>
      </c>
      <c r="C17" s="5">
        <v>53.1</v>
      </c>
      <c r="D17" s="5">
        <v>65.099999999999994</v>
      </c>
      <c r="E17" s="5">
        <v>64.2</v>
      </c>
      <c r="F17" s="5">
        <v>70</v>
      </c>
      <c r="G17" s="5">
        <v>74.7</v>
      </c>
      <c r="H17" s="5">
        <v>80.099999999999994</v>
      </c>
      <c r="I17" s="5">
        <v>81.2</v>
      </c>
      <c r="J17" s="5">
        <v>81.3</v>
      </c>
      <c r="K17" s="5">
        <v>77.599999999999994</v>
      </c>
      <c r="L17" s="5">
        <v>71.5</v>
      </c>
      <c r="M17" s="5">
        <v>68</v>
      </c>
      <c r="N17" s="5">
        <v>64.400000000000006</v>
      </c>
      <c r="O17" s="6">
        <v>70.900000000000006</v>
      </c>
    </row>
    <row r="18" spans="2:15" x14ac:dyDescent="0.25">
      <c r="B18" s="7">
        <v>2002</v>
      </c>
      <c r="C18" s="3">
        <v>59.3</v>
      </c>
      <c r="D18" s="3">
        <v>59.6</v>
      </c>
      <c r="E18" s="3">
        <v>66.7</v>
      </c>
      <c r="F18" s="3">
        <v>73.599999999999994</v>
      </c>
      <c r="G18" s="3">
        <v>76.599999999999994</v>
      </c>
      <c r="H18" s="3">
        <v>79.599999999999994</v>
      </c>
      <c r="I18" s="3">
        <v>81.5</v>
      </c>
      <c r="J18" s="3">
        <v>81.2</v>
      </c>
      <c r="K18" s="3">
        <v>81.099999999999994</v>
      </c>
      <c r="L18" s="3">
        <v>76.3</v>
      </c>
      <c r="M18" s="3">
        <v>63.2</v>
      </c>
      <c r="N18" s="3">
        <v>57.5</v>
      </c>
      <c r="O18" s="8">
        <v>71.400000000000006</v>
      </c>
    </row>
    <row r="19" spans="2:15" x14ac:dyDescent="0.25">
      <c r="B19" s="7">
        <v>2003</v>
      </c>
      <c r="C19" s="3">
        <v>52.4</v>
      </c>
      <c r="D19" s="3">
        <v>61.5</v>
      </c>
      <c r="E19" s="3">
        <v>70.2</v>
      </c>
      <c r="F19" s="3">
        <v>69.5</v>
      </c>
      <c r="G19" s="3">
        <v>78.2</v>
      </c>
      <c r="H19" s="3">
        <v>80.099999999999994</v>
      </c>
      <c r="I19" s="3">
        <v>81.3</v>
      </c>
      <c r="J19" s="3">
        <v>81</v>
      </c>
      <c r="K19" s="3">
        <v>78.900000000000006</v>
      </c>
      <c r="L19" s="3">
        <v>73.400000000000006</v>
      </c>
      <c r="M19" s="3">
        <v>68.7</v>
      </c>
      <c r="N19" s="3">
        <v>56.4</v>
      </c>
      <c r="O19" s="8">
        <v>71</v>
      </c>
    </row>
    <row r="20" spans="2:15" x14ac:dyDescent="0.25">
      <c r="B20" s="7">
        <v>2004</v>
      </c>
      <c r="C20" s="3">
        <v>56.9</v>
      </c>
      <c r="D20" s="3">
        <v>59.4</v>
      </c>
      <c r="E20" s="3">
        <v>65.8</v>
      </c>
      <c r="F20" s="3">
        <v>67.5</v>
      </c>
      <c r="G20" s="3">
        <v>76.099999999999994</v>
      </c>
      <c r="H20" s="3">
        <v>81.3</v>
      </c>
      <c r="I20" s="3">
        <v>81.8</v>
      </c>
      <c r="J20" s="3">
        <v>81.400000000000006</v>
      </c>
      <c r="K20" s="3">
        <v>79.900000000000006</v>
      </c>
      <c r="L20" s="3">
        <v>74.5</v>
      </c>
      <c r="M20" s="3">
        <v>67.3</v>
      </c>
      <c r="N20" s="3">
        <v>58</v>
      </c>
      <c r="O20" s="8">
        <v>70.8</v>
      </c>
    </row>
    <row r="21" spans="2:15" x14ac:dyDescent="0.25">
      <c r="B21" s="7">
        <v>2005</v>
      </c>
      <c r="C21" s="3">
        <v>60</v>
      </c>
      <c r="D21" s="3">
        <v>60.6</v>
      </c>
      <c r="E21" s="3">
        <v>62.9</v>
      </c>
      <c r="F21" s="3">
        <v>66.599999999999994</v>
      </c>
      <c r="G21" s="3">
        <v>74.2</v>
      </c>
      <c r="H21" s="3">
        <v>79.8</v>
      </c>
      <c r="I21" s="3">
        <v>83.1</v>
      </c>
      <c r="J21" s="3">
        <v>83.1</v>
      </c>
      <c r="K21" s="3">
        <v>80.599999999999994</v>
      </c>
      <c r="L21" s="3">
        <v>73.5</v>
      </c>
      <c r="M21" s="3">
        <v>67.099999999999994</v>
      </c>
      <c r="N21" s="3">
        <v>56.9</v>
      </c>
      <c r="O21" s="8">
        <v>70.7</v>
      </c>
    </row>
    <row r="22" spans="2:15" x14ac:dyDescent="0.25">
      <c r="B22" s="7">
        <v>2006</v>
      </c>
      <c r="C22" s="3">
        <v>60.6</v>
      </c>
      <c r="D22" s="3">
        <v>58.2</v>
      </c>
      <c r="E22" s="3">
        <v>64.599999999999994</v>
      </c>
      <c r="F22" s="3">
        <v>72.3</v>
      </c>
      <c r="G22" s="3">
        <v>75.400000000000006</v>
      </c>
      <c r="H22" s="3">
        <v>80.3</v>
      </c>
      <c r="I22" s="3">
        <v>81.7</v>
      </c>
      <c r="J22" s="3">
        <v>82.5</v>
      </c>
      <c r="K22" s="3">
        <v>79.2</v>
      </c>
      <c r="L22" s="3">
        <v>71.900000000000006</v>
      </c>
      <c r="M22" s="3">
        <v>63.4</v>
      </c>
      <c r="N22" s="3">
        <v>64.3</v>
      </c>
      <c r="O22" s="8">
        <v>71.2</v>
      </c>
    </row>
    <row r="23" spans="2:15" x14ac:dyDescent="0.25">
      <c r="B23" s="7">
        <v>2007</v>
      </c>
      <c r="C23" s="3">
        <v>61.3</v>
      </c>
      <c r="D23" s="3">
        <v>58</v>
      </c>
      <c r="E23" s="3">
        <v>66.2</v>
      </c>
      <c r="F23" s="3">
        <v>68.2</v>
      </c>
      <c r="G23" s="3">
        <v>74.7</v>
      </c>
      <c r="H23" s="3">
        <v>79.8</v>
      </c>
      <c r="I23" s="3">
        <v>82</v>
      </c>
      <c r="J23" s="3">
        <v>83.5</v>
      </c>
      <c r="K23" s="3">
        <v>80.3</v>
      </c>
      <c r="L23" s="3">
        <v>76.099999999999994</v>
      </c>
      <c r="M23" s="3">
        <v>64.7</v>
      </c>
      <c r="N23" s="3">
        <v>64.3</v>
      </c>
      <c r="O23" s="8">
        <v>71.599999999999994</v>
      </c>
    </row>
    <row r="24" spans="2:15" x14ac:dyDescent="0.25">
      <c r="B24" s="7">
        <v>2008</v>
      </c>
      <c r="C24" s="3">
        <v>58.1</v>
      </c>
      <c r="D24" s="3">
        <v>62.9</v>
      </c>
      <c r="E24" s="3">
        <v>64.400000000000006</v>
      </c>
      <c r="F24" s="3">
        <v>69.2</v>
      </c>
      <c r="G24" s="3">
        <v>75.900000000000006</v>
      </c>
      <c r="H24" s="3">
        <v>80.5</v>
      </c>
      <c r="I24" s="3">
        <v>81</v>
      </c>
      <c r="J24" s="3">
        <v>81.2</v>
      </c>
      <c r="K24" s="3">
        <v>79.599999999999994</v>
      </c>
      <c r="L24" s="3">
        <v>71.3</v>
      </c>
      <c r="M24" s="3">
        <v>61.4</v>
      </c>
      <c r="N24" s="3">
        <v>62</v>
      </c>
      <c r="O24" s="8">
        <v>70.599999999999994</v>
      </c>
    </row>
    <row r="25" spans="2:15" x14ac:dyDescent="0.25">
      <c r="B25" s="7">
        <v>2009</v>
      </c>
      <c r="C25" s="3">
        <v>57.4</v>
      </c>
      <c r="D25" s="3">
        <v>57.8</v>
      </c>
      <c r="E25" s="3">
        <v>65.5</v>
      </c>
      <c r="F25" s="3">
        <v>69.7</v>
      </c>
      <c r="G25" s="3">
        <v>76.7</v>
      </c>
      <c r="H25" s="3">
        <v>81.8</v>
      </c>
      <c r="I25" s="3">
        <v>81.599999999999994</v>
      </c>
      <c r="J25" s="3">
        <v>82</v>
      </c>
      <c r="K25" s="3">
        <v>84.4</v>
      </c>
      <c r="L25" s="3">
        <v>75.2</v>
      </c>
      <c r="M25" s="3">
        <v>66</v>
      </c>
      <c r="N25" s="3">
        <v>60.5</v>
      </c>
      <c r="O25" s="8">
        <v>71.099999999999994</v>
      </c>
    </row>
    <row r="26" spans="2:15" x14ac:dyDescent="0.25">
      <c r="B26" s="7">
        <v>2010</v>
      </c>
      <c r="C26" s="3">
        <v>52.4</v>
      </c>
      <c r="D26" s="3">
        <v>52.3</v>
      </c>
      <c r="E26" s="3">
        <v>58.7</v>
      </c>
      <c r="F26" s="3">
        <v>69.5</v>
      </c>
      <c r="G26" s="3">
        <v>78.3</v>
      </c>
      <c r="H26" s="3">
        <v>83</v>
      </c>
      <c r="I26" s="3">
        <v>83.3</v>
      </c>
      <c r="J26" s="3">
        <v>83.6</v>
      </c>
      <c r="K26" s="3">
        <v>81.099999999999994</v>
      </c>
      <c r="L26" s="3">
        <v>72.2</v>
      </c>
      <c r="M26" s="3">
        <v>64.900000000000006</v>
      </c>
      <c r="N26" s="3">
        <v>50</v>
      </c>
      <c r="O26" s="8">
        <v>69.099999999999994</v>
      </c>
    </row>
    <row r="27" spans="2:15" x14ac:dyDescent="0.25">
      <c r="B27" s="7">
        <v>2011</v>
      </c>
      <c r="C27" s="3">
        <v>55.1</v>
      </c>
      <c r="D27" s="3">
        <v>61.7</v>
      </c>
      <c r="E27" s="3">
        <v>66.5</v>
      </c>
      <c r="F27" s="3">
        <v>73</v>
      </c>
      <c r="G27" s="3">
        <v>76</v>
      </c>
      <c r="H27" s="3">
        <v>81.900000000000006</v>
      </c>
      <c r="I27" s="3">
        <v>82.4</v>
      </c>
      <c r="J27" s="3">
        <v>83.6</v>
      </c>
      <c r="K27" s="3">
        <v>79.7</v>
      </c>
      <c r="L27" s="3">
        <v>70.599999999999994</v>
      </c>
      <c r="M27" s="3">
        <v>66.7</v>
      </c>
      <c r="N27" s="3">
        <v>63.7</v>
      </c>
      <c r="O27" s="8">
        <v>71.7</v>
      </c>
    </row>
    <row r="28" spans="2:15" x14ac:dyDescent="0.25">
      <c r="B28" s="7">
        <v>2012</v>
      </c>
      <c r="C28" s="3">
        <v>59.3</v>
      </c>
      <c r="D28" s="3">
        <v>63.9</v>
      </c>
      <c r="E28" s="3">
        <v>70.2</v>
      </c>
      <c r="F28" s="3">
        <v>71.099999999999994</v>
      </c>
      <c r="G28" s="3">
        <v>77.400000000000006</v>
      </c>
      <c r="H28" s="3">
        <v>79.400000000000006</v>
      </c>
      <c r="I28" s="3">
        <v>82.2</v>
      </c>
      <c r="J28" s="3">
        <v>81.599999999999994</v>
      </c>
      <c r="K28" s="3">
        <v>79.5</v>
      </c>
      <c r="L28" s="3">
        <v>73.3</v>
      </c>
      <c r="M28" s="3">
        <v>62.3</v>
      </c>
      <c r="N28" s="3">
        <v>62.2</v>
      </c>
      <c r="O28" s="8">
        <v>71.8</v>
      </c>
    </row>
    <row r="29" spans="2:15" x14ac:dyDescent="0.25">
      <c r="B29" s="7">
        <v>2013</v>
      </c>
      <c r="C29" s="3">
        <v>64.099999999999994</v>
      </c>
      <c r="D29" s="3">
        <v>61.8</v>
      </c>
      <c r="E29" s="3">
        <v>59</v>
      </c>
      <c r="F29" s="3" t="s">
        <v>42</v>
      </c>
      <c r="G29" s="3" t="s">
        <v>43</v>
      </c>
      <c r="H29" s="3" t="s">
        <v>44</v>
      </c>
      <c r="I29" s="3" t="s">
        <v>45</v>
      </c>
      <c r="J29" s="3" t="s">
        <v>46</v>
      </c>
      <c r="K29" s="3" t="s">
        <v>47</v>
      </c>
      <c r="L29" s="3" t="s">
        <v>48</v>
      </c>
      <c r="M29" s="3" t="s">
        <v>49</v>
      </c>
      <c r="N29" s="3" t="s">
        <v>50</v>
      </c>
      <c r="O29" s="8" t="s">
        <v>51</v>
      </c>
    </row>
    <row r="30" spans="2:15" x14ac:dyDescent="0.25">
      <c r="B30" s="7">
        <v>2014</v>
      </c>
      <c r="C30" s="3">
        <v>54.6</v>
      </c>
      <c r="D30" s="3">
        <v>62.9</v>
      </c>
      <c r="E30" s="3">
        <v>63.6</v>
      </c>
      <c r="F30" s="3">
        <v>70.5</v>
      </c>
      <c r="G30" s="3">
        <v>76.099999999999994</v>
      </c>
      <c r="H30" s="3">
        <v>80.400000000000006</v>
      </c>
      <c r="I30" s="3">
        <v>81.8</v>
      </c>
      <c r="J30" s="3">
        <v>82.9</v>
      </c>
      <c r="K30" s="3">
        <v>79.7</v>
      </c>
      <c r="L30" s="3">
        <v>72.7</v>
      </c>
      <c r="M30" s="3">
        <v>61.1</v>
      </c>
      <c r="N30" s="3">
        <v>61.9</v>
      </c>
      <c r="O30" s="8">
        <v>70.7</v>
      </c>
    </row>
    <row r="31" spans="2:15" x14ac:dyDescent="0.25">
      <c r="B31" s="7">
        <v>2015</v>
      </c>
      <c r="C31" s="3">
        <v>58.6</v>
      </c>
      <c r="D31" s="3">
        <v>56.6</v>
      </c>
      <c r="E31" s="3">
        <v>69.599999999999994</v>
      </c>
      <c r="F31" s="3">
        <v>75.099999999999994</v>
      </c>
      <c r="G31" s="3">
        <v>77.599999999999994</v>
      </c>
      <c r="H31" s="3">
        <v>81.7</v>
      </c>
      <c r="I31" s="3">
        <v>82.8</v>
      </c>
      <c r="J31" s="3">
        <v>82.5</v>
      </c>
      <c r="K31" s="3">
        <v>80</v>
      </c>
      <c r="L31" s="3">
        <v>74.3</v>
      </c>
      <c r="M31" s="3">
        <v>72.2</v>
      </c>
      <c r="N31" s="3">
        <v>69.400000000000006</v>
      </c>
      <c r="O31" s="8">
        <v>73.5</v>
      </c>
    </row>
    <row r="32" spans="2:15" x14ac:dyDescent="0.25">
      <c r="B32" s="7">
        <v>2016</v>
      </c>
      <c r="C32" s="3">
        <v>56.9</v>
      </c>
      <c r="D32" s="3">
        <v>59.3</v>
      </c>
      <c r="E32" s="3">
        <v>68.900000000000006</v>
      </c>
      <c r="F32" s="3">
        <v>71.099999999999994</v>
      </c>
      <c r="G32" s="3">
        <v>76.099999999999994</v>
      </c>
      <c r="H32" s="3">
        <v>81.900000000000006</v>
      </c>
      <c r="I32" s="3">
        <v>84</v>
      </c>
      <c r="J32" s="3">
        <v>83</v>
      </c>
      <c r="K32" s="3">
        <v>81.2</v>
      </c>
      <c r="L32" s="3">
        <v>74.599999999999994</v>
      </c>
      <c r="M32" s="3">
        <v>66.7</v>
      </c>
      <c r="N32" s="3">
        <v>66.099999999999994</v>
      </c>
      <c r="O32" s="8">
        <v>72.5</v>
      </c>
    </row>
    <row r="33" spans="2:15" x14ac:dyDescent="0.25">
      <c r="B33" s="7">
        <v>2017</v>
      </c>
      <c r="C33" s="3">
        <v>64.7</v>
      </c>
      <c r="D33" s="3">
        <v>65.599999999999994</v>
      </c>
      <c r="E33" s="3">
        <v>66</v>
      </c>
      <c r="F33" s="3">
        <v>72.3</v>
      </c>
      <c r="G33" s="3">
        <v>77</v>
      </c>
      <c r="H33" s="3">
        <v>79.900000000000006</v>
      </c>
      <c r="I33" s="3">
        <v>82.6</v>
      </c>
      <c r="J33" s="3">
        <v>82.6</v>
      </c>
      <c r="K33" s="3">
        <v>80.2</v>
      </c>
      <c r="L33" s="3">
        <v>74.8</v>
      </c>
      <c r="M33" s="3">
        <v>67.3</v>
      </c>
      <c r="N33" s="3">
        <v>61.9</v>
      </c>
      <c r="O33" s="8">
        <v>72.7</v>
      </c>
    </row>
    <row r="34" spans="2:15" x14ac:dyDescent="0.25">
      <c r="B34" s="7">
        <v>2018</v>
      </c>
      <c r="C34" s="3">
        <v>54.8</v>
      </c>
      <c r="D34" s="3">
        <v>69</v>
      </c>
      <c r="E34" s="3">
        <v>62.7</v>
      </c>
      <c r="F34" s="3">
        <v>70</v>
      </c>
      <c r="G34" s="3">
        <v>76.099999999999994</v>
      </c>
      <c r="H34" s="3">
        <v>81.5</v>
      </c>
      <c r="I34" s="3">
        <v>82.4</v>
      </c>
      <c r="J34" s="3">
        <v>82.3</v>
      </c>
      <c r="K34" s="3">
        <v>82.4</v>
      </c>
      <c r="L34" s="3">
        <v>76.5</v>
      </c>
      <c r="M34" s="3">
        <v>66.7</v>
      </c>
      <c r="N34" s="3">
        <v>61.7</v>
      </c>
      <c r="O34" s="8">
        <v>72.3</v>
      </c>
    </row>
    <row r="35" spans="2:15" x14ac:dyDescent="0.25">
      <c r="B35" s="7">
        <v>2019</v>
      </c>
      <c r="C35" s="3">
        <v>58.4</v>
      </c>
      <c r="D35" s="3">
        <v>67.5</v>
      </c>
      <c r="E35" s="3">
        <v>65.7</v>
      </c>
      <c r="F35" s="3">
        <v>71.2</v>
      </c>
      <c r="G35" s="3">
        <v>78.8</v>
      </c>
      <c r="H35" s="3">
        <v>82.3</v>
      </c>
      <c r="I35" s="3">
        <v>82.8</v>
      </c>
      <c r="J35" s="3">
        <v>82.9</v>
      </c>
      <c r="K35" s="3">
        <v>81.900000000000006</v>
      </c>
      <c r="L35" s="3">
        <v>77.900000000000006</v>
      </c>
      <c r="M35" s="3">
        <v>64.900000000000006</v>
      </c>
      <c r="N35" s="3">
        <v>63.9</v>
      </c>
      <c r="O35" s="8">
        <v>73.2</v>
      </c>
    </row>
    <row r="36" spans="2:15" x14ac:dyDescent="0.25">
      <c r="B36" s="7">
        <v>2020</v>
      </c>
      <c r="C36" s="3">
        <v>61.8</v>
      </c>
      <c r="D36" s="3">
        <v>63.6</v>
      </c>
      <c r="E36" s="3">
        <v>71</v>
      </c>
      <c r="F36" s="3">
        <v>73.099999999999994</v>
      </c>
      <c r="G36" s="3">
        <v>75.8</v>
      </c>
      <c r="H36" s="3">
        <v>81</v>
      </c>
      <c r="I36" s="3">
        <v>83</v>
      </c>
      <c r="J36" s="3">
        <v>83.2</v>
      </c>
      <c r="K36" s="3">
        <v>80.599999999999994</v>
      </c>
      <c r="L36" s="3">
        <v>77.2</v>
      </c>
      <c r="M36" s="3">
        <v>70.8</v>
      </c>
      <c r="N36" s="3">
        <v>57.6</v>
      </c>
      <c r="O36" s="8">
        <v>73.2</v>
      </c>
    </row>
    <row r="37" spans="2:15" ht="15.75" thickBot="1" x14ac:dyDescent="0.3">
      <c r="B37" s="9">
        <v>2021</v>
      </c>
      <c r="C37" s="10">
        <v>58.6</v>
      </c>
      <c r="D37" s="10">
        <v>63.8</v>
      </c>
      <c r="E37" s="10">
        <v>67.7</v>
      </c>
      <c r="F37" s="10">
        <v>69.900000000000006</v>
      </c>
      <c r="G37" s="10">
        <v>76.400000000000006</v>
      </c>
      <c r="H37" s="10">
        <v>80.900000000000006</v>
      </c>
      <c r="I37" s="10">
        <v>82.1</v>
      </c>
      <c r="J37" s="10">
        <v>82.7</v>
      </c>
      <c r="K37" s="10">
        <v>79.8</v>
      </c>
      <c r="L37" s="10">
        <v>75.3</v>
      </c>
      <c r="M37" s="10">
        <v>63.6</v>
      </c>
      <c r="N37" s="10">
        <v>66.7</v>
      </c>
      <c r="O37" s="11">
        <v>72.3</v>
      </c>
    </row>
    <row r="40" spans="2:15" x14ac:dyDescent="0.25">
      <c r="O40">
        <f>AVERAGE(O17:O37)</f>
        <v>71.615000000000009</v>
      </c>
    </row>
    <row r="41" spans="2:15" x14ac:dyDescent="0.25">
      <c r="N41" t="s">
        <v>66</v>
      </c>
      <c r="O41">
        <f>(O40-32)*(5/9)</f>
        <v>22.00833333333334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327F-C009-4889-893D-98B2B73A63AD}">
  <sheetPr>
    <tabColor theme="9" tint="0.59999389629810485"/>
  </sheetPr>
  <dimension ref="A1:J67"/>
  <sheetViews>
    <sheetView tabSelected="1" topLeftCell="A22" workbookViewId="0">
      <selection activeCell="E39" sqref="E39"/>
    </sheetView>
  </sheetViews>
  <sheetFormatPr defaultRowHeight="15" x14ac:dyDescent="0.25"/>
  <cols>
    <col min="1" max="1" width="15" customWidth="1"/>
    <col min="2" max="2" width="33.140625" customWidth="1"/>
    <col min="3" max="3" width="19.140625" customWidth="1"/>
    <col min="4" max="4" width="12.42578125" customWidth="1"/>
    <col min="5" max="5" width="22.28515625" customWidth="1"/>
    <col min="6" max="6" width="27.28515625" customWidth="1"/>
  </cols>
  <sheetData>
    <row r="1" spans="1:10" ht="30" x14ac:dyDescent="0.25">
      <c r="A1" s="2" t="s">
        <v>0</v>
      </c>
      <c r="B1" s="2" t="s">
        <v>5</v>
      </c>
      <c r="C1" s="2" t="s">
        <v>6</v>
      </c>
      <c r="D1" s="2" t="s">
        <v>7</v>
      </c>
      <c r="E1" s="2" t="s">
        <v>8</v>
      </c>
      <c r="F1" s="2" t="s">
        <v>13</v>
      </c>
    </row>
    <row r="10" spans="1:10" x14ac:dyDescent="0.25">
      <c r="A10">
        <f>10^3.4</f>
        <v>2511.8864315095811</v>
      </c>
    </row>
    <row r="13" spans="1:10" x14ac:dyDescent="0.25">
      <c r="A13">
        <v>1000</v>
      </c>
    </row>
    <row r="14" spans="1:10" x14ac:dyDescent="0.25">
      <c r="A14">
        <v>1</v>
      </c>
      <c r="B14">
        <v>1</v>
      </c>
      <c r="C14">
        <v>1</v>
      </c>
      <c r="D14">
        <v>1</v>
      </c>
      <c r="E14">
        <v>1</v>
      </c>
      <c r="F14">
        <v>1</v>
      </c>
      <c r="G14">
        <v>1</v>
      </c>
      <c r="H14">
        <v>1</v>
      </c>
      <c r="I14">
        <v>1</v>
      </c>
      <c r="J14">
        <v>1</v>
      </c>
    </row>
    <row r="15" spans="1:10" x14ac:dyDescent="0.25">
      <c r="A15">
        <f xml:space="preserve"> 3.4*EXP(A14/-8.31)</f>
        <v>3.0145135931139957</v>
      </c>
      <c r="B15">
        <f xml:space="preserve"> A15*EXP(B14/-8.31)</f>
        <v>2.6727330009026624</v>
      </c>
      <c r="C15">
        <f t="shared" ref="C15:J15" si="0" xml:space="preserve"> B15*EXP(C14/-8.31)</f>
        <v>2.3697029299957166</v>
      </c>
      <c r="D15">
        <f t="shared" si="0"/>
        <v>2.1010299100335739</v>
      </c>
      <c r="E15">
        <f t="shared" si="0"/>
        <v>1.8628185950986129</v>
      </c>
      <c r="F15">
        <f t="shared" si="0"/>
        <v>1.651615287185378</v>
      </c>
      <c r="G15">
        <f t="shared" si="0"/>
        <v>1.4643578628868228</v>
      </c>
      <c r="H15">
        <f t="shared" si="0"/>
        <v>1.2983313773104965</v>
      </c>
      <c r="I15">
        <f t="shared" si="0"/>
        <v>1.1511287015496787</v>
      </c>
      <c r="J15">
        <f t="shared" si="0"/>
        <v>1.0206156230132855</v>
      </c>
    </row>
    <row r="16" spans="1:10" x14ac:dyDescent="0.25">
      <c r="A16">
        <f>10^A15</f>
        <v>1033.9834634362355</v>
      </c>
      <c r="B16">
        <f>10^B15</f>
        <v>470.68786410993704</v>
      </c>
      <c r="C16">
        <f t="shared" ref="C16:J16" si="1">10^C15</f>
        <v>234.2625843215493</v>
      </c>
      <c r="D16">
        <f t="shared" si="1"/>
        <v>126.19144401470525</v>
      </c>
      <c r="E16">
        <f t="shared" si="1"/>
        <v>72.915287931742711</v>
      </c>
      <c r="F16">
        <f t="shared" si="1"/>
        <v>44.834805202665621</v>
      </c>
      <c r="G16">
        <f t="shared" si="1"/>
        <v>29.131165657955101</v>
      </c>
      <c r="H16">
        <f t="shared" si="1"/>
        <v>19.876109346554582</v>
      </c>
      <c r="I16">
        <f t="shared" si="1"/>
        <v>14.1621340733692</v>
      </c>
      <c r="J16">
        <f t="shared" si="1"/>
        <v>10.486139308241533</v>
      </c>
    </row>
    <row r="18" spans="1:10" x14ac:dyDescent="0.25">
      <c r="A18">
        <f>10^5</f>
        <v>100000</v>
      </c>
    </row>
    <row r="19" spans="1:10" x14ac:dyDescent="0.25">
      <c r="A19">
        <v>2511</v>
      </c>
      <c r="B19">
        <f>A19/A18</f>
        <v>2.511E-2</v>
      </c>
    </row>
    <row r="21" spans="1:10" x14ac:dyDescent="0.25">
      <c r="B21">
        <f>10^3.4</f>
        <v>2511.8864315095811</v>
      </c>
    </row>
    <row r="26" spans="1:10" x14ac:dyDescent="0.25">
      <c r="A26">
        <v>0.25</v>
      </c>
      <c r="B26">
        <v>0.25</v>
      </c>
      <c r="C26">
        <v>0.25</v>
      </c>
      <c r="D26">
        <v>0.25</v>
      </c>
      <c r="E26">
        <v>0.25</v>
      </c>
      <c r="F26">
        <v>0.25</v>
      </c>
      <c r="G26">
        <v>0.25</v>
      </c>
      <c r="H26">
        <v>0.25</v>
      </c>
      <c r="I26">
        <v>0.25</v>
      </c>
      <c r="J26">
        <v>0.25</v>
      </c>
    </row>
    <row r="27" spans="1:10" x14ac:dyDescent="0.25">
      <c r="A27">
        <f xml:space="preserve"> 3.4*EXP(A26/-8.31)</f>
        <v>3.2992368883014542</v>
      </c>
      <c r="B27">
        <f xml:space="preserve"> A27*EXP(B26/-8.31)</f>
        <v>3.201460013273254</v>
      </c>
      <c r="C27">
        <f t="shared" ref="C27" si="2" xml:space="preserve"> B27*EXP(C26/-8.31)</f>
        <v>3.1065808741803482</v>
      </c>
      <c r="D27">
        <f t="shared" ref="D27" si="3" xml:space="preserve"> C27*EXP(D26/-8.31)</f>
        <v>3.0145135931139952</v>
      </c>
      <c r="E27">
        <f t="shared" ref="E27" si="4" xml:space="preserve"> D27*EXP(E26/-8.31)</f>
        <v>2.9251748372611335</v>
      </c>
      <c r="F27">
        <f t="shared" ref="F27" si="5" xml:space="preserve"> E27*EXP(F26/-8.31)</f>
        <v>2.8384837434773926</v>
      </c>
      <c r="G27">
        <f t="shared" ref="G27" si="6" xml:space="preserve"> F27*EXP(G26/-8.31)</f>
        <v>2.7543618450954757</v>
      </c>
      <c r="H27">
        <f t="shared" ref="H27" si="7" xml:space="preserve"> G27*EXP(H26/-8.31)</f>
        <v>2.6727330009026615</v>
      </c>
      <c r="I27">
        <f t="shared" ref="I27" si="8" xml:space="preserve"> H27*EXP(I26/-8.31)</f>
        <v>2.5935233262231487</v>
      </c>
      <c r="J27">
        <f t="shared" ref="J27" si="9" xml:space="preserve"> I27*EXP(J26/-8.31)</f>
        <v>2.5166611260428526</v>
      </c>
    </row>
    <row r="28" spans="1:10" x14ac:dyDescent="0.25">
      <c r="A28">
        <f>10^A27</f>
        <v>1991.7594588402533</v>
      </c>
      <c r="B28">
        <f>10^B27</f>
        <v>1590.2302600639791</v>
      </c>
      <c r="C28">
        <f t="shared" ref="C28" si="10">10^C27</f>
        <v>1278.147203571915</v>
      </c>
      <c r="D28">
        <f t="shared" ref="D28" si="11">10^D27</f>
        <v>1033.9834634362346</v>
      </c>
      <c r="E28">
        <f t="shared" ref="E28" si="12">10^E27</f>
        <v>841.73393673295914</v>
      </c>
      <c r="F28">
        <f t="shared" ref="F28" si="13">10^F27</f>
        <v>689.41978630813094</v>
      </c>
      <c r="G28">
        <f t="shared" ref="G28" si="14">10^G27</f>
        <v>568.01766877093269</v>
      </c>
      <c r="H28">
        <f t="shared" ref="H28" si="15">10^H27</f>
        <v>470.68786410993619</v>
      </c>
      <c r="I28">
        <f t="shared" ref="I28" si="16">10^I27</f>
        <v>392.21421183294348</v>
      </c>
      <c r="J28">
        <f t="shared" ref="J28" si="17">10^J27</f>
        <v>328.59513259620854</v>
      </c>
    </row>
    <row r="30" spans="1:10" x14ac:dyDescent="0.25">
      <c r="B30">
        <v>3.4</v>
      </c>
      <c r="C30">
        <f>10^B30*4</f>
        <v>10047.545726038325</v>
      </c>
    </row>
    <row r="31" spans="1:10" x14ac:dyDescent="0.25">
      <c r="A31">
        <v>0.25</v>
      </c>
      <c r="B31">
        <f xml:space="preserve"> B30*EXP(A31/-8.31)</f>
        <v>3.2992368883014542</v>
      </c>
      <c r="C31">
        <f>10^B31</f>
        <v>1991.7594588402533</v>
      </c>
      <c r="F31">
        <v>1</v>
      </c>
      <c r="G31">
        <f>3.4*EXP(F31/-8.31)</f>
        <v>3.0145135931139957</v>
      </c>
    </row>
    <row r="32" spans="1:10" x14ac:dyDescent="0.25">
      <c r="A32">
        <v>0.5</v>
      </c>
      <c r="B32">
        <f xml:space="preserve"> B31*EXP(A32/-8.31)</f>
        <v>3.1065808741803482</v>
      </c>
      <c r="C32">
        <f t="shared" ref="C32:C67" si="18">10^B32</f>
        <v>1278.147203571915</v>
      </c>
      <c r="F32">
        <v>2</v>
      </c>
      <c r="G32">
        <f t="shared" ref="G32:G40" si="19">3.4*EXP(F32/-8.31)</f>
        <v>2.6727330009026629</v>
      </c>
    </row>
    <row r="33" spans="1:7" x14ac:dyDescent="0.25">
      <c r="A33">
        <v>0.75</v>
      </c>
      <c r="B33">
        <f t="shared" ref="B32:D42" si="20" xml:space="preserve"> B32*EXP(A33/-8.31)</f>
        <v>2.8384837434773935</v>
      </c>
      <c r="C33">
        <f t="shared" si="18"/>
        <v>689.41978630813287</v>
      </c>
      <c r="F33">
        <v>3</v>
      </c>
      <c r="G33">
        <f t="shared" si="19"/>
        <v>2.3697029299957171</v>
      </c>
    </row>
    <row r="34" spans="1:7" x14ac:dyDescent="0.25">
      <c r="A34">
        <v>1</v>
      </c>
      <c r="B34">
        <f t="shared" si="20"/>
        <v>2.5166611260428535</v>
      </c>
      <c r="C34">
        <f t="shared" si="18"/>
        <v>328.59513259620911</v>
      </c>
      <c r="D34">
        <f xml:space="preserve"> 3.4*EXP(1/-8.31)</f>
        <v>3.0145135931139957</v>
      </c>
      <c r="E34">
        <f>10^D34*1000</f>
        <v>1033983.4634362356</v>
      </c>
      <c r="F34">
        <v>4</v>
      </c>
      <c r="G34">
        <f t="shared" si="19"/>
        <v>2.1010299100335743</v>
      </c>
    </row>
    <row r="35" spans="1:7" x14ac:dyDescent="0.25">
      <c r="A35">
        <v>1.25</v>
      </c>
      <c r="B35">
        <f t="shared" si="20"/>
        <v>2.1651981764158315</v>
      </c>
      <c r="C35">
        <f t="shared" si="18"/>
        <v>146.2844544564561</v>
      </c>
      <c r="F35">
        <v>5</v>
      </c>
      <c r="G35">
        <f t="shared" si="19"/>
        <v>1.8628185950986134</v>
      </c>
    </row>
    <row r="36" spans="1:7" x14ac:dyDescent="0.25">
      <c r="A36">
        <v>1.5</v>
      </c>
      <c r="B36">
        <f t="shared" si="20"/>
        <v>1.8076117132833045</v>
      </c>
      <c r="C36">
        <f t="shared" si="18"/>
        <v>64.211337066559281</v>
      </c>
      <c r="F36">
        <v>6</v>
      </c>
      <c r="G36">
        <f t="shared" si="19"/>
        <v>1.6516152871853784</v>
      </c>
    </row>
    <row r="37" spans="1:7" x14ac:dyDescent="0.25">
      <c r="A37">
        <v>1.75</v>
      </c>
      <c r="B37">
        <f t="shared" si="20"/>
        <v>1.464357862886823</v>
      </c>
      <c r="C37">
        <f t="shared" si="18"/>
        <v>29.131165657955126</v>
      </c>
      <c r="F37">
        <v>7</v>
      </c>
      <c r="G37">
        <f t="shared" si="19"/>
        <v>1.4643578628868232</v>
      </c>
    </row>
    <row r="38" spans="1:7" x14ac:dyDescent="0.25">
      <c r="A38">
        <v>2</v>
      </c>
      <c r="B38">
        <f t="shared" si="20"/>
        <v>1.1511287015496789</v>
      </c>
      <c r="C38">
        <f t="shared" si="18"/>
        <v>14.162134073369213</v>
      </c>
      <c r="F38">
        <v>8</v>
      </c>
      <c r="G38">
        <f t="shared" si="19"/>
        <v>1.298331377310497</v>
      </c>
    </row>
    <row r="39" spans="1:7" x14ac:dyDescent="0.25">
      <c r="A39">
        <v>2.25</v>
      </c>
      <c r="B39">
        <f t="shared" si="20"/>
        <v>0.87808209969237028</v>
      </c>
      <c r="C39">
        <f t="shared" si="18"/>
        <v>7.5523498494687749</v>
      </c>
      <c r="F39">
        <v>9</v>
      </c>
      <c r="G39">
        <f t="shared" si="19"/>
        <v>1.1511287015496792</v>
      </c>
    </row>
    <row r="40" spans="1:7" x14ac:dyDescent="0.25">
      <c r="A40">
        <v>2.5</v>
      </c>
      <c r="B40">
        <f t="shared" si="20"/>
        <v>0.64995149581466882</v>
      </c>
      <c r="C40">
        <f t="shared" si="18"/>
        <v>4.466337070734391</v>
      </c>
      <c r="F40">
        <v>10</v>
      </c>
      <c r="G40">
        <f t="shared" si="19"/>
        <v>1.0206156230132859</v>
      </c>
    </row>
    <row r="41" spans="1:7" x14ac:dyDescent="0.25">
      <c r="A41">
        <v>2.75</v>
      </c>
      <c r="B41">
        <f t="shared" si="20"/>
        <v>0.46683279077303741</v>
      </c>
      <c r="C41">
        <f t="shared" si="18"/>
        <v>2.9297650290649111</v>
      </c>
    </row>
    <row r="42" spans="1:7" x14ac:dyDescent="0.25">
      <c r="A42">
        <v>3</v>
      </c>
      <c r="B42">
        <f t="shared" si="20"/>
        <v>0.32536912709204246</v>
      </c>
      <c r="C42">
        <f t="shared" si="18"/>
        <v>2.1152861561506566</v>
      </c>
    </row>
    <row r="43" spans="1:7" x14ac:dyDescent="0.25">
      <c r="A43">
        <v>3.25</v>
      </c>
      <c r="B43">
        <f xml:space="preserve"> B42*EXP(A43/-8.31)</f>
        <v>0.22005230042570928</v>
      </c>
      <c r="C43">
        <f t="shared" si="18"/>
        <v>1.6597867771847232</v>
      </c>
    </row>
    <row r="44" spans="1:7" x14ac:dyDescent="0.25">
      <c r="A44">
        <v>3.5</v>
      </c>
      <c r="B44">
        <f t="shared" ref="B44:B67" si="21" xml:space="preserve"> B43*EXP(A44/-8.31)</f>
        <v>0.14441425569873181</v>
      </c>
      <c r="C44">
        <f t="shared" si="18"/>
        <v>1.3944863120767688</v>
      </c>
    </row>
    <row r="45" spans="1:7" x14ac:dyDescent="0.25">
      <c r="A45">
        <v>3.75</v>
      </c>
      <c r="B45">
        <f t="shared" si="21"/>
        <v>9.1966318555101123E-2</v>
      </c>
      <c r="C45">
        <f t="shared" si="18"/>
        <v>1.235851584008431</v>
      </c>
    </row>
    <row r="46" spans="1:7" x14ac:dyDescent="0.25">
      <c r="A46">
        <v>4</v>
      </c>
      <c r="B46">
        <f t="shared" si="21"/>
        <v>5.6830584117630339E-2</v>
      </c>
      <c r="C46">
        <f t="shared" si="18"/>
        <v>1.1398050691539598</v>
      </c>
    </row>
    <row r="47" spans="1:7" x14ac:dyDescent="0.25">
      <c r="A47">
        <v>4.25</v>
      </c>
      <c r="B47">
        <f t="shared" si="21"/>
        <v>3.4077679980750397E-2</v>
      </c>
      <c r="C47">
        <f t="shared" si="18"/>
        <v>1.0816273990282326</v>
      </c>
    </row>
    <row r="48" spans="1:7" x14ac:dyDescent="0.25">
      <c r="A48">
        <v>4.5</v>
      </c>
      <c r="B48">
        <f t="shared" si="21"/>
        <v>1.9828620592720593E-2</v>
      </c>
      <c r="C48">
        <f t="shared" si="18"/>
        <v>1.046715416238464</v>
      </c>
    </row>
    <row r="49" spans="1:4" x14ac:dyDescent="0.25">
      <c r="A49">
        <v>4.75</v>
      </c>
      <c r="B49">
        <f t="shared" si="21"/>
        <v>1.1195656573266415E-2</v>
      </c>
      <c r="C49">
        <f t="shared" si="18"/>
        <v>1.0261141028623695</v>
      </c>
    </row>
    <row r="50" spans="1:4" x14ac:dyDescent="0.25">
      <c r="A50">
        <v>5</v>
      </c>
      <c r="B50">
        <f t="shared" si="21"/>
        <v>6.1339638967702059E-3</v>
      </c>
      <c r="C50">
        <f t="shared" si="18"/>
        <v>1.0142241884015266</v>
      </c>
    </row>
    <row r="51" spans="1:4" x14ac:dyDescent="0.25">
      <c r="A51">
        <v>5.25</v>
      </c>
      <c r="B51">
        <f t="shared" si="21"/>
        <v>3.2611249966643316E-3</v>
      </c>
      <c r="C51">
        <f t="shared" si="18"/>
        <v>1.0075372811769989</v>
      </c>
    </row>
    <row r="52" spans="1:4" x14ac:dyDescent="0.25">
      <c r="A52">
        <v>5.5</v>
      </c>
      <c r="B52">
        <f t="shared" si="21"/>
        <v>1.6823961178906827E-3</v>
      </c>
      <c r="C52">
        <f t="shared" si="18"/>
        <v>1.0038813733165015</v>
      </c>
    </row>
    <row r="53" spans="1:4" x14ac:dyDescent="0.25">
      <c r="A53">
        <v>5.75</v>
      </c>
      <c r="B53">
        <f t="shared" si="21"/>
        <v>8.4221631895008565E-4</v>
      </c>
      <c r="C53">
        <f t="shared" si="18"/>
        <v>1.0019411563504741</v>
      </c>
    </row>
    <row r="54" spans="1:4" x14ac:dyDescent="0.25">
      <c r="A54">
        <v>6</v>
      </c>
      <c r="B54">
        <f t="shared" si="21"/>
        <v>4.0912274926322296E-4</v>
      </c>
      <c r="C54">
        <f t="shared" si="18"/>
        <v>1.0009424838026526</v>
      </c>
      <c r="D54">
        <f>260/454</f>
        <v>0.57268722466960353</v>
      </c>
    </row>
    <row r="55" spans="1:4" x14ac:dyDescent="0.25">
      <c r="A55">
        <v>6.25</v>
      </c>
      <c r="B55">
        <f t="shared" si="21"/>
        <v>1.9284935401127907E-4</v>
      </c>
      <c r="C55">
        <f t="shared" si="18"/>
        <v>1.0004441506534452</v>
      </c>
    </row>
    <row r="56" spans="1:4" x14ac:dyDescent="0.25">
      <c r="A56">
        <v>6.5</v>
      </c>
      <c r="B56">
        <f t="shared" si="21"/>
        <v>8.8209900085657369E-5</v>
      </c>
      <c r="C56">
        <f t="shared" si="18"/>
        <v>1.0002031314293871</v>
      </c>
    </row>
    <row r="57" spans="1:4" x14ac:dyDescent="0.25">
      <c r="A57">
        <v>6.75</v>
      </c>
      <c r="B57">
        <f t="shared" si="21"/>
        <v>3.9151738765079837E-5</v>
      </c>
      <c r="C57">
        <f t="shared" si="18"/>
        <v>1.0000901542736975</v>
      </c>
    </row>
    <row r="58" spans="1:4" x14ac:dyDescent="0.25">
      <c r="A58">
        <v>7</v>
      </c>
      <c r="B58">
        <f t="shared" si="21"/>
        <v>1.6862398972451619E-5</v>
      </c>
      <c r="C58">
        <f t="shared" si="18"/>
        <v>1.000038827862288</v>
      </c>
    </row>
    <row r="59" spans="1:4" x14ac:dyDescent="0.25">
      <c r="A59">
        <v>7.25</v>
      </c>
      <c r="B59">
        <f t="shared" si="21"/>
        <v>7.0472917233930182E-6</v>
      </c>
      <c r="C59">
        <f t="shared" si="18"/>
        <v>1.0000162271205266</v>
      </c>
    </row>
    <row r="60" spans="1:4" x14ac:dyDescent="0.25">
      <c r="A60">
        <v>7.5</v>
      </c>
      <c r="B60">
        <f t="shared" si="21"/>
        <v>2.8579835236445184E-6</v>
      </c>
      <c r="C60">
        <f t="shared" si="18"/>
        <v>1.0000065807719107</v>
      </c>
    </row>
    <row r="61" spans="1:4" x14ac:dyDescent="0.25">
      <c r="A61">
        <v>7.75</v>
      </c>
      <c r="B61">
        <f t="shared" si="21"/>
        <v>1.1246872565414444E-6</v>
      </c>
      <c r="C61">
        <f t="shared" si="18"/>
        <v>1.0000025896914644</v>
      </c>
    </row>
    <row r="62" spans="1:4" x14ac:dyDescent="0.25">
      <c r="A62">
        <v>8</v>
      </c>
      <c r="B62">
        <f t="shared" si="21"/>
        <v>4.294755161261817E-7</v>
      </c>
      <c r="C62">
        <f t="shared" si="18"/>
        <v>1.0000009889044101</v>
      </c>
    </row>
    <row r="63" spans="1:4" x14ac:dyDescent="0.25">
      <c r="A63">
        <v>8.25</v>
      </c>
      <c r="B63">
        <f t="shared" si="21"/>
        <v>1.5914010072444976E-7</v>
      </c>
      <c r="C63">
        <f t="shared" si="18"/>
        <v>1.0000003664336907</v>
      </c>
    </row>
    <row r="64" spans="1:4" x14ac:dyDescent="0.25">
      <c r="A64">
        <v>8.5</v>
      </c>
      <c r="B64">
        <f t="shared" si="21"/>
        <v>5.722099815456452E-8</v>
      </c>
      <c r="C64">
        <f t="shared" si="18"/>
        <v>1.0000001317562259</v>
      </c>
    </row>
    <row r="65" spans="1:3" x14ac:dyDescent="0.25">
      <c r="A65">
        <v>8.75</v>
      </c>
      <c r="B65">
        <f t="shared" si="21"/>
        <v>1.9964839002800925E-8</v>
      </c>
      <c r="C65">
        <f t="shared" si="18"/>
        <v>1.0000000459707417</v>
      </c>
    </row>
    <row r="66" spans="1:3" x14ac:dyDescent="0.25">
      <c r="A66">
        <v>9</v>
      </c>
      <c r="B66">
        <f t="shared" si="21"/>
        <v>6.7594409405713589E-9</v>
      </c>
      <c r="C66">
        <f t="shared" si="18"/>
        <v>1.0000000155641882</v>
      </c>
    </row>
    <row r="67" spans="1:3" x14ac:dyDescent="0.25">
      <c r="A67">
        <v>9.25</v>
      </c>
      <c r="B67">
        <f t="shared" si="21"/>
        <v>2.2207022144894104E-9</v>
      </c>
      <c r="C67">
        <f t="shared" si="18"/>
        <v>1.0000000051133557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Flume Washing</vt:lpstr>
      <vt:lpstr>Transfer Coefficients</vt:lpstr>
      <vt:lpstr>Growth Survival Model</vt:lpstr>
      <vt:lpstr>Waxing</vt:lpstr>
      <vt:lpstr>Temperature &amp; RH Calculations</vt:lpstr>
      <vt:lpstr>Freshcut-Dicing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Polanco, Gustavo Abel</dc:creator>
  <cp:lastModifiedBy>Reyes Polanco, Gustavo Abel</cp:lastModifiedBy>
  <dcterms:created xsi:type="dcterms:W3CDTF">2022-09-06T13:39:07Z</dcterms:created>
  <dcterms:modified xsi:type="dcterms:W3CDTF">2022-09-08T23:50:58Z</dcterms:modified>
</cp:coreProperties>
</file>