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공유 드라이브\온글미디어\1.지급청구관련\전자책 정산\2020년\8월\"/>
    </mc:Choice>
  </mc:AlternateContent>
  <xr:revisionPtr revIDLastSave="0" documentId="8_{61A6C8AA-48C7-4693-978F-DB62C5A5AE40}" xr6:coauthVersionLast="45" xr6:coauthVersionMax="45" xr10:uidLastSave="{00000000-0000-0000-0000-000000000000}"/>
  <bookViews>
    <workbookView xWindow="22932" yWindow="-108" windowWidth="23256" windowHeight="12576"/>
  </bookViews>
  <sheets>
    <sheet name="calculate_1" sheetId="1" r:id="rId1"/>
  </sheets>
  <calcPr calcId="0"/>
</workbook>
</file>

<file path=xl/calcChain.xml><?xml version="1.0" encoding="utf-8"?>
<calcChain xmlns="http://schemas.openxmlformats.org/spreadsheetml/2006/main">
  <c r="D2" i="1" l="1"/>
  <c r="E2" i="1"/>
  <c r="F2" i="1"/>
  <c r="I2" i="1"/>
  <c r="J2" i="1"/>
  <c r="AN2" i="1"/>
  <c r="AP2" i="1"/>
  <c r="D3" i="1"/>
  <c r="E3" i="1"/>
  <c r="F3" i="1"/>
  <c r="I3" i="1"/>
  <c r="J3" i="1"/>
  <c r="AN3" i="1"/>
  <c r="AP3" i="1"/>
  <c r="D4" i="1"/>
  <c r="E4" i="1"/>
  <c r="F4" i="1"/>
  <c r="I4" i="1"/>
  <c r="J4" i="1"/>
  <c r="AN4" i="1"/>
  <c r="AP4" i="1"/>
  <c r="D5" i="1"/>
  <c r="E5" i="1"/>
  <c r="F5" i="1"/>
  <c r="I5" i="1"/>
  <c r="J5" i="1"/>
  <c r="AN5" i="1"/>
  <c r="AP5" i="1"/>
  <c r="D6" i="1"/>
  <c r="E6" i="1"/>
  <c r="F6" i="1"/>
  <c r="I6" i="1"/>
  <c r="J6" i="1"/>
  <c r="AN6" i="1"/>
  <c r="AP6" i="1"/>
  <c r="D7" i="1"/>
  <c r="F7" i="1"/>
  <c r="I7" i="1"/>
  <c r="AN7" i="1"/>
  <c r="AP7" i="1"/>
  <c r="AQ7" i="1"/>
  <c r="D8" i="1"/>
  <c r="E8" i="1"/>
  <c r="F8" i="1"/>
  <c r="I8" i="1"/>
  <c r="J8" i="1"/>
  <c r="AN8" i="1"/>
  <c r="AP8" i="1"/>
  <c r="D9" i="1"/>
  <c r="E9" i="1"/>
  <c r="F9" i="1"/>
  <c r="I9" i="1"/>
  <c r="J9" i="1"/>
  <c r="AN9" i="1"/>
  <c r="AP9" i="1"/>
  <c r="D10" i="1"/>
  <c r="E10" i="1"/>
  <c r="F10" i="1"/>
  <c r="I10" i="1"/>
  <c r="J10" i="1"/>
  <c r="AN10" i="1"/>
  <c r="AP10" i="1"/>
  <c r="D11" i="1"/>
  <c r="E11" i="1"/>
  <c r="F11" i="1"/>
  <c r="I11" i="1"/>
  <c r="J11" i="1"/>
  <c r="AN11" i="1"/>
  <c r="AP11" i="1"/>
  <c r="D12" i="1"/>
  <c r="E12" i="1"/>
  <c r="F12" i="1"/>
  <c r="I12" i="1"/>
  <c r="J12" i="1"/>
  <c r="AN12" i="1"/>
  <c r="AP12" i="1"/>
  <c r="D13" i="1"/>
  <c r="E13" i="1"/>
  <c r="F13" i="1"/>
  <c r="I13" i="1"/>
  <c r="J13" i="1"/>
  <c r="AN13" i="1"/>
  <c r="AP13" i="1"/>
  <c r="D14" i="1"/>
  <c r="E14" i="1"/>
  <c r="F14" i="1"/>
  <c r="I14" i="1"/>
  <c r="J14" i="1"/>
  <c r="AN14" i="1"/>
  <c r="AP14" i="1"/>
  <c r="AQ14" i="1"/>
  <c r="D15" i="1"/>
  <c r="E15" i="1"/>
  <c r="F15" i="1"/>
  <c r="I15" i="1"/>
  <c r="J15" i="1"/>
  <c r="AN15" i="1"/>
  <c r="AP15" i="1"/>
  <c r="D16" i="1"/>
  <c r="E16" i="1"/>
  <c r="F16" i="1"/>
  <c r="I16" i="1"/>
  <c r="J16" i="1"/>
  <c r="AL16" i="1"/>
  <c r="AN16" i="1"/>
  <c r="AP16" i="1"/>
  <c r="AQ16" i="1"/>
  <c r="D17" i="1"/>
  <c r="E17" i="1"/>
  <c r="F17" i="1"/>
  <c r="I17" i="1"/>
  <c r="J17" i="1"/>
  <c r="AL17" i="1"/>
  <c r="AN17" i="1"/>
  <c r="AP17" i="1"/>
  <c r="AQ17" i="1"/>
  <c r="D18" i="1"/>
  <c r="E18" i="1"/>
  <c r="F18" i="1"/>
  <c r="I18" i="1"/>
  <c r="J18" i="1"/>
  <c r="AL18" i="1"/>
  <c r="AN18" i="1"/>
  <c r="AP18" i="1"/>
  <c r="AQ18" i="1"/>
  <c r="D19" i="1"/>
  <c r="E19" i="1"/>
  <c r="F19" i="1"/>
  <c r="I19" i="1"/>
  <c r="J19" i="1"/>
  <c r="AL19" i="1"/>
  <c r="AN19" i="1"/>
  <c r="AP19" i="1"/>
  <c r="AQ19" i="1"/>
  <c r="D20" i="1"/>
  <c r="E20" i="1"/>
  <c r="F20" i="1"/>
  <c r="I20" i="1"/>
  <c r="J20" i="1"/>
  <c r="AL20" i="1"/>
  <c r="AN20" i="1"/>
  <c r="AP20" i="1"/>
  <c r="AQ20" i="1"/>
  <c r="D21" i="1"/>
  <c r="E21" i="1"/>
  <c r="F21" i="1"/>
  <c r="I21" i="1"/>
  <c r="J21" i="1"/>
  <c r="AL21" i="1"/>
  <c r="AN21" i="1"/>
  <c r="AP21" i="1"/>
  <c r="AQ21" i="1"/>
  <c r="D22" i="1"/>
  <c r="E22" i="1"/>
  <c r="F22" i="1"/>
  <c r="I22" i="1"/>
  <c r="J22" i="1"/>
  <c r="AL22" i="1"/>
  <c r="AN22" i="1"/>
  <c r="AP22" i="1"/>
  <c r="AQ22" i="1"/>
  <c r="D23" i="1"/>
  <c r="E23" i="1"/>
  <c r="F23" i="1"/>
  <c r="I23" i="1"/>
  <c r="J23" i="1"/>
  <c r="AL23" i="1"/>
  <c r="AN23" i="1"/>
  <c r="AP23" i="1"/>
  <c r="AQ23" i="1"/>
  <c r="D24" i="1"/>
  <c r="E24" i="1"/>
  <c r="F24" i="1"/>
  <c r="I24" i="1"/>
  <c r="J24" i="1"/>
  <c r="AL24" i="1"/>
  <c r="AN24" i="1"/>
  <c r="AP24" i="1"/>
  <c r="AQ24" i="1"/>
  <c r="D25" i="1"/>
  <c r="F25" i="1"/>
  <c r="I25" i="1"/>
  <c r="AN25" i="1"/>
  <c r="AP25" i="1"/>
  <c r="D26" i="1"/>
  <c r="E26" i="1"/>
  <c r="F26" i="1"/>
  <c r="I26" i="1"/>
  <c r="J26" i="1"/>
  <c r="AL26" i="1"/>
  <c r="AN26" i="1"/>
  <c r="AP26" i="1"/>
  <c r="AQ26" i="1"/>
  <c r="D27" i="1"/>
  <c r="E27" i="1"/>
  <c r="F27" i="1"/>
  <c r="I27" i="1"/>
  <c r="J27" i="1"/>
  <c r="AN27" i="1"/>
  <c r="AP27" i="1"/>
  <c r="D28" i="1"/>
  <c r="E28" i="1"/>
  <c r="F28" i="1"/>
  <c r="I28" i="1"/>
  <c r="J28" i="1"/>
  <c r="AN28" i="1"/>
  <c r="AP28" i="1"/>
  <c r="AQ28" i="1"/>
  <c r="D29" i="1"/>
  <c r="E29" i="1"/>
  <c r="F29" i="1"/>
  <c r="I29" i="1"/>
  <c r="J29" i="1"/>
  <c r="AL29" i="1"/>
  <c r="AN29" i="1"/>
  <c r="AP29" i="1"/>
  <c r="AQ29" i="1"/>
  <c r="D30" i="1"/>
  <c r="E30" i="1"/>
  <c r="F30" i="1"/>
  <c r="I30" i="1"/>
  <c r="J30" i="1"/>
  <c r="AL30" i="1"/>
  <c r="AN30" i="1"/>
  <c r="AP30" i="1"/>
  <c r="AQ30" i="1"/>
  <c r="D31" i="1"/>
  <c r="E31" i="1"/>
  <c r="F31" i="1"/>
  <c r="I31" i="1"/>
  <c r="J31" i="1"/>
  <c r="AL31" i="1"/>
  <c r="AN31" i="1"/>
  <c r="AP31" i="1"/>
  <c r="AQ31" i="1"/>
  <c r="D32" i="1"/>
  <c r="E32" i="1"/>
  <c r="F32" i="1"/>
  <c r="I32" i="1"/>
  <c r="J32" i="1"/>
  <c r="AN32" i="1"/>
  <c r="AP32" i="1"/>
  <c r="AQ32" i="1"/>
  <c r="D33" i="1"/>
  <c r="E33" i="1"/>
  <c r="F33" i="1"/>
  <c r="I33" i="1"/>
  <c r="J33" i="1"/>
  <c r="AL33" i="1"/>
  <c r="AN33" i="1"/>
  <c r="AP33" i="1"/>
  <c r="AQ33" i="1"/>
  <c r="D34" i="1"/>
  <c r="E34" i="1"/>
  <c r="F34" i="1"/>
  <c r="I34" i="1"/>
  <c r="J34" i="1"/>
  <c r="AN34" i="1"/>
  <c r="AP34" i="1"/>
  <c r="AQ34" i="1"/>
  <c r="D35" i="1"/>
  <c r="E35" i="1"/>
  <c r="F35" i="1"/>
  <c r="I35" i="1"/>
  <c r="J35" i="1"/>
  <c r="AL35" i="1"/>
  <c r="AN35" i="1"/>
  <c r="AP35" i="1"/>
  <c r="AQ35" i="1"/>
  <c r="D36" i="1"/>
  <c r="E36" i="1"/>
  <c r="F36" i="1"/>
  <c r="I36" i="1"/>
  <c r="J36" i="1"/>
  <c r="AL36" i="1"/>
  <c r="AN36" i="1"/>
  <c r="AP36" i="1"/>
  <c r="AQ36" i="1"/>
  <c r="D37" i="1"/>
  <c r="E37" i="1"/>
  <c r="F37" i="1"/>
  <c r="I37" i="1"/>
  <c r="J37" i="1"/>
  <c r="AL37" i="1"/>
  <c r="AN37" i="1"/>
  <c r="AP37" i="1"/>
  <c r="AQ37" i="1"/>
  <c r="D38" i="1"/>
  <c r="E38" i="1"/>
  <c r="F38" i="1"/>
  <c r="I38" i="1"/>
  <c r="J38" i="1"/>
  <c r="AL38" i="1"/>
  <c r="AN38" i="1"/>
  <c r="AP38" i="1"/>
  <c r="AQ38" i="1"/>
  <c r="D39" i="1"/>
  <c r="E39" i="1"/>
  <c r="F39" i="1"/>
  <c r="I39" i="1"/>
  <c r="J39" i="1"/>
  <c r="AL39" i="1"/>
  <c r="AN39" i="1"/>
  <c r="AP39" i="1"/>
  <c r="AQ39" i="1"/>
  <c r="D40" i="1"/>
  <c r="F40" i="1"/>
  <c r="I40" i="1"/>
  <c r="AL40" i="1"/>
  <c r="AN40" i="1"/>
  <c r="AP40" i="1"/>
  <c r="AQ40" i="1"/>
  <c r="D41" i="1"/>
  <c r="E41" i="1"/>
  <c r="F41" i="1"/>
  <c r="I41" i="1"/>
  <c r="J41" i="1"/>
  <c r="AL41" i="1"/>
  <c r="AN41" i="1"/>
  <c r="AP41" i="1"/>
  <c r="AQ41" i="1"/>
  <c r="D42" i="1"/>
  <c r="E42" i="1"/>
  <c r="F42" i="1"/>
  <c r="I42" i="1"/>
  <c r="J42" i="1"/>
  <c r="AL42" i="1"/>
  <c r="AN42" i="1"/>
  <c r="AP42" i="1"/>
  <c r="AQ42" i="1"/>
  <c r="D43" i="1"/>
  <c r="F43" i="1"/>
  <c r="I43" i="1"/>
  <c r="AN43" i="1"/>
  <c r="AP43" i="1"/>
  <c r="AQ43" i="1"/>
  <c r="D44" i="1"/>
  <c r="E44" i="1"/>
  <c r="F44" i="1"/>
  <c r="I44" i="1"/>
  <c r="J44" i="1"/>
  <c r="AL44" i="1"/>
  <c r="AN44" i="1"/>
  <c r="AP44" i="1"/>
  <c r="AQ44" i="1"/>
  <c r="D45" i="1"/>
  <c r="E45" i="1"/>
  <c r="F45" i="1"/>
  <c r="I45" i="1"/>
  <c r="J45" i="1"/>
  <c r="AL45" i="1"/>
  <c r="AN45" i="1"/>
  <c r="AP45" i="1"/>
  <c r="AQ45" i="1"/>
  <c r="D46" i="1"/>
  <c r="E46" i="1"/>
  <c r="F46" i="1"/>
  <c r="I46" i="1"/>
  <c r="J46" i="1"/>
  <c r="AL46" i="1"/>
  <c r="AN46" i="1"/>
  <c r="AP46" i="1"/>
  <c r="AQ46" i="1"/>
  <c r="D47" i="1"/>
  <c r="F47" i="1"/>
  <c r="I47" i="1"/>
  <c r="AL47" i="1"/>
  <c r="AN47" i="1"/>
  <c r="AP47" i="1"/>
  <c r="AQ47" i="1"/>
  <c r="D48" i="1"/>
  <c r="E48" i="1"/>
  <c r="F48" i="1"/>
  <c r="I48" i="1"/>
  <c r="J48" i="1"/>
  <c r="AL48" i="1"/>
  <c r="AN48" i="1"/>
  <c r="AP48" i="1"/>
  <c r="D49" i="1"/>
  <c r="E49" i="1"/>
  <c r="F49" i="1"/>
  <c r="I49" i="1"/>
  <c r="J49" i="1"/>
  <c r="AL49" i="1"/>
  <c r="AN49" i="1"/>
  <c r="AP49" i="1"/>
  <c r="AQ49" i="1"/>
  <c r="D50" i="1"/>
  <c r="E50" i="1"/>
  <c r="F50" i="1"/>
  <c r="I50" i="1"/>
  <c r="J50" i="1"/>
  <c r="AL50" i="1"/>
  <c r="AN50" i="1"/>
  <c r="AP50" i="1"/>
  <c r="AQ50" i="1"/>
  <c r="D51" i="1"/>
  <c r="E51" i="1"/>
  <c r="F51" i="1"/>
  <c r="I51" i="1"/>
  <c r="J51" i="1"/>
  <c r="AL51" i="1"/>
  <c r="AN51" i="1"/>
  <c r="AP51" i="1"/>
  <c r="AQ51" i="1"/>
  <c r="D52" i="1"/>
  <c r="E52" i="1"/>
  <c r="F52" i="1"/>
  <c r="I52" i="1"/>
  <c r="J52" i="1"/>
  <c r="AL52" i="1"/>
  <c r="AN52" i="1"/>
  <c r="AP52" i="1"/>
  <c r="AQ52" i="1"/>
  <c r="D53" i="1"/>
  <c r="E53" i="1"/>
  <c r="F53" i="1"/>
  <c r="I53" i="1"/>
  <c r="J53" i="1"/>
  <c r="AL53" i="1"/>
  <c r="AN53" i="1"/>
  <c r="AP53" i="1"/>
  <c r="AQ53" i="1"/>
  <c r="D54" i="1"/>
  <c r="E54" i="1"/>
  <c r="F54" i="1"/>
  <c r="I54" i="1"/>
  <c r="J54" i="1"/>
  <c r="AL54" i="1"/>
  <c r="AN54" i="1"/>
  <c r="AP54" i="1"/>
  <c r="AQ54" i="1"/>
  <c r="D55" i="1"/>
  <c r="E55" i="1"/>
  <c r="F55" i="1"/>
  <c r="I55" i="1"/>
  <c r="J55" i="1"/>
  <c r="AL55" i="1"/>
  <c r="AN55" i="1"/>
  <c r="AP55" i="1"/>
  <c r="AQ55" i="1"/>
  <c r="D56" i="1"/>
  <c r="E56" i="1"/>
  <c r="F56" i="1"/>
  <c r="I56" i="1"/>
  <c r="J56" i="1"/>
  <c r="AL56" i="1"/>
  <c r="AN56" i="1"/>
  <c r="AP56" i="1"/>
  <c r="AQ56" i="1"/>
  <c r="D57" i="1"/>
  <c r="E57" i="1"/>
  <c r="F57" i="1"/>
  <c r="I57" i="1"/>
  <c r="J57" i="1"/>
  <c r="AL57" i="1"/>
  <c r="AN57" i="1"/>
  <c r="AP57" i="1"/>
  <c r="AQ57" i="1"/>
  <c r="D58" i="1"/>
  <c r="E58" i="1"/>
  <c r="F58" i="1"/>
  <c r="I58" i="1"/>
  <c r="J58" i="1"/>
  <c r="AL58" i="1"/>
  <c r="AN58" i="1"/>
  <c r="AP58" i="1"/>
  <c r="D59" i="1"/>
  <c r="E59" i="1"/>
  <c r="F59" i="1"/>
  <c r="I59" i="1"/>
  <c r="J59" i="1"/>
  <c r="AL59" i="1"/>
  <c r="AN59" i="1"/>
  <c r="AP59" i="1"/>
  <c r="D60" i="1"/>
  <c r="E60" i="1"/>
  <c r="F60" i="1"/>
  <c r="I60" i="1"/>
  <c r="J60" i="1"/>
  <c r="AL60" i="1"/>
  <c r="AN60" i="1"/>
  <c r="AP60" i="1"/>
  <c r="AQ60" i="1"/>
  <c r="D61" i="1"/>
  <c r="E61" i="1"/>
  <c r="F61" i="1"/>
  <c r="I61" i="1"/>
  <c r="J61" i="1"/>
  <c r="AL61" i="1"/>
  <c r="AN61" i="1"/>
  <c r="AP61" i="1"/>
  <c r="AQ61" i="1"/>
  <c r="D62" i="1"/>
  <c r="E62" i="1"/>
  <c r="F62" i="1"/>
  <c r="I62" i="1"/>
  <c r="J62" i="1"/>
  <c r="AL62" i="1"/>
  <c r="AN62" i="1"/>
  <c r="AP62" i="1"/>
  <c r="AQ62" i="1"/>
  <c r="D63" i="1"/>
  <c r="E63" i="1"/>
  <c r="F63" i="1"/>
  <c r="I63" i="1"/>
  <c r="J63" i="1"/>
  <c r="AL63" i="1"/>
  <c r="AN63" i="1"/>
  <c r="AP63" i="1"/>
  <c r="AQ63" i="1"/>
  <c r="D64" i="1"/>
  <c r="E64" i="1"/>
  <c r="F64" i="1"/>
  <c r="I64" i="1"/>
  <c r="J64" i="1"/>
  <c r="AL64" i="1"/>
  <c r="AN64" i="1"/>
  <c r="AP64" i="1"/>
  <c r="AQ64" i="1"/>
  <c r="D65" i="1"/>
  <c r="E65" i="1"/>
  <c r="F65" i="1"/>
  <c r="I65" i="1"/>
  <c r="J65" i="1"/>
  <c r="AL65" i="1"/>
  <c r="AN65" i="1"/>
  <c r="AP65" i="1"/>
  <c r="AQ65" i="1"/>
  <c r="D66" i="1"/>
  <c r="E66" i="1"/>
  <c r="F66" i="1"/>
  <c r="I66" i="1"/>
  <c r="J66" i="1"/>
  <c r="AL66" i="1"/>
  <c r="AN66" i="1"/>
  <c r="AP66" i="1"/>
  <c r="AQ66" i="1"/>
  <c r="D67" i="1"/>
  <c r="E67" i="1"/>
  <c r="F67" i="1"/>
  <c r="I67" i="1"/>
  <c r="J67" i="1"/>
  <c r="AL67" i="1"/>
  <c r="AN67" i="1"/>
  <c r="AP67" i="1"/>
  <c r="AQ67" i="1"/>
  <c r="D68" i="1"/>
  <c r="E68" i="1"/>
  <c r="F68" i="1"/>
  <c r="I68" i="1"/>
  <c r="J68" i="1"/>
  <c r="AL68" i="1"/>
  <c r="AN68" i="1"/>
  <c r="AP68" i="1"/>
  <c r="AQ68" i="1"/>
  <c r="D69" i="1"/>
  <c r="E69" i="1"/>
  <c r="F69" i="1"/>
  <c r="I69" i="1"/>
  <c r="J69" i="1"/>
  <c r="AL69" i="1"/>
  <c r="AN69" i="1"/>
  <c r="AP69" i="1"/>
  <c r="AQ69" i="1"/>
  <c r="D70" i="1"/>
  <c r="E70" i="1"/>
  <c r="F70" i="1"/>
  <c r="I70" i="1"/>
  <c r="J70" i="1"/>
  <c r="AL70" i="1"/>
  <c r="AN70" i="1"/>
  <c r="AP70" i="1"/>
  <c r="AQ70" i="1"/>
  <c r="D71" i="1"/>
  <c r="E71" i="1"/>
  <c r="F71" i="1"/>
  <c r="I71" i="1"/>
  <c r="J71" i="1"/>
  <c r="AL71" i="1"/>
  <c r="AN71" i="1"/>
  <c r="AP71" i="1"/>
  <c r="AQ71" i="1"/>
  <c r="D72" i="1"/>
  <c r="E72" i="1"/>
  <c r="F72" i="1"/>
  <c r="I72" i="1"/>
  <c r="J72" i="1"/>
  <c r="AL72" i="1"/>
  <c r="AN72" i="1"/>
  <c r="AP72" i="1"/>
  <c r="AQ72" i="1"/>
  <c r="D73" i="1"/>
  <c r="E73" i="1"/>
  <c r="F73" i="1"/>
  <c r="I73" i="1"/>
  <c r="J73" i="1"/>
  <c r="AL73" i="1"/>
  <c r="AN73" i="1"/>
  <c r="AP73" i="1"/>
  <c r="AQ73" i="1"/>
  <c r="D74" i="1"/>
  <c r="E74" i="1"/>
  <c r="F74" i="1"/>
  <c r="I74" i="1"/>
  <c r="J74" i="1"/>
  <c r="AL74" i="1"/>
  <c r="AN74" i="1"/>
  <c r="AP74" i="1"/>
  <c r="AQ74" i="1"/>
  <c r="D75" i="1"/>
  <c r="E75" i="1"/>
  <c r="F75" i="1"/>
  <c r="I75" i="1"/>
  <c r="J75" i="1"/>
  <c r="AL75" i="1"/>
  <c r="AN75" i="1"/>
  <c r="AP75" i="1"/>
  <c r="AQ75" i="1"/>
  <c r="D76" i="1"/>
  <c r="E76" i="1"/>
  <c r="F76" i="1"/>
  <c r="I76" i="1"/>
  <c r="J76" i="1"/>
  <c r="AL76" i="1"/>
  <c r="AN76" i="1"/>
  <c r="AP76" i="1"/>
  <c r="AQ76" i="1"/>
  <c r="D77" i="1"/>
  <c r="E77" i="1"/>
  <c r="F77" i="1"/>
  <c r="I77" i="1"/>
  <c r="J77" i="1"/>
  <c r="AL77" i="1"/>
  <c r="AN77" i="1"/>
  <c r="AP77" i="1"/>
  <c r="AQ77" i="1"/>
  <c r="D78" i="1"/>
  <c r="E78" i="1"/>
  <c r="F78" i="1"/>
  <c r="I78" i="1"/>
  <c r="J78" i="1"/>
  <c r="AL78" i="1"/>
  <c r="AN78" i="1"/>
  <c r="AP78" i="1"/>
  <c r="AQ78" i="1"/>
  <c r="D79" i="1"/>
  <c r="E79" i="1"/>
  <c r="F79" i="1"/>
  <c r="I79" i="1"/>
  <c r="J79" i="1"/>
  <c r="AL79" i="1"/>
  <c r="AN79" i="1"/>
  <c r="AP79" i="1"/>
  <c r="AQ79" i="1"/>
  <c r="D80" i="1"/>
  <c r="E80" i="1"/>
  <c r="F80" i="1"/>
  <c r="I80" i="1"/>
  <c r="J80" i="1"/>
  <c r="AL80" i="1"/>
  <c r="AN80" i="1"/>
  <c r="AP80" i="1"/>
  <c r="AQ80" i="1"/>
  <c r="D81" i="1"/>
  <c r="E81" i="1"/>
  <c r="F81" i="1"/>
  <c r="I81" i="1"/>
  <c r="J81" i="1"/>
  <c r="AL81" i="1"/>
  <c r="AN81" i="1"/>
  <c r="AP81" i="1"/>
  <c r="AQ81" i="1"/>
  <c r="D82" i="1"/>
  <c r="E82" i="1"/>
  <c r="F82" i="1"/>
  <c r="I82" i="1"/>
  <c r="J82" i="1"/>
  <c r="AL82" i="1"/>
  <c r="AN82" i="1"/>
  <c r="AP82" i="1"/>
  <c r="AQ82" i="1"/>
  <c r="D83" i="1"/>
  <c r="E83" i="1"/>
  <c r="F83" i="1"/>
  <c r="I83" i="1"/>
  <c r="J83" i="1"/>
  <c r="AL83" i="1"/>
  <c r="AN83" i="1"/>
  <c r="AP83" i="1"/>
  <c r="AQ83" i="1"/>
  <c r="D84" i="1"/>
  <c r="E84" i="1"/>
  <c r="F84" i="1"/>
  <c r="I84" i="1"/>
  <c r="J84" i="1"/>
  <c r="AL84" i="1"/>
  <c r="AN84" i="1"/>
  <c r="AP84" i="1"/>
  <c r="AQ84" i="1"/>
  <c r="D85" i="1"/>
  <c r="E85" i="1"/>
  <c r="F85" i="1"/>
  <c r="I85" i="1"/>
  <c r="J85" i="1"/>
  <c r="AL85" i="1"/>
  <c r="AN85" i="1"/>
  <c r="AP85" i="1"/>
  <c r="AQ85" i="1"/>
  <c r="D86" i="1"/>
  <c r="E86" i="1"/>
  <c r="F86" i="1"/>
  <c r="I86" i="1"/>
  <c r="J86" i="1"/>
  <c r="AL86" i="1"/>
  <c r="AN86" i="1"/>
  <c r="AP86" i="1"/>
  <c r="AQ86" i="1"/>
  <c r="D87" i="1"/>
  <c r="E87" i="1"/>
  <c r="F87" i="1"/>
  <c r="I87" i="1"/>
  <c r="J87" i="1"/>
  <c r="AL87" i="1"/>
  <c r="AN87" i="1"/>
  <c r="AP87" i="1"/>
  <c r="AQ87" i="1"/>
  <c r="D88" i="1"/>
  <c r="E88" i="1"/>
  <c r="F88" i="1"/>
  <c r="I88" i="1"/>
  <c r="J88" i="1"/>
  <c r="AL88" i="1"/>
  <c r="AN88" i="1"/>
  <c r="AP88" i="1"/>
  <c r="AQ88" i="1"/>
  <c r="D89" i="1"/>
  <c r="E89" i="1"/>
  <c r="F89" i="1"/>
  <c r="I89" i="1"/>
  <c r="J89" i="1"/>
  <c r="AL89" i="1"/>
  <c r="AN89" i="1"/>
  <c r="AP89" i="1"/>
  <c r="AQ89" i="1"/>
  <c r="D90" i="1"/>
  <c r="E90" i="1"/>
  <c r="F90" i="1"/>
  <c r="I90" i="1"/>
  <c r="J90" i="1"/>
  <c r="AL90" i="1"/>
  <c r="AN90" i="1"/>
  <c r="AP90" i="1"/>
  <c r="AQ90" i="1"/>
  <c r="D91" i="1"/>
  <c r="E91" i="1"/>
  <c r="F91" i="1"/>
  <c r="I91" i="1"/>
  <c r="J91" i="1"/>
  <c r="AL91" i="1"/>
  <c r="AN91" i="1"/>
  <c r="AP91" i="1"/>
  <c r="AQ91" i="1"/>
  <c r="D92" i="1"/>
  <c r="E92" i="1"/>
  <c r="F92" i="1"/>
  <c r="I92" i="1"/>
  <c r="J92" i="1"/>
  <c r="AL92" i="1"/>
  <c r="AN92" i="1"/>
  <c r="AP92" i="1"/>
  <c r="AQ92" i="1"/>
  <c r="D93" i="1"/>
  <c r="E93" i="1"/>
  <c r="F93" i="1"/>
  <c r="I93" i="1"/>
  <c r="J93" i="1"/>
  <c r="AL93" i="1"/>
  <c r="AN93" i="1"/>
  <c r="AP93" i="1"/>
  <c r="AQ93" i="1"/>
  <c r="D94" i="1"/>
  <c r="E94" i="1"/>
  <c r="F94" i="1"/>
  <c r="I94" i="1"/>
  <c r="J94" i="1"/>
  <c r="AL94" i="1"/>
  <c r="AN94" i="1"/>
  <c r="AP94" i="1"/>
  <c r="AQ94" i="1"/>
  <c r="D95" i="1"/>
  <c r="E95" i="1"/>
  <c r="F95" i="1"/>
  <c r="I95" i="1"/>
  <c r="J95" i="1"/>
  <c r="AL95" i="1"/>
  <c r="AN95" i="1"/>
  <c r="AP95" i="1"/>
  <c r="AQ95" i="1"/>
  <c r="D96" i="1"/>
  <c r="E96" i="1"/>
  <c r="F96" i="1"/>
  <c r="I96" i="1"/>
  <c r="J96" i="1"/>
  <c r="AN96" i="1"/>
  <c r="AP96" i="1"/>
  <c r="AQ96" i="1"/>
  <c r="D97" i="1"/>
  <c r="E97" i="1"/>
  <c r="F97" i="1"/>
  <c r="I97" i="1"/>
  <c r="J97" i="1"/>
  <c r="AL97" i="1"/>
  <c r="AN97" i="1"/>
  <c r="AP97" i="1"/>
  <c r="AQ97" i="1"/>
  <c r="D98" i="1"/>
  <c r="E98" i="1"/>
  <c r="F98" i="1"/>
  <c r="I98" i="1"/>
  <c r="J98" i="1"/>
  <c r="AL98" i="1"/>
  <c r="AN98" i="1"/>
  <c r="AP98" i="1"/>
  <c r="AQ98" i="1"/>
  <c r="D99" i="1"/>
  <c r="E99" i="1"/>
  <c r="F99" i="1"/>
  <c r="I99" i="1"/>
  <c r="J99" i="1"/>
  <c r="AL99" i="1"/>
  <c r="AN99" i="1"/>
  <c r="AP99" i="1"/>
  <c r="AQ99" i="1"/>
  <c r="D100" i="1"/>
  <c r="E100" i="1"/>
  <c r="F100" i="1"/>
  <c r="I100" i="1"/>
  <c r="J100" i="1"/>
  <c r="AL100" i="1"/>
  <c r="AN100" i="1"/>
  <c r="AP100" i="1"/>
  <c r="AQ100" i="1"/>
  <c r="D101" i="1"/>
  <c r="E101" i="1"/>
  <c r="F101" i="1"/>
  <c r="I101" i="1"/>
  <c r="J101" i="1"/>
  <c r="AL101" i="1"/>
  <c r="AN101" i="1"/>
  <c r="AP101" i="1"/>
  <c r="AQ101" i="1"/>
  <c r="D102" i="1"/>
  <c r="E102" i="1"/>
  <c r="F102" i="1"/>
  <c r="I102" i="1"/>
  <c r="J102" i="1"/>
  <c r="AL102" i="1"/>
  <c r="AN102" i="1"/>
  <c r="AP102" i="1"/>
  <c r="AQ102" i="1"/>
  <c r="D103" i="1"/>
  <c r="E103" i="1"/>
  <c r="F103" i="1"/>
  <c r="I103" i="1"/>
  <c r="J103" i="1"/>
  <c r="AL103" i="1"/>
  <c r="AN103" i="1"/>
  <c r="AP103" i="1"/>
  <c r="AQ103" i="1"/>
  <c r="D104" i="1"/>
  <c r="E104" i="1"/>
  <c r="F104" i="1"/>
  <c r="I104" i="1"/>
  <c r="J104" i="1"/>
  <c r="AL104" i="1"/>
  <c r="AN104" i="1"/>
  <c r="AP104" i="1"/>
  <c r="AQ104" i="1"/>
  <c r="D105" i="1"/>
  <c r="E105" i="1"/>
  <c r="F105" i="1"/>
  <c r="I105" i="1"/>
  <c r="J105" i="1"/>
  <c r="AL105" i="1"/>
  <c r="AN105" i="1"/>
  <c r="AP105" i="1"/>
  <c r="AQ105" i="1"/>
  <c r="D106" i="1"/>
  <c r="E106" i="1"/>
  <c r="F106" i="1"/>
  <c r="I106" i="1"/>
  <c r="J106" i="1"/>
  <c r="AL106" i="1"/>
  <c r="AN106" i="1"/>
  <c r="AP106" i="1"/>
  <c r="AQ106" i="1"/>
  <c r="D107" i="1"/>
  <c r="E107" i="1"/>
  <c r="F107" i="1"/>
  <c r="I107" i="1"/>
  <c r="J107" i="1"/>
  <c r="AL107" i="1"/>
  <c r="AN107" i="1"/>
  <c r="AP107" i="1"/>
  <c r="AQ107" i="1"/>
  <c r="D108" i="1"/>
  <c r="E108" i="1"/>
  <c r="F108" i="1"/>
  <c r="I108" i="1"/>
  <c r="J108" i="1"/>
  <c r="AL108" i="1"/>
  <c r="AN108" i="1"/>
  <c r="AP108" i="1"/>
  <c r="AQ108" i="1"/>
  <c r="D109" i="1"/>
  <c r="E109" i="1"/>
  <c r="F109" i="1"/>
  <c r="I109" i="1"/>
  <c r="J109" i="1"/>
  <c r="AL109" i="1"/>
  <c r="AN109" i="1"/>
  <c r="AP109" i="1"/>
  <c r="AQ109" i="1"/>
  <c r="D110" i="1"/>
  <c r="E110" i="1"/>
  <c r="F110" i="1"/>
  <c r="I110" i="1"/>
  <c r="J110" i="1"/>
  <c r="AL110" i="1"/>
  <c r="AN110" i="1"/>
  <c r="AP110" i="1"/>
  <c r="AQ110" i="1"/>
  <c r="D111" i="1"/>
  <c r="E111" i="1"/>
  <c r="F111" i="1"/>
  <c r="I111" i="1"/>
  <c r="J111" i="1"/>
  <c r="AL111" i="1"/>
  <c r="AN111" i="1"/>
  <c r="AP111" i="1"/>
  <c r="AQ111" i="1"/>
  <c r="D112" i="1"/>
  <c r="E112" i="1"/>
  <c r="F112" i="1"/>
  <c r="I112" i="1"/>
  <c r="J112" i="1"/>
  <c r="AL112" i="1"/>
  <c r="AN112" i="1"/>
  <c r="AP112" i="1"/>
  <c r="AQ112" i="1"/>
  <c r="D113" i="1"/>
  <c r="E113" i="1"/>
  <c r="F113" i="1"/>
  <c r="I113" i="1"/>
  <c r="J113" i="1"/>
  <c r="AL113" i="1"/>
  <c r="AN113" i="1"/>
  <c r="AP113" i="1"/>
  <c r="AQ113" i="1"/>
  <c r="D114" i="1"/>
  <c r="E114" i="1"/>
  <c r="F114" i="1"/>
  <c r="I114" i="1"/>
  <c r="J114" i="1"/>
  <c r="AL114" i="1"/>
  <c r="AN114" i="1"/>
  <c r="AP114" i="1"/>
  <c r="AQ114" i="1"/>
  <c r="D115" i="1"/>
  <c r="F115" i="1"/>
  <c r="I115" i="1"/>
  <c r="AN115" i="1"/>
  <c r="AP115" i="1"/>
  <c r="D116" i="1"/>
  <c r="E116" i="1"/>
  <c r="F116" i="1"/>
  <c r="I116" i="1"/>
  <c r="J116" i="1"/>
  <c r="AL116" i="1"/>
  <c r="AN116" i="1"/>
  <c r="AP116" i="1"/>
  <c r="AQ116" i="1"/>
  <c r="D117" i="1"/>
  <c r="E117" i="1"/>
  <c r="F117" i="1"/>
  <c r="I117" i="1"/>
  <c r="J117" i="1"/>
  <c r="AL117" i="1"/>
  <c r="AN117" i="1"/>
  <c r="AP117" i="1"/>
  <c r="AQ117" i="1"/>
  <c r="D118" i="1"/>
  <c r="E118" i="1"/>
  <c r="F118" i="1"/>
  <c r="I118" i="1"/>
  <c r="J118" i="1"/>
  <c r="AL118" i="1"/>
  <c r="AN118" i="1"/>
  <c r="AP118" i="1"/>
  <c r="AQ118" i="1"/>
  <c r="D119" i="1"/>
  <c r="E119" i="1"/>
  <c r="F119" i="1"/>
  <c r="I119" i="1"/>
  <c r="J119" i="1"/>
  <c r="AL119" i="1"/>
  <c r="AN119" i="1"/>
  <c r="AP119" i="1"/>
  <c r="AQ119" i="1"/>
  <c r="D120" i="1"/>
  <c r="E120" i="1"/>
  <c r="F120" i="1"/>
  <c r="I120" i="1"/>
  <c r="J120" i="1"/>
  <c r="AL120" i="1"/>
  <c r="AN120" i="1"/>
  <c r="AP120" i="1"/>
  <c r="AQ120" i="1"/>
  <c r="D121" i="1"/>
  <c r="E121" i="1"/>
  <c r="F121" i="1"/>
  <c r="I121" i="1"/>
  <c r="J121" i="1"/>
  <c r="AL121" i="1"/>
  <c r="AN121" i="1"/>
  <c r="AP121" i="1"/>
  <c r="AQ121" i="1"/>
  <c r="D122" i="1"/>
  <c r="E122" i="1"/>
  <c r="F122" i="1"/>
  <c r="I122" i="1"/>
  <c r="J122" i="1"/>
  <c r="AL122" i="1"/>
  <c r="AN122" i="1"/>
  <c r="AP122" i="1"/>
  <c r="AQ122" i="1"/>
  <c r="D123" i="1"/>
  <c r="E123" i="1"/>
  <c r="F123" i="1"/>
  <c r="I123" i="1"/>
  <c r="J123" i="1"/>
  <c r="AL123" i="1"/>
  <c r="AN123" i="1"/>
  <c r="AP123" i="1"/>
  <c r="AQ123" i="1"/>
  <c r="D124" i="1"/>
  <c r="E124" i="1"/>
  <c r="F124" i="1"/>
  <c r="I124" i="1"/>
  <c r="J124" i="1"/>
  <c r="AL124" i="1"/>
  <c r="AN124" i="1"/>
  <c r="AP124" i="1"/>
  <c r="AQ124" i="1"/>
  <c r="D125" i="1"/>
  <c r="E125" i="1"/>
  <c r="F125" i="1"/>
  <c r="I125" i="1"/>
  <c r="J125" i="1"/>
  <c r="AL125" i="1"/>
  <c r="AN125" i="1"/>
  <c r="AP125" i="1"/>
  <c r="AQ125" i="1"/>
  <c r="D126" i="1"/>
  <c r="E126" i="1"/>
  <c r="F126" i="1"/>
  <c r="I126" i="1"/>
  <c r="J126" i="1"/>
  <c r="AL126" i="1"/>
  <c r="AN126" i="1"/>
  <c r="AP126" i="1"/>
  <c r="AQ126" i="1"/>
  <c r="D127" i="1"/>
  <c r="E127" i="1"/>
  <c r="F127" i="1"/>
  <c r="I127" i="1"/>
  <c r="J127" i="1"/>
  <c r="AL127" i="1"/>
  <c r="AN127" i="1"/>
  <c r="AP127" i="1"/>
  <c r="AQ127" i="1"/>
  <c r="D128" i="1"/>
  <c r="E128" i="1"/>
  <c r="F128" i="1"/>
  <c r="I128" i="1"/>
  <c r="J128" i="1"/>
  <c r="AL128" i="1"/>
  <c r="AN128" i="1"/>
  <c r="AP128" i="1"/>
  <c r="AQ128" i="1"/>
  <c r="D129" i="1"/>
  <c r="E129" i="1"/>
  <c r="F129" i="1"/>
  <c r="I129" i="1"/>
  <c r="J129" i="1"/>
  <c r="AL129" i="1"/>
  <c r="AN129" i="1"/>
  <c r="AP129" i="1"/>
  <c r="AQ129" i="1"/>
  <c r="D130" i="1"/>
  <c r="E130" i="1"/>
  <c r="F130" i="1"/>
  <c r="I130" i="1"/>
  <c r="J130" i="1"/>
  <c r="AL130" i="1"/>
  <c r="AN130" i="1"/>
  <c r="AP130" i="1"/>
  <c r="AQ130" i="1"/>
  <c r="D131" i="1"/>
  <c r="E131" i="1"/>
  <c r="F131" i="1"/>
  <c r="I131" i="1"/>
  <c r="J131" i="1"/>
  <c r="AL131" i="1"/>
  <c r="AN131" i="1"/>
  <c r="AP131" i="1"/>
  <c r="AQ131" i="1"/>
  <c r="D132" i="1"/>
  <c r="E132" i="1"/>
  <c r="F132" i="1"/>
  <c r="I132" i="1"/>
  <c r="J132" i="1"/>
  <c r="AL132" i="1"/>
  <c r="AN132" i="1"/>
  <c r="AP132" i="1"/>
  <c r="AQ132" i="1"/>
  <c r="D133" i="1"/>
  <c r="E133" i="1"/>
  <c r="F133" i="1"/>
  <c r="I133" i="1"/>
  <c r="J133" i="1"/>
  <c r="AL133" i="1"/>
  <c r="AN133" i="1"/>
  <c r="AP133" i="1"/>
  <c r="AQ133" i="1"/>
  <c r="D134" i="1"/>
  <c r="E134" i="1"/>
  <c r="F134" i="1"/>
  <c r="I134" i="1"/>
  <c r="J134" i="1"/>
  <c r="AL134" i="1"/>
  <c r="AN134" i="1"/>
  <c r="AP134" i="1"/>
  <c r="AQ134" i="1"/>
  <c r="D135" i="1"/>
  <c r="E135" i="1"/>
  <c r="F135" i="1"/>
  <c r="I135" i="1"/>
  <c r="J135" i="1"/>
  <c r="AL135" i="1"/>
  <c r="AN135" i="1"/>
  <c r="AP135" i="1"/>
  <c r="AQ135" i="1"/>
  <c r="D136" i="1"/>
  <c r="E136" i="1"/>
  <c r="F136" i="1"/>
  <c r="I136" i="1"/>
  <c r="J136" i="1"/>
  <c r="AL136" i="1"/>
  <c r="AN136" i="1"/>
  <c r="AP136" i="1"/>
  <c r="AQ136" i="1"/>
  <c r="D137" i="1"/>
  <c r="E137" i="1"/>
  <c r="F137" i="1"/>
  <c r="I137" i="1"/>
  <c r="J137" i="1"/>
  <c r="AL137" i="1"/>
  <c r="AN137" i="1"/>
  <c r="AP137" i="1"/>
  <c r="AQ137" i="1"/>
  <c r="D138" i="1"/>
  <c r="E138" i="1"/>
  <c r="F138" i="1"/>
  <c r="I138" i="1"/>
  <c r="J138" i="1"/>
  <c r="AL138" i="1"/>
  <c r="AN138" i="1"/>
  <c r="AP138" i="1"/>
  <c r="AQ138" i="1"/>
  <c r="D139" i="1"/>
  <c r="E139" i="1"/>
  <c r="F139" i="1"/>
  <c r="I139" i="1"/>
  <c r="J139" i="1"/>
  <c r="AL139" i="1"/>
  <c r="AN139" i="1"/>
  <c r="AP139" i="1"/>
  <c r="AQ139" i="1"/>
  <c r="D140" i="1"/>
  <c r="E140" i="1"/>
  <c r="F140" i="1"/>
  <c r="I140" i="1"/>
  <c r="J140" i="1"/>
  <c r="AL140" i="1"/>
  <c r="AN140" i="1"/>
  <c r="AP140" i="1"/>
  <c r="AQ140" i="1"/>
  <c r="D141" i="1"/>
  <c r="E141" i="1"/>
  <c r="F141" i="1"/>
  <c r="I141" i="1"/>
  <c r="J141" i="1"/>
  <c r="AL141" i="1"/>
  <c r="AN141" i="1"/>
  <c r="AP141" i="1"/>
  <c r="AQ141" i="1"/>
  <c r="D142" i="1"/>
  <c r="E142" i="1"/>
  <c r="F142" i="1"/>
  <c r="I142" i="1"/>
  <c r="J142" i="1"/>
  <c r="AL142" i="1"/>
  <c r="AN142" i="1"/>
  <c r="AP142" i="1"/>
  <c r="AQ142" i="1"/>
  <c r="D143" i="1"/>
  <c r="E143" i="1"/>
  <c r="F143" i="1"/>
  <c r="I143" i="1"/>
  <c r="J143" i="1"/>
  <c r="AL143" i="1"/>
  <c r="AN143" i="1"/>
  <c r="AP143" i="1"/>
  <c r="AQ143" i="1"/>
  <c r="D144" i="1"/>
  <c r="E144" i="1"/>
  <c r="F144" i="1"/>
  <c r="I144" i="1"/>
  <c r="J144" i="1"/>
  <c r="AL144" i="1"/>
  <c r="AN144" i="1"/>
  <c r="AP144" i="1"/>
  <c r="AQ144" i="1"/>
  <c r="D145" i="1"/>
  <c r="E145" i="1"/>
  <c r="F145" i="1"/>
  <c r="I145" i="1"/>
  <c r="J145" i="1"/>
  <c r="AL145" i="1"/>
  <c r="AN145" i="1"/>
  <c r="AP145" i="1"/>
  <c r="AQ145" i="1"/>
  <c r="D146" i="1"/>
  <c r="E146" i="1"/>
  <c r="F146" i="1"/>
  <c r="I146" i="1"/>
  <c r="J146" i="1"/>
  <c r="AL146" i="1"/>
  <c r="AN146" i="1"/>
  <c r="AP146" i="1"/>
  <c r="AQ146" i="1"/>
  <c r="D147" i="1"/>
  <c r="E147" i="1"/>
  <c r="F147" i="1"/>
  <c r="I147" i="1"/>
  <c r="J147" i="1"/>
  <c r="AL147" i="1"/>
  <c r="AN147" i="1"/>
  <c r="AP147" i="1"/>
  <c r="AQ147" i="1"/>
  <c r="D148" i="1"/>
  <c r="E148" i="1"/>
  <c r="F148" i="1"/>
  <c r="I148" i="1"/>
  <c r="J148" i="1"/>
  <c r="AL148" i="1"/>
  <c r="AN148" i="1"/>
  <c r="AP148" i="1"/>
  <c r="AQ148" i="1"/>
  <c r="D149" i="1"/>
  <c r="E149" i="1"/>
  <c r="F149" i="1"/>
  <c r="I149" i="1"/>
  <c r="J149" i="1"/>
  <c r="AL149" i="1"/>
  <c r="AN149" i="1"/>
  <c r="AP149" i="1"/>
  <c r="AQ149" i="1"/>
  <c r="D150" i="1"/>
  <c r="E150" i="1"/>
  <c r="F150" i="1"/>
  <c r="I150" i="1"/>
  <c r="J150" i="1"/>
  <c r="AL150" i="1"/>
  <c r="AN150" i="1"/>
  <c r="AP150" i="1"/>
  <c r="AQ150" i="1"/>
  <c r="D151" i="1"/>
  <c r="E151" i="1"/>
  <c r="F151" i="1"/>
  <c r="I151" i="1"/>
  <c r="J151" i="1"/>
  <c r="AL151" i="1"/>
  <c r="AN151" i="1"/>
  <c r="AP151" i="1"/>
  <c r="AQ151" i="1"/>
  <c r="D152" i="1"/>
  <c r="E152" i="1"/>
  <c r="F152" i="1"/>
  <c r="I152" i="1"/>
  <c r="J152" i="1"/>
  <c r="AL152" i="1"/>
  <c r="AN152" i="1"/>
  <c r="AP152" i="1"/>
  <c r="AQ152" i="1"/>
  <c r="D153" i="1"/>
  <c r="F153" i="1"/>
  <c r="I153" i="1"/>
  <c r="AN153" i="1"/>
  <c r="AP153" i="1"/>
  <c r="D154" i="1"/>
  <c r="E154" i="1"/>
  <c r="F154" i="1"/>
  <c r="I154" i="1"/>
  <c r="J154" i="1"/>
  <c r="AL154" i="1"/>
  <c r="AN154" i="1"/>
  <c r="AP154" i="1"/>
  <c r="AQ154" i="1"/>
  <c r="D155" i="1"/>
  <c r="E155" i="1"/>
  <c r="F155" i="1"/>
  <c r="I155" i="1"/>
  <c r="J155" i="1"/>
  <c r="AL155" i="1"/>
  <c r="AN155" i="1"/>
  <c r="AP155" i="1"/>
  <c r="AQ155" i="1"/>
  <c r="D156" i="1"/>
  <c r="E156" i="1"/>
  <c r="F156" i="1"/>
  <c r="I156" i="1"/>
  <c r="J156" i="1"/>
  <c r="AL156" i="1"/>
  <c r="AN156" i="1"/>
  <c r="AP156" i="1"/>
  <c r="AQ156" i="1"/>
  <c r="D157" i="1"/>
  <c r="E157" i="1"/>
  <c r="F157" i="1"/>
  <c r="I157" i="1"/>
  <c r="J157" i="1"/>
  <c r="AL157" i="1"/>
  <c r="AN157" i="1"/>
  <c r="AP157" i="1"/>
  <c r="AQ157" i="1"/>
  <c r="D158" i="1"/>
  <c r="E158" i="1"/>
  <c r="F158" i="1"/>
  <c r="I158" i="1"/>
  <c r="J158" i="1"/>
  <c r="AL158" i="1"/>
  <c r="AN158" i="1"/>
  <c r="AP158" i="1"/>
  <c r="AQ158" i="1"/>
  <c r="D159" i="1"/>
  <c r="E159" i="1"/>
  <c r="F159" i="1"/>
  <c r="I159" i="1"/>
  <c r="J159" i="1"/>
  <c r="AL159" i="1"/>
  <c r="AN159" i="1"/>
  <c r="AP159" i="1"/>
  <c r="AQ159" i="1"/>
  <c r="D160" i="1"/>
  <c r="E160" i="1"/>
  <c r="F160" i="1"/>
  <c r="I160" i="1"/>
  <c r="J160" i="1"/>
  <c r="AL160" i="1"/>
  <c r="AN160" i="1"/>
  <c r="AP160" i="1"/>
  <c r="AQ160" i="1"/>
  <c r="D161" i="1"/>
  <c r="E161" i="1"/>
  <c r="F161" i="1"/>
  <c r="I161" i="1"/>
  <c r="J161" i="1"/>
  <c r="AL161" i="1"/>
  <c r="AN161" i="1"/>
  <c r="AP161" i="1"/>
  <c r="AQ161" i="1"/>
  <c r="D162" i="1"/>
  <c r="E162" i="1"/>
  <c r="F162" i="1"/>
  <c r="I162" i="1"/>
  <c r="J162" i="1"/>
  <c r="AL162" i="1"/>
  <c r="AN162" i="1"/>
  <c r="AP162" i="1"/>
  <c r="AQ162" i="1"/>
  <c r="D163" i="1"/>
  <c r="E163" i="1"/>
  <c r="F163" i="1"/>
  <c r="I163" i="1"/>
  <c r="J163" i="1"/>
  <c r="AL163" i="1"/>
  <c r="AN163" i="1"/>
  <c r="AP163" i="1"/>
  <c r="AQ163" i="1"/>
  <c r="D164" i="1"/>
  <c r="E164" i="1"/>
  <c r="F164" i="1"/>
  <c r="I164" i="1"/>
  <c r="J164" i="1"/>
  <c r="AL164" i="1"/>
  <c r="AN164" i="1"/>
  <c r="AP164" i="1"/>
  <c r="AQ164" i="1"/>
  <c r="D165" i="1"/>
  <c r="E165" i="1"/>
  <c r="F165" i="1"/>
  <c r="I165" i="1"/>
  <c r="J165" i="1"/>
  <c r="AL165" i="1"/>
  <c r="AN165" i="1"/>
  <c r="AP165" i="1"/>
  <c r="AQ165" i="1"/>
  <c r="D166" i="1"/>
  <c r="E166" i="1"/>
  <c r="F166" i="1"/>
  <c r="I166" i="1"/>
  <c r="J166" i="1"/>
  <c r="AL166" i="1"/>
  <c r="AN166" i="1"/>
  <c r="AP166" i="1"/>
  <c r="AQ166" i="1"/>
  <c r="D167" i="1"/>
  <c r="E167" i="1"/>
  <c r="F167" i="1"/>
  <c r="I167" i="1"/>
  <c r="J167" i="1"/>
  <c r="AL167" i="1"/>
  <c r="AN167" i="1"/>
  <c r="AP167" i="1"/>
  <c r="AQ167" i="1"/>
  <c r="D168" i="1"/>
  <c r="E168" i="1"/>
  <c r="F168" i="1"/>
  <c r="I168" i="1"/>
  <c r="J168" i="1"/>
  <c r="AL168" i="1"/>
  <c r="AN168" i="1"/>
  <c r="AP168" i="1"/>
  <c r="AQ168" i="1"/>
  <c r="D169" i="1"/>
  <c r="E169" i="1"/>
  <c r="F169" i="1"/>
  <c r="I169" i="1"/>
  <c r="J169" i="1"/>
  <c r="AL169" i="1"/>
  <c r="AN169" i="1"/>
  <c r="AP169" i="1"/>
  <c r="AQ169" i="1"/>
  <c r="D170" i="1"/>
  <c r="E170" i="1"/>
  <c r="F170" i="1"/>
  <c r="I170" i="1"/>
  <c r="J170" i="1"/>
  <c r="AL170" i="1"/>
  <c r="AN170" i="1"/>
  <c r="AP170" i="1"/>
  <c r="AQ170" i="1"/>
  <c r="D171" i="1"/>
  <c r="E171" i="1"/>
  <c r="F171" i="1"/>
  <c r="I171" i="1"/>
  <c r="J171" i="1"/>
  <c r="AL171" i="1"/>
  <c r="AN171" i="1"/>
  <c r="AP171" i="1"/>
  <c r="AQ171" i="1"/>
  <c r="D172" i="1"/>
  <c r="E172" i="1"/>
  <c r="F172" i="1"/>
  <c r="I172" i="1"/>
  <c r="J172" i="1"/>
  <c r="AL172" i="1"/>
  <c r="AN172" i="1"/>
  <c r="AP172" i="1"/>
  <c r="AQ172" i="1"/>
  <c r="D173" i="1"/>
  <c r="E173" i="1"/>
  <c r="F173" i="1"/>
  <c r="I173" i="1"/>
  <c r="J173" i="1"/>
  <c r="AL173" i="1"/>
  <c r="AN173" i="1"/>
  <c r="AP173" i="1"/>
  <c r="AQ173" i="1"/>
  <c r="D174" i="1"/>
  <c r="E174" i="1"/>
  <c r="F174" i="1"/>
  <c r="I174" i="1"/>
  <c r="J174" i="1"/>
  <c r="AL174" i="1"/>
  <c r="AN174" i="1"/>
  <c r="AP174" i="1"/>
  <c r="AQ174" i="1"/>
  <c r="D175" i="1"/>
  <c r="E175" i="1"/>
  <c r="F175" i="1"/>
  <c r="I175" i="1"/>
  <c r="J175" i="1"/>
  <c r="AL175" i="1"/>
  <c r="AN175" i="1"/>
  <c r="AP175" i="1"/>
  <c r="AQ175" i="1"/>
  <c r="D176" i="1"/>
  <c r="E176" i="1"/>
  <c r="F176" i="1"/>
  <c r="I176" i="1"/>
  <c r="J176" i="1"/>
  <c r="AL176" i="1"/>
  <c r="AN176" i="1"/>
  <c r="AP176" i="1"/>
  <c r="AQ176" i="1"/>
  <c r="D177" i="1"/>
  <c r="E177" i="1"/>
  <c r="F177" i="1"/>
  <c r="I177" i="1"/>
  <c r="J177" i="1"/>
  <c r="AL177" i="1"/>
  <c r="AN177" i="1"/>
  <c r="AP177" i="1"/>
  <c r="AQ177" i="1"/>
  <c r="D178" i="1"/>
  <c r="E178" i="1"/>
  <c r="F178" i="1"/>
  <c r="I178" i="1"/>
  <c r="J178" i="1"/>
  <c r="AL178" i="1"/>
  <c r="AN178" i="1"/>
  <c r="AP178" i="1"/>
  <c r="AQ178" i="1"/>
  <c r="D179" i="1"/>
  <c r="E179" i="1"/>
  <c r="F179" i="1"/>
  <c r="I179" i="1"/>
  <c r="J179" i="1"/>
  <c r="AL179" i="1"/>
  <c r="AN179" i="1"/>
  <c r="AP179" i="1"/>
  <c r="AQ179" i="1"/>
  <c r="D180" i="1"/>
  <c r="E180" i="1"/>
  <c r="F180" i="1"/>
  <c r="I180" i="1"/>
  <c r="J180" i="1"/>
  <c r="AL180" i="1"/>
  <c r="AN180" i="1"/>
  <c r="AP180" i="1"/>
  <c r="AQ180" i="1"/>
  <c r="D181" i="1"/>
  <c r="E181" i="1"/>
  <c r="F181" i="1"/>
  <c r="I181" i="1"/>
  <c r="J181" i="1"/>
  <c r="AL181" i="1"/>
  <c r="AN181" i="1"/>
  <c r="AP181" i="1"/>
  <c r="AQ181" i="1"/>
  <c r="D182" i="1"/>
  <c r="E182" i="1"/>
  <c r="F182" i="1"/>
  <c r="I182" i="1"/>
  <c r="J182" i="1"/>
  <c r="AL182" i="1"/>
  <c r="AN182" i="1"/>
  <c r="AP182" i="1"/>
  <c r="AQ182" i="1"/>
  <c r="D183" i="1"/>
  <c r="E183" i="1"/>
  <c r="F183" i="1"/>
  <c r="I183" i="1"/>
  <c r="J183" i="1"/>
  <c r="AL183" i="1"/>
  <c r="AN183" i="1"/>
  <c r="AP183" i="1"/>
  <c r="AQ183" i="1"/>
  <c r="D184" i="1"/>
  <c r="E184" i="1"/>
  <c r="F184" i="1"/>
  <c r="I184" i="1"/>
  <c r="J184" i="1"/>
  <c r="AL184" i="1"/>
  <c r="AN184" i="1"/>
  <c r="AP184" i="1"/>
  <c r="AQ184" i="1"/>
  <c r="D185" i="1"/>
  <c r="E185" i="1"/>
  <c r="F185" i="1"/>
  <c r="I185" i="1"/>
  <c r="J185" i="1"/>
  <c r="AL185" i="1"/>
  <c r="AN185" i="1"/>
  <c r="AP185" i="1"/>
  <c r="AQ185" i="1"/>
  <c r="D186" i="1"/>
  <c r="E186" i="1"/>
  <c r="F186" i="1"/>
  <c r="I186" i="1"/>
  <c r="J186" i="1"/>
  <c r="AL186" i="1"/>
  <c r="AN186" i="1"/>
  <c r="AP186" i="1"/>
  <c r="AQ186" i="1"/>
  <c r="D187" i="1"/>
  <c r="E187" i="1"/>
  <c r="F187" i="1"/>
  <c r="I187" i="1"/>
  <c r="J187" i="1"/>
  <c r="AL187" i="1"/>
  <c r="AN187" i="1"/>
  <c r="AP187" i="1"/>
  <c r="AQ187" i="1"/>
  <c r="D188" i="1"/>
  <c r="E188" i="1"/>
  <c r="F188" i="1"/>
  <c r="I188" i="1"/>
  <c r="J188" i="1"/>
  <c r="AL188" i="1"/>
  <c r="AN188" i="1"/>
  <c r="AP188" i="1"/>
  <c r="AQ188" i="1"/>
  <c r="D189" i="1"/>
  <c r="E189" i="1"/>
  <c r="F189" i="1"/>
  <c r="I189" i="1"/>
  <c r="J189" i="1"/>
  <c r="AL189" i="1"/>
  <c r="AN189" i="1"/>
  <c r="AP189" i="1"/>
  <c r="AQ189" i="1"/>
  <c r="D190" i="1"/>
  <c r="E190" i="1"/>
  <c r="F190" i="1"/>
  <c r="I190" i="1"/>
  <c r="J190" i="1"/>
  <c r="AL190" i="1"/>
  <c r="AN190" i="1"/>
  <c r="AP190" i="1"/>
  <c r="AQ190" i="1"/>
  <c r="D191" i="1"/>
  <c r="E191" i="1"/>
  <c r="F191" i="1"/>
  <c r="I191" i="1"/>
  <c r="J191" i="1"/>
  <c r="AL191" i="1"/>
  <c r="AN191" i="1"/>
  <c r="AP191" i="1"/>
  <c r="AQ191" i="1"/>
  <c r="D192" i="1"/>
  <c r="E192" i="1"/>
  <c r="F192" i="1"/>
  <c r="I192" i="1"/>
  <c r="J192" i="1"/>
  <c r="AL192" i="1"/>
  <c r="AN192" i="1"/>
  <c r="AP192" i="1"/>
  <c r="AQ192" i="1"/>
  <c r="D193" i="1"/>
  <c r="E193" i="1"/>
  <c r="F193" i="1"/>
  <c r="I193" i="1"/>
  <c r="J193" i="1"/>
  <c r="AL193" i="1"/>
  <c r="AN193" i="1"/>
  <c r="AP193" i="1"/>
  <c r="AQ193" i="1"/>
  <c r="D194" i="1"/>
  <c r="E194" i="1"/>
  <c r="F194" i="1"/>
  <c r="I194" i="1"/>
  <c r="J194" i="1"/>
  <c r="AL194" i="1"/>
  <c r="AN194" i="1"/>
  <c r="AP194" i="1"/>
  <c r="AQ194" i="1"/>
  <c r="D195" i="1"/>
  <c r="E195" i="1"/>
  <c r="F195" i="1"/>
  <c r="I195" i="1"/>
  <c r="J195" i="1"/>
  <c r="AL195" i="1"/>
  <c r="AN195" i="1"/>
  <c r="AP195" i="1"/>
  <c r="AQ195" i="1"/>
  <c r="D196" i="1"/>
  <c r="E196" i="1"/>
  <c r="F196" i="1"/>
  <c r="I196" i="1"/>
  <c r="J196" i="1"/>
  <c r="AL196" i="1"/>
  <c r="AN196" i="1"/>
  <c r="AP196" i="1"/>
  <c r="AQ196" i="1"/>
  <c r="D197" i="1"/>
  <c r="E197" i="1"/>
  <c r="F197" i="1"/>
  <c r="I197" i="1"/>
  <c r="J197" i="1"/>
  <c r="AL197" i="1"/>
  <c r="AN197" i="1"/>
  <c r="AP197" i="1"/>
  <c r="AQ197" i="1"/>
  <c r="D198" i="1"/>
  <c r="E198" i="1"/>
  <c r="F198" i="1"/>
  <c r="I198" i="1"/>
  <c r="J198" i="1"/>
  <c r="AL198" i="1"/>
  <c r="AN198" i="1"/>
  <c r="AP198" i="1"/>
  <c r="AQ198" i="1"/>
  <c r="D199" i="1"/>
  <c r="F199" i="1"/>
  <c r="I199" i="1"/>
  <c r="AL199" i="1"/>
  <c r="AN199" i="1"/>
  <c r="AP199" i="1"/>
  <c r="AQ199" i="1"/>
  <c r="D200" i="1"/>
  <c r="E200" i="1"/>
  <c r="F200" i="1"/>
  <c r="I200" i="1"/>
  <c r="J200" i="1"/>
  <c r="AL200" i="1"/>
  <c r="AN200" i="1"/>
  <c r="AP200" i="1"/>
  <c r="AQ200" i="1"/>
  <c r="D201" i="1"/>
  <c r="F201" i="1"/>
  <c r="I201" i="1"/>
  <c r="AL201" i="1"/>
  <c r="AN201" i="1"/>
  <c r="AP201" i="1"/>
  <c r="AQ201" i="1"/>
  <c r="D202" i="1"/>
  <c r="E202" i="1"/>
  <c r="F202" i="1"/>
  <c r="I202" i="1"/>
  <c r="J202" i="1"/>
  <c r="AL202" i="1"/>
  <c r="AN202" i="1"/>
  <c r="AP202" i="1"/>
  <c r="AQ202" i="1"/>
  <c r="D203" i="1"/>
  <c r="E203" i="1"/>
  <c r="F203" i="1"/>
  <c r="I203" i="1"/>
  <c r="J203" i="1"/>
  <c r="AL203" i="1"/>
  <c r="AN203" i="1"/>
  <c r="AP203" i="1"/>
  <c r="AQ203" i="1"/>
  <c r="D204" i="1"/>
  <c r="E204" i="1"/>
  <c r="F204" i="1"/>
  <c r="I204" i="1"/>
  <c r="J204" i="1"/>
  <c r="AL204" i="1"/>
  <c r="AN204" i="1"/>
  <c r="AP204" i="1"/>
  <c r="AQ204" i="1"/>
  <c r="D205" i="1"/>
  <c r="E205" i="1"/>
  <c r="F205" i="1"/>
  <c r="I205" i="1"/>
  <c r="J205" i="1"/>
  <c r="AL205" i="1"/>
  <c r="AN205" i="1"/>
  <c r="AP205" i="1"/>
  <c r="AQ205" i="1"/>
  <c r="D206" i="1"/>
  <c r="E206" i="1"/>
  <c r="F206" i="1"/>
  <c r="I206" i="1"/>
  <c r="J206" i="1"/>
  <c r="AL206" i="1"/>
  <c r="AN206" i="1"/>
  <c r="AP206" i="1"/>
  <c r="AQ206" i="1"/>
  <c r="D207" i="1"/>
  <c r="E207" i="1"/>
  <c r="F207" i="1"/>
  <c r="I207" i="1"/>
  <c r="J207" i="1"/>
  <c r="AL207" i="1"/>
  <c r="AN207" i="1"/>
  <c r="AP207" i="1"/>
  <c r="AQ207" i="1"/>
  <c r="D208" i="1"/>
  <c r="E208" i="1"/>
  <c r="F208" i="1"/>
  <c r="I208" i="1"/>
  <c r="J208" i="1"/>
  <c r="AL208" i="1"/>
  <c r="AN208" i="1"/>
  <c r="AP208" i="1"/>
  <c r="AQ208" i="1"/>
  <c r="D209" i="1"/>
  <c r="E209" i="1"/>
  <c r="F209" i="1"/>
  <c r="I209" i="1"/>
  <c r="J209" i="1"/>
  <c r="AL209" i="1"/>
  <c r="AN209" i="1"/>
  <c r="AP209" i="1"/>
  <c r="AQ209" i="1"/>
  <c r="D210" i="1"/>
  <c r="E210" i="1"/>
  <c r="F210" i="1"/>
  <c r="I210" i="1"/>
  <c r="J210" i="1"/>
  <c r="AL210" i="1"/>
  <c r="AN210" i="1"/>
  <c r="AP210" i="1"/>
  <c r="AQ210" i="1"/>
  <c r="D211" i="1"/>
  <c r="E211" i="1"/>
  <c r="F211" i="1"/>
  <c r="I211" i="1"/>
  <c r="J211" i="1"/>
  <c r="AL211" i="1"/>
  <c r="AN211" i="1"/>
  <c r="AP211" i="1"/>
  <c r="AQ211" i="1"/>
  <c r="D212" i="1"/>
  <c r="E212" i="1"/>
  <c r="F212" i="1"/>
  <c r="I212" i="1"/>
  <c r="J212" i="1"/>
  <c r="AL212" i="1"/>
  <c r="AN212" i="1"/>
  <c r="AP212" i="1"/>
  <c r="AQ212" i="1"/>
  <c r="D213" i="1"/>
  <c r="E213" i="1"/>
  <c r="F213" i="1"/>
  <c r="I213" i="1"/>
  <c r="J213" i="1"/>
  <c r="AL213" i="1"/>
  <c r="AN213" i="1"/>
  <c r="AP213" i="1"/>
  <c r="AQ213" i="1"/>
  <c r="D214" i="1"/>
  <c r="E214" i="1"/>
  <c r="F214" i="1"/>
  <c r="I214" i="1"/>
  <c r="J214" i="1"/>
  <c r="AL214" i="1"/>
  <c r="AN214" i="1"/>
  <c r="AP214" i="1"/>
  <c r="AQ214" i="1"/>
  <c r="D215" i="1"/>
  <c r="E215" i="1"/>
  <c r="F215" i="1"/>
  <c r="I215" i="1"/>
  <c r="J215" i="1"/>
  <c r="AL215" i="1"/>
  <c r="AN215" i="1"/>
  <c r="AP215" i="1"/>
  <c r="AQ215" i="1"/>
  <c r="D216" i="1"/>
  <c r="E216" i="1"/>
  <c r="F216" i="1"/>
  <c r="I216" i="1"/>
  <c r="J216" i="1"/>
  <c r="AL216" i="1"/>
  <c r="AN216" i="1"/>
  <c r="AP216" i="1"/>
  <c r="AQ216" i="1"/>
  <c r="D217" i="1"/>
  <c r="E217" i="1"/>
  <c r="F217" i="1"/>
  <c r="I217" i="1"/>
  <c r="J217" i="1"/>
  <c r="AL217" i="1"/>
  <c r="AN217" i="1"/>
  <c r="AP217" i="1"/>
  <c r="AQ217" i="1"/>
  <c r="D218" i="1"/>
  <c r="E218" i="1"/>
  <c r="F218" i="1"/>
  <c r="I218" i="1"/>
  <c r="J218" i="1"/>
  <c r="AL218" i="1"/>
  <c r="AN218" i="1"/>
  <c r="AP218" i="1"/>
  <c r="AQ218" i="1"/>
  <c r="D219" i="1"/>
  <c r="E219" i="1"/>
  <c r="F219" i="1"/>
  <c r="I219" i="1"/>
  <c r="J219" i="1"/>
  <c r="AL219" i="1"/>
  <c r="AN219" i="1"/>
  <c r="AP219" i="1"/>
  <c r="AQ219" i="1"/>
  <c r="D220" i="1"/>
  <c r="E220" i="1"/>
  <c r="F220" i="1"/>
  <c r="I220" i="1"/>
  <c r="J220" i="1"/>
  <c r="AL220" i="1"/>
  <c r="AN220" i="1"/>
  <c r="AP220" i="1"/>
  <c r="AQ220" i="1"/>
  <c r="D221" i="1"/>
  <c r="E221" i="1"/>
  <c r="F221" i="1"/>
  <c r="I221" i="1"/>
  <c r="J221" i="1"/>
  <c r="AL221" i="1"/>
  <c r="AN221" i="1"/>
  <c r="AP221" i="1"/>
  <c r="AQ221" i="1"/>
  <c r="D222" i="1"/>
  <c r="E222" i="1"/>
  <c r="F222" i="1"/>
  <c r="I222" i="1"/>
  <c r="J222" i="1"/>
  <c r="AL222" i="1"/>
  <c r="AN222" i="1"/>
  <c r="AP222" i="1"/>
  <c r="AQ222" i="1"/>
  <c r="D223" i="1"/>
  <c r="E223" i="1"/>
  <c r="F223" i="1"/>
  <c r="I223" i="1"/>
  <c r="J223" i="1"/>
  <c r="AL223" i="1"/>
  <c r="AN223" i="1"/>
  <c r="AP223" i="1"/>
  <c r="AQ223" i="1"/>
  <c r="D224" i="1"/>
  <c r="E224" i="1"/>
  <c r="F224" i="1"/>
  <c r="I224" i="1"/>
  <c r="J224" i="1"/>
  <c r="AL224" i="1"/>
  <c r="AN224" i="1"/>
  <c r="AP224" i="1"/>
  <c r="AQ224" i="1"/>
  <c r="D225" i="1"/>
  <c r="E225" i="1"/>
  <c r="F225" i="1"/>
  <c r="I225" i="1"/>
  <c r="J225" i="1"/>
  <c r="AL225" i="1"/>
  <c r="AN225" i="1"/>
  <c r="AP225" i="1"/>
  <c r="AQ225" i="1"/>
  <c r="D226" i="1"/>
  <c r="E226" i="1"/>
  <c r="F226" i="1"/>
  <c r="I226" i="1"/>
  <c r="J226" i="1"/>
  <c r="AL226" i="1"/>
  <c r="AN226" i="1"/>
  <c r="AP226" i="1"/>
  <c r="AQ226" i="1"/>
  <c r="D227" i="1"/>
  <c r="E227" i="1"/>
  <c r="F227" i="1"/>
  <c r="I227" i="1"/>
  <c r="J227" i="1"/>
  <c r="AL227" i="1"/>
  <c r="AN227" i="1"/>
  <c r="AP227" i="1"/>
  <c r="AQ227" i="1"/>
  <c r="D228" i="1"/>
  <c r="E228" i="1"/>
  <c r="F228" i="1"/>
  <c r="I228" i="1"/>
  <c r="J228" i="1"/>
  <c r="AL228" i="1"/>
  <c r="AN228" i="1"/>
  <c r="AP228" i="1"/>
  <c r="AQ228" i="1"/>
  <c r="D229" i="1"/>
  <c r="E229" i="1"/>
  <c r="F229" i="1"/>
  <c r="I229" i="1"/>
  <c r="J229" i="1"/>
  <c r="AL229" i="1"/>
  <c r="AN229" i="1"/>
  <c r="AP229" i="1"/>
  <c r="AQ229" i="1"/>
  <c r="D230" i="1"/>
  <c r="E230" i="1"/>
  <c r="F230" i="1"/>
  <c r="I230" i="1"/>
  <c r="J230" i="1"/>
  <c r="AL230" i="1"/>
  <c r="AN230" i="1"/>
  <c r="AP230" i="1"/>
  <c r="AQ230" i="1"/>
  <c r="D231" i="1"/>
  <c r="E231" i="1"/>
  <c r="F231" i="1"/>
  <c r="I231" i="1"/>
  <c r="J231" i="1"/>
  <c r="AL231" i="1"/>
  <c r="AN231" i="1"/>
  <c r="AP231" i="1"/>
  <c r="AQ231" i="1"/>
  <c r="D232" i="1"/>
  <c r="E232" i="1"/>
  <c r="F232" i="1"/>
  <c r="I232" i="1"/>
  <c r="J232" i="1"/>
  <c r="AL232" i="1"/>
  <c r="AN232" i="1"/>
  <c r="AP232" i="1"/>
  <c r="AQ232" i="1"/>
  <c r="D233" i="1"/>
  <c r="E233" i="1"/>
  <c r="F233" i="1"/>
  <c r="I233" i="1"/>
  <c r="J233" i="1"/>
  <c r="AL233" i="1"/>
  <c r="AN233" i="1"/>
  <c r="AP233" i="1"/>
  <c r="AQ233" i="1"/>
  <c r="D234" i="1"/>
  <c r="E234" i="1"/>
  <c r="F234" i="1"/>
  <c r="I234" i="1"/>
  <c r="J234" i="1"/>
  <c r="AL234" i="1"/>
  <c r="AN234" i="1"/>
  <c r="AP234" i="1"/>
  <c r="AQ234" i="1"/>
  <c r="D235" i="1"/>
  <c r="F235" i="1"/>
  <c r="I235" i="1"/>
  <c r="AL235" i="1"/>
  <c r="AN235" i="1"/>
  <c r="AP235" i="1"/>
  <c r="AQ235" i="1"/>
  <c r="D236" i="1"/>
  <c r="E236" i="1"/>
  <c r="F236" i="1"/>
  <c r="I236" i="1"/>
  <c r="J236" i="1"/>
  <c r="AL236" i="1"/>
  <c r="AN236" i="1"/>
  <c r="AP236" i="1"/>
  <c r="AQ236" i="1"/>
  <c r="D237" i="1"/>
  <c r="E237" i="1"/>
  <c r="F237" i="1"/>
  <c r="I237" i="1"/>
  <c r="J237" i="1"/>
  <c r="AL237" i="1"/>
  <c r="AN237" i="1"/>
  <c r="AP237" i="1"/>
  <c r="AQ237" i="1"/>
  <c r="D238" i="1"/>
  <c r="E238" i="1"/>
  <c r="F238" i="1"/>
  <c r="I238" i="1"/>
  <c r="J238" i="1"/>
  <c r="AL238" i="1"/>
  <c r="AN238" i="1"/>
  <c r="AP238" i="1"/>
  <c r="AQ238" i="1"/>
  <c r="D239" i="1"/>
  <c r="E239" i="1"/>
  <c r="F239" i="1"/>
  <c r="I239" i="1"/>
  <c r="J239" i="1"/>
  <c r="AL239" i="1"/>
  <c r="AN239" i="1"/>
  <c r="AP239" i="1"/>
  <c r="AQ239" i="1"/>
  <c r="D240" i="1"/>
  <c r="F240" i="1"/>
  <c r="I240" i="1"/>
  <c r="AL240" i="1"/>
  <c r="AN240" i="1"/>
  <c r="AP240" i="1"/>
  <c r="AQ240" i="1"/>
  <c r="D241" i="1"/>
  <c r="E241" i="1"/>
  <c r="F241" i="1"/>
  <c r="I241" i="1"/>
  <c r="J241" i="1"/>
  <c r="AL241" i="1"/>
  <c r="AN241" i="1"/>
  <c r="AP241" i="1"/>
  <c r="AQ241" i="1"/>
  <c r="D242" i="1"/>
  <c r="E242" i="1"/>
  <c r="F242" i="1"/>
  <c r="I242" i="1"/>
  <c r="J242" i="1"/>
  <c r="AL242" i="1"/>
  <c r="AN242" i="1"/>
  <c r="AP242" i="1"/>
  <c r="AQ242" i="1"/>
  <c r="D243" i="1"/>
  <c r="E243" i="1"/>
  <c r="F243" i="1"/>
  <c r="I243" i="1"/>
  <c r="J243" i="1"/>
  <c r="AL243" i="1"/>
  <c r="AN243" i="1"/>
  <c r="AP243" i="1"/>
  <c r="D244" i="1"/>
  <c r="E244" i="1"/>
  <c r="F244" i="1"/>
  <c r="I244" i="1"/>
  <c r="J244" i="1"/>
  <c r="AL244" i="1"/>
  <c r="AN244" i="1"/>
  <c r="AP244" i="1"/>
  <c r="D245" i="1"/>
  <c r="E245" i="1"/>
  <c r="F245" i="1"/>
  <c r="I245" i="1"/>
  <c r="J245" i="1"/>
  <c r="AL245" i="1"/>
  <c r="AN245" i="1"/>
  <c r="AP245" i="1"/>
  <c r="AQ245" i="1"/>
  <c r="D246" i="1"/>
  <c r="E246" i="1"/>
  <c r="F246" i="1"/>
  <c r="I246" i="1"/>
  <c r="J246" i="1"/>
  <c r="AL246" i="1"/>
  <c r="AN246" i="1"/>
  <c r="AP246" i="1"/>
  <c r="AQ246" i="1"/>
  <c r="D247" i="1"/>
  <c r="F247" i="1"/>
  <c r="I247" i="1"/>
  <c r="AL247" i="1"/>
  <c r="AN247" i="1"/>
  <c r="AP247" i="1"/>
  <c r="AQ247" i="1"/>
  <c r="D248" i="1"/>
  <c r="E248" i="1"/>
  <c r="F248" i="1"/>
  <c r="I248" i="1"/>
  <c r="J248" i="1"/>
  <c r="AL248" i="1"/>
  <c r="AN248" i="1"/>
  <c r="AP248" i="1"/>
  <c r="AQ248" i="1"/>
  <c r="D249" i="1"/>
  <c r="F249" i="1"/>
  <c r="I249" i="1"/>
  <c r="AN249" i="1"/>
  <c r="AP249" i="1"/>
  <c r="AQ249" i="1"/>
  <c r="D250" i="1"/>
  <c r="E250" i="1"/>
  <c r="F250" i="1"/>
  <c r="I250" i="1"/>
  <c r="J250" i="1"/>
  <c r="AL250" i="1"/>
  <c r="AN250" i="1"/>
  <c r="AP250" i="1"/>
  <c r="AQ250" i="1"/>
  <c r="D251" i="1"/>
  <c r="E251" i="1"/>
  <c r="F251" i="1"/>
  <c r="I251" i="1"/>
  <c r="J251" i="1"/>
  <c r="AL251" i="1"/>
  <c r="AN251" i="1"/>
  <c r="AP251" i="1"/>
  <c r="D252" i="1"/>
  <c r="E252" i="1"/>
  <c r="F252" i="1"/>
  <c r="I252" i="1"/>
  <c r="J252" i="1"/>
  <c r="AL252" i="1"/>
  <c r="AN252" i="1"/>
  <c r="AP252" i="1"/>
  <c r="AQ252" i="1"/>
  <c r="D253" i="1"/>
  <c r="E253" i="1"/>
  <c r="F253" i="1"/>
  <c r="I253" i="1"/>
  <c r="J253" i="1"/>
  <c r="AL253" i="1"/>
  <c r="AN253" i="1"/>
  <c r="AP253" i="1"/>
  <c r="AQ253" i="1"/>
  <c r="D254" i="1"/>
  <c r="E254" i="1"/>
  <c r="F254" i="1"/>
  <c r="I254" i="1"/>
  <c r="J254" i="1"/>
  <c r="AN254" i="1"/>
  <c r="AP254" i="1"/>
  <c r="D255" i="1"/>
  <c r="E255" i="1"/>
  <c r="F255" i="1"/>
  <c r="I255" i="1"/>
  <c r="J255" i="1"/>
  <c r="AN255" i="1"/>
  <c r="AP255" i="1"/>
  <c r="D256" i="1"/>
  <c r="E256" i="1"/>
  <c r="F256" i="1"/>
  <c r="I256" i="1"/>
  <c r="J256" i="1"/>
  <c r="AN256" i="1"/>
  <c r="AP256" i="1"/>
  <c r="D257" i="1"/>
  <c r="E257" i="1"/>
  <c r="F257" i="1"/>
  <c r="I257" i="1"/>
  <c r="J257" i="1"/>
  <c r="AN257" i="1"/>
  <c r="AP257" i="1"/>
  <c r="D258" i="1"/>
  <c r="E258" i="1"/>
  <c r="F258" i="1"/>
  <c r="I258" i="1"/>
  <c r="J258" i="1"/>
  <c r="AL258" i="1"/>
  <c r="AN258" i="1"/>
  <c r="AP258" i="1"/>
  <c r="AQ258" i="1"/>
  <c r="D259" i="1"/>
  <c r="E259" i="1"/>
  <c r="F259" i="1"/>
  <c r="I259" i="1"/>
  <c r="J259" i="1"/>
  <c r="AN259" i="1"/>
  <c r="AP259" i="1"/>
  <c r="D260" i="1"/>
  <c r="E260" i="1"/>
  <c r="F260" i="1"/>
  <c r="I260" i="1"/>
  <c r="J260" i="1"/>
  <c r="AN260" i="1"/>
  <c r="AP260" i="1"/>
  <c r="D261" i="1"/>
  <c r="E261" i="1"/>
  <c r="F261" i="1"/>
  <c r="I261" i="1"/>
  <c r="J261" i="1"/>
  <c r="AN261" i="1"/>
  <c r="AP261" i="1"/>
  <c r="D262" i="1"/>
  <c r="E262" i="1"/>
  <c r="F262" i="1"/>
  <c r="I262" i="1"/>
  <c r="J262" i="1"/>
  <c r="AN262" i="1"/>
  <c r="AP262" i="1"/>
  <c r="D263" i="1"/>
  <c r="E263" i="1"/>
  <c r="F263" i="1"/>
  <c r="I263" i="1"/>
  <c r="J263" i="1"/>
  <c r="AN263" i="1"/>
  <c r="AP263" i="1"/>
  <c r="D264" i="1"/>
  <c r="E264" i="1"/>
  <c r="F264" i="1"/>
  <c r="I264" i="1"/>
  <c r="J264" i="1"/>
  <c r="AN264" i="1"/>
  <c r="AP264" i="1"/>
  <c r="D265" i="1"/>
  <c r="E265" i="1"/>
  <c r="F265" i="1"/>
  <c r="I265" i="1"/>
  <c r="J265" i="1"/>
  <c r="AN265" i="1"/>
  <c r="AP265" i="1"/>
  <c r="D266" i="1"/>
  <c r="E266" i="1"/>
  <c r="F266" i="1"/>
  <c r="I266" i="1"/>
  <c r="J266" i="1"/>
  <c r="AN266" i="1"/>
  <c r="AP266" i="1"/>
  <c r="D267" i="1"/>
  <c r="E267" i="1"/>
  <c r="F267" i="1"/>
  <c r="I267" i="1"/>
  <c r="J267" i="1"/>
  <c r="AN267" i="1"/>
  <c r="AP267" i="1"/>
  <c r="D268" i="1"/>
  <c r="E268" i="1"/>
  <c r="F268" i="1"/>
  <c r="I268" i="1"/>
  <c r="J268" i="1"/>
  <c r="AN268" i="1"/>
  <c r="AP268" i="1"/>
  <c r="D269" i="1"/>
  <c r="E269" i="1"/>
  <c r="F269" i="1"/>
  <c r="I269" i="1"/>
  <c r="J269" i="1"/>
  <c r="AN269" i="1"/>
  <c r="AP269" i="1"/>
  <c r="D270" i="1"/>
  <c r="E270" i="1"/>
  <c r="F270" i="1"/>
  <c r="I270" i="1"/>
  <c r="J270" i="1"/>
  <c r="AN270" i="1"/>
  <c r="AP270" i="1"/>
  <c r="D271" i="1"/>
  <c r="E271" i="1"/>
  <c r="F271" i="1"/>
  <c r="I271" i="1"/>
  <c r="J271" i="1"/>
  <c r="AL271" i="1"/>
  <c r="AN271" i="1"/>
  <c r="AP271" i="1"/>
  <c r="D272" i="1"/>
  <c r="E272" i="1"/>
  <c r="F272" i="1"/>
  <c r="I272" i="1"/>
  <c r="J272" i="1"/>
  <c r="AN272" i="1"/>
  <c r="AP272" i="1"/>
  <c r="D273" i="1"/>
  <c r="E273" i="1"/>
  <c r="F273" i="1"/>
  <c r="I273" i="1"/>
  <c r="J273" i="1"/>
  <c r="AN273" i="1"/>
  <c r="AP273" i="1"/>
  <c r="D274" i="1"/>
  <c r="E274" i="1"/>
  <c r="F274" i="1"/>
  <c r="I274" i="1"/>
  <c r="J274" i="1"/>
  <c r="AN274" i="1"/>
  <c r="AP274" i="1"/>
  <c r="D275" i="1"/>
  <c r="E275" i="1"/>
  <c r="F275" i="1"/>
  <c r="I275" i="1"/>
  <c r="J275" i="1"/>
  <c r="AN275" i="1"/>
  <c r="AP275" i="1"/>
  <c r="D276" i="1"/>
  <c r="E276" i="1"/>
  <c r="F276" i="1"/>
  <c r="I276" i="1"/>
  <c r="J276" i="1"/>
  <c r="AN276" i="1"/>
  <c r="AP276" i="1"/>
  <c r="D277" i="1"/>
  <c r="E277" i="1"/>
  <c r="F277" i="1"/>
  <c r="I277" i="1"/>
  <c r="J277" i="1"/>
  <c r="AN277" i="1"/>
  <c r="AP277" i="1"/>
  <c r="D278" i="1"/>
  <c r="E278" i="1"/>
  <c r="F278" i="1"/>
  <c r="I278" i="1"/>
  <c r="J278" i="1"/>
  <c r="AL278" i="1"/>
  <c r="AN278" i="1"/>
  <c r="AP278" i="1"/>
  <c r="AQ278" i="1"/>
  <c r="D279" i="1"/>
  <c r="E279" i="1"/>
  <c r="F279" i="1"/>
  <c r="I279" i="1"/>
  <c r="J279" i="1"/>
  <c r="AN279" i="1"/>
  <c r="AP279" i="1"/>
  <c r="D280" i="1"/>
  <c r="E280" i="1"/>
  <c r="F280" i="1"/>
  <c r="I280" i="1"/>
  <c r="J280" i="1"/>
  <c r="AN280" i="1"/>
  <c r="AP280" i="1"/>
  <c r="D281" i="1"/>
  <c r="E281" i="1"/>
  <c r="F281" i="1"/>
  <c r="I281" i="1"/>
  <c r="J281" i="1"/>
  <c r="AN281" i="1"/>
  <c r="AP281" i="1"/>
  <c r="D282" i="1"/>
  <c r="E282" i="1"/>
  <c r="F282" i="1"/>
  <c r="I282" i="1"/>
  <c r="J282" i="1"/>
  <c r="AN282" i="1"/>
  <c r="AP282" i="1"/>
  <c r="D283" i="1"/>
  <c r="E283" i="1"/>
  <c r="F283" i="1"/>
  <c r="I283" i="1"/>
  <c r="J283" i="1"/>
  <c r="AN283" i="1"/>
  <c r="AP283" i="1"/>
  <c r="D284" i="1"/>
  <c r="E284" i="1"/>
  <c r="F284" i="1"/>
  <c r="I284" i="1"/>
  <c r="J284" i="1"/>
  <c r="AN284" i="1"/>
  <c r="AP284" i="1"/>
  <c r="D285" i="1"/>
  <c r="E285" i="1"/>
  <c r="F285" i="1"/>
  <c r="I285" i="1"/>
  <c r="J285" i="1"/>
  <c r="AN285" i="1"/>
  <c r="AP285" i="1"/>
  <c r="D286" i="1"/>
  <c r="E286" i="1"/>
  <c r="F286" i="1"/>
  <c r="I286" i="1"/>
  <c r="J286" i="1"/>
  <c r="AL286" i="1"/>
  <c r="AN286" i="1"/>
  <c r="AP286" i="1"/>
  <c r="AQ286" i="1"/>
  <c r="D287" i="1"/>
  <c r="E287" i="1"/>
  <c r="F287" i="1"/>
  <c r="I287" i="1"/>
  <c r="J287" i="1"/>
  <c r="AN287" i="1"/>
  <c r="AP287" i="1"/>
  <c r="D288" i="1"/>
  <c r="E288" i="1"/>
  <c r="F288" i="1"/>
  <c r="I288" i="1"/>
  <c r="J288" i="1"/>
  <c r="AN288" i="1"/>
  <c r="AP288" i="1"/>
  <c r="D289" i="1"/>
  <c r="E289" i="1"/>
  <c r="F289" i="1"/>
  <c r="I289" i="1"/>
  <c r="J289" i="1"/>
  <c r="AN289" i="1"/>
  <c r="AP289" i="1"/>
  <c r="D290" i="1"/>
  <c r="E290" i="1"/>
  <c r="F290" i="1"/>
  <c r="I290" i="1"/>
  <c r="J290" i="1"/>
  <c r="AN290" i="1"/>
  <c r="AP290" i="1"/>
  <c r="D291" i="1"/>
  <c r="E291" i="1"/>
  <c r="F291" i="1"/>
  <c r="I291" i="1"/>
  <c r="J291" i="1"/>
  <c r="AN291" i="1"/>
  <c r="AP291" i="1"/>
  <c r="D292" i="1"/>
  <c r="E292" i="1"/>
  <c r="F292" i="1"/>
  <c r="I292" i="1"/>
  <c r="J292" i="1"/>
  <c r="AN292" i="1"/>
  <c r="AP292" i="1"/>
  <c r="D293" i="1"/>
  <c r="E293" i="1"/>
  <c r="F293" i="1"/>
  <c r="I293" i="1"/>
  <c r="J293" i="1"/>
  <c r="AN293" i="1"/>
  <c r="AP293" i="1"/>
  <c r="D294" i="1"/>
  <c r="E294" i="1"/>
  <c r="F294" i="1"/>
  <c r="I294" i="1"/>
  <c r="J294" i="1"/>
  <c r="AN294" i="1"/>
  <c r="AP294" i="1"/>
  <c r="D295" i="1"/>
  <c r="E295" i="1"/>
  <c r="F295" i="1"/>
  <c r="I295" i="1"/>
  <c r="J295" i="1"/>
  <c r="AN295" i="1"/>
  <c r="AP295" i="1"/>
  <c r="D296" i="1"/>
  <c r="E296" i="1"/>
  <c r="F296" i="1"/>
  <c r="I296" i="1"/>
  <c r="J296" i="1"/>
  <c r="AN296" i="1"/>
  <c r="AP296" i="1"/>
  <c r="D297" i="1"/>
  <c r="E297" i="1"/>
  <c r="F297" i="1"/>
  <c r="I297" i="1"/>
  <c r="J297" i="1"/>
  <c r="AN297" i="1"/>
  <c r="AP297" i="1"/>
  <c r="D298" i="1"/>
  <c r="E298" i="1"/>
  <c r="F298" i="1"/>
  <c r="I298" i="1"/>
  <c r="J298" i="1"/>
  <c r="AN298" i="1"/>
  <c r="AP298" i="1"/>
  <c r="D299" i="1"/>
  <c r="E299" i="1"/>
  <c r="F299" i="1"/>
  <c r="I299" i="1"/>
  <c r="J299" i="1"/>
  <c r="AN299" i="1"/>
  <c r="AP299" i="1"/>
  <c r="D300" i="1"/>
  <c r="E300" i="1"/>
  <c r="F300" i="1"/>
  <c r="I300" i="1"/>
  <c r="J300" i="1"/>
  <c r="AN300" i="1"/>
  <c r="AP300" i="1"/>
  <c r="D301" i="1"/>
  <c r="E301" i="1"/>
  <c r="F301" i="1"/>
  <c r="I301" i="1"/>
  <c r="J301" i="1"/>
  <c r="AN301" i="1"/>
  <c r="AP301" i="1"/>
  <c r="D302" i="1"/>
  <c r="E302" i="1"/>
  <c r="F302" i="1"/>
  <c r="I302" i="1"/>
  <c r="J302" i="1"/>
  <c r="AN302" i="1"/>
  <c r="AP302" i="1"/>
  <c r="D303" i="1"/>
  <c r="E303" i="1"/>
  <c r="F303" i="1"/>
  <c r="I303" i="1"/>
  <c r="J303" i="1"/>
  <c r="AN303" i="1"/>
  <c r="AP303" i="1"/>
  <c r="D304" i="1"/>
  <c r="E304" i="1"/>
  <c r="F304" i="1"/>
  <c r="I304" i="1"/>
  <c r="J304" i="1"/>
  <c r="AN304" i="1"/>
  <c r="AP304" i="1"/>
  <c r="D305" i="1"/>
  <c r="E305" i="1"/>
  <c r="F305" i="1"/>
  <c r="I305" i="1"/>
  <c r="J305" i="1"/>
  <c r="AN305" i="1"/>
  <c r="AP305" i="1"/>
  <c r="D306" i="1"/>
  <c r="E306" i="1"/>
  <c r="F306" i="1"/>
  <c r="I306" i="1"/>
  <c r="J306" i="1"/>
  <c r="AN306" i="1"/>
  <c r="AP306" i="1"/>
  <c r="D307" i="1"/>
  <c r="E307" i="1"/>
  <c r="F307" i="1"/>
  <c r="I307" i="1"/>
  <c r="J307" i="1"/>
  <c r="AN307" i="1"/>
  <c r="AP307" i="1"/>
  <c r="D308" i="1"/>
  <c r="E308" i="1"/>
  <c r="F308" i="1"/>
  <c r="I308" i="1"/>
  <c r="J308" i="1"/>
  <c r="AN308" i="1"/>
  <c r="AP308" i="1"/>
  <c r="D309" i="1"/>
  <c r="E309" i="1"/>
  <c r="F309" i="1"/>
  <c r="I309" i="1"/>
  <c r="J309" i="1"/>
  <c r="AN309" i="1"/>
  <c r="AP309" i="1"/>
  <c r="D310" i="1"/>
  <c r="E310" i="1"/>
  <c r="F310" i="1"/>
  <c r="I310" i="1"/>
  <c r="J310" i="1"/>
  <c r="AL310" i="1"/>
  <c r="AN310" i="1"/>
  <c r="AP310" i="1"/>
  <c r="AQ310" i="1"/>
  <c r="D311" i="1"/>
  <c r="E311" i="1"/>
  <c r="F311" i="1"/>
  <c r="I311" i="1"/>
  <c r="J311" i="1"/>
  <c r="AL311" i="1"/>
  <c r="AN311" i="1"/>
  <c r="AP311" i="1"/>
  <c r="AQ311" i="1"/>
  <c r="D312" i="1"/>
  <c r="E312" i="1"/>
  <c r="F312" i="1"/>
  <c r="I312" i="1"/>
  <c r="J312" i="1"/>
  <c r="AN312" i="1"/>
  <c r="AP312" i="1"/>
  <c r="D313" i="1"/>
  <c r="E313" i="1"/>
  <c r="F313" i="1"/>
  <c r="I313" i="1"/>
  <c r="J313" i="1"/>
  <c r="AN313" i="1"/>
  <c r="AP313" i="1"/>
  <c r="D314" i="1"/>
  <c r="E314" i="1"/>
  <c r="F314" i="1"/>
  <c r="I314" i="1"/>
  <c r="J314" i="1"/>
  <c r="AN314" i="1"/>
  <c r="AP314" i="1"/>
  <c r="D315" i="1"/>
  <c r="E315" i="1"/>
  <c r="F315" i="1"/>
  <c r="I315" i="1"/>
  <c r="J315" i="1"/>
  <c r="AN315" i="1"/>
  <c r="AP315" i="1"/>
  <c r="D316" i="1"/>
  <c r="E316" i="1"/>
  <c r="F316" i="1"/>
  <c r="I316" i="1"/>
  <c r="J316" i="1"/>
  <c r="AN316" i="1"/>
  <c r="AP316" i="1"/>
  <c r="D317" i="1"/>
  <c r="E317" i="1"/>
  <c r="F317" i="1"/>
  <c r="I317" i="1"/>
  <c r="J317" i="1"/>
  <c r="AN317" i="1"/>
  <c r="AP317" i="1"/>
  <c r="D318" i="1"/>
  <c r="E318" i="1"/>
  <c r="F318" i="1"/>
  <c r="I318" i="1"/>
  <c r="J318" i="1"/>
  <c r="AN318" i="1"/>
  <c r="AP318" i="1"/>
  <c r="D319" i="1"/>
  <c r="E319" i="1"/>
  <c r="F319" i="1"/>
  <c r="I319" i="1"/>
  <c r="J319" i="1"/>
  <c r="AN319" i="1"/>
  <c r="AP319" i="1"/>
  <c r="D320" i="1"/>
  <c r="E320" i="1"/>
  <c r="F320" i="1"/>
  <c r="I320" i="1"/>
  <c r="J320" i="1"/>
  <c r="AN320" i="1"/>
  <c r="AP320" i="1"/>
  <c r="D321" i="1"/>
  <c r="E321" i="1"/>
  <c r="F321" i="1"/>
  <c r="I321" i="1"/>
  <c r="J321" i="1"/>
  <c r="AN321" i="1"/>
  <c r="AP321" i="1"/>
  <c r="D322" i="1"/>
  <c r="E322" i="1"/>
  <c r="F322" i="1"/>
  <c r="I322" i="1"/>
  <c r="J322" i="1"/>
  <c r="AN322" i="1"/>
  <c r="AP322" i="1"/>
  <c r="D323" i="1"/>
  <c r="E323" i="1"/>
  <c r="F323" i="1"/>
  <c r="I323" i="1"/>
  <c r="J323" i="1"/>
  <c r="AN323" i="1"/>
  <c r="AP323" i="1"/>
  <c r="D324" i="1"/>
  <c r="E324" i="1"/>
  <c r="F324" i="1"/>
  <c r="I324" i="1"/>
  <c r="J324" i="1"/>
  <c r="AN324" i="1"/>
  <c r="AP324" i="1"/>
  <c r="D325" i="1"/>
  <c r="E325" i="1"/>
  <c r="F325" i="1"/>
  <c r="I325" i="1"/>
  <c r="J325" i="1"/>
  <c r="AN325" i="1"/>
  <c r="AP325" i="1"/>
  <c r="D326" i="1"/>
  <c r="E326" i="1"/>
  <c r="F326" i="1"/>
  <c r="I326" i="1"/>
  <c r="J326" i="1"/>
  <c r="AN326" i="1"/>
  <c r="AP326" i="1"/>
  <c r="D327" i="1"/>
  <c r="F327" i="1"/>
  <c r="I327" i="1"/>
  <c r="AN327" i="1"/>
  <c r="AP327" i="1"/>
  <c r="AQ327" i="1"/>
  <c r="D328" i="1"/>
  <c r="E328" i="1"/>
  <c r="F328" i="1"/>
  <c r="I328" i="1"/>
  <c r="J328" i="1"/>
  <c r="AN328" i="1"/>
  <c r="AP328" i="1"/>
  <c r="D329" i="1"/>
  <c r="E329" i="1"/>
  <c r="F329" i="1"/>
  <c r="I329" i="1"/>
  <c r="J329" i="1"/>
  <c r="AN329" i="1"/>
  <c r="AP329" i="1"/>
  <c r="D330" i="1"/>
  <c r="E330" i="1"/>
  <c r="F330" i="1"/>
  <c r="I330" i="1"/>
  <c r="J330" i="1"/>
  <c r="AN330" i="1"/>
  <c r="AP330" i="1"/>
  <c r="D331" i="1"/>
  <c r="E331" i="1"/>
  <c r="F331" i="1"/>
  <c r="I331" i="1"/>
  <c r="J331" i="1"/>
  <c r="AN331" i="1"/>
  <c r="AP331" i="1"/>
  <c r="D332" i="1"/>
  <c r="E332" i="1"/>
  <c r="F332" i="1"/>
  <c r="I332" i="1"/>
  <c r="J332" i="1"/>
  <c r="AN332" i="1"/>
  <c r="AP332" i="1"/>
  <c r="D333" i="1"/>
  <c r="E333" i="1"/>
  <c r="F333" i="1"/>
  <c r="I333" i="1"/>
  <c r="J333" i="1"/>
  <c r="AN333" i="1"/>
  <c r="AP333" i="1"/>
  <c r="D334" i="1"/>
  <c r="E334" i="1"/>
  <c r="F334" i="1"/>
  <c r="I334" i="1"/>
  <c r="J334" i="1"/>
  <c r="AN334" i="1"/>
  <c r="AP334" i="1"/>
  <c r="D335" i="1"/>
  <c r="E335" i="1"/>
  <c r="F335" i="1"/>
  <c r="I335" i="1"/>
  <c r="J335" i="1"/>
  <c r="AN335" i="1"/>
  <c r="AP335" i="1"/>
  <c r="D336" i="1"/>
  <c r="E336" i="1"/>
  <c r="F336" i="1"/>
  <c r="I336" i="1"/>
  <c r="J336" i="1"/>
  <c r="AN336" i="1"/>
  <c r="AP336" i="1"/>
  <c r="D337" i="1"/>
  <c r="E337" i="1"/>
  <c r="F337" i="1"/>
  <c r="I337" i="1"/>
  <c r="J337" i="1"/>
  <c r="AN337" i="1"/>
  <c r="AP337" i="1"/>
  <c r="D338" i="1"/>
  <c r="E338" i="1"/>
  <c r="F338" i="1"/>
  <c r="I338" i="1"/>
  <c r="J338" i="1"/>
  <c r="AN338" i="1"/>
  <c r="AP338" i="1"/>
  <c r="D339" i="1"/>
  <c r="E339" i="1"/>
  <c r="F339" i="1"/>
  <c r="I339" i="1"/>
  <c r="J339" i="1"/>
  <c r="AN339" i="1"/>
  <c r="AP339" i="1"/>
  <c r="D340" i="1"/>
  <c r="E340" i="1"/>
  <c r="F340" i="1"/>
  <c r="I340" i="1"/>
  <c r="J340" i="1"/>
  <c r="AN340" i="1"/>
  <c r="AP340" i="1"/>
  <c r="D341" i="1"/>
  <c r="E341" i="1"/>
  <c r="F341" i="1"/>
  <c r="I341" i="1"/>
  <c r="J341" i="1"/>
  <c r="AN341" i="1"/>
  <c r="AP341" i="1"/>
  <c r="D342" i="1"/>
  <c r="E342" i="1"/>
  <c r="F342" i="1"/>
  <c r="I342" i="1"/>
  <c r="J342" i="1"/>
  <c r="AN342" i="1"/>
  <c r="AP342" i="1"/>
  <c r="D343" i="1"/>
  <c r="E343" i="1"/>
  <c r="F343" i="1"/>
  <c r="I343" i="1"/>
  <c r="J343" i="1"/>
  <c r="AN343" i="1"/>
  <c r="AP343" i="1"/>
  <c r="D344" i="1"/>
  <c r="E344" i="1"/>
  <c r="F344" i="1"/>
  <c r="I344" i="1"/>
  <c r="J344" i="1"/>
  <c r="AN344" i="1"/>
  <c r="AP344" i="1"/>
  <c r="D345" i="1"/>
  <c r="E345" i="1"/>
  <c r="F345" i="1"/>
  <c r="I345" i="1"/>
  <c r="J345" i="1"/>
  <c r="AN345" i="1"/>
  <c r="AP345" i="1"/>
  <c r="D346" i="1"/>
  <c r="E346" i="1"/>
  <c r="F346" i="1"/>
  <c r="I346" i="1"/>
  <c r="J346" i="1"/>
  <c r="AN346" i="1"/>
  <c r="AP346" i="1"/>
  <c r="D347" i="1"/>
  <c r="E347" i="1"/>
  <c r="F347" i="1"/>
  <c r="I347" i="1"/>
  <c r="J347" i="1"/>
  <c r="AN347" i="1"/>
  <c r="AP347" i="1"/>
  <c r="D348" i="1"/>
  <c r="E348" i="1"/>
  <c r="F348" i="1"/>
  <c r="I348" i="1"/>
  <c r="J348" i="1"/>
  <c r="AN348" i="1"/>
  <c r="AP348" i="1"/>
  <c r="D349" i="1"/>
  <c r="E349" i="1"/>
  <c r="F349" i="1"/>
  <c r="I349" i="1"/>
  <c r="J349" i="1"/>
  <c r="AN349" i="1"/>
  <c r="AP349" i="1"/>
  <c r="D350" i="1"/>
  <c r="E350" i="1"/>
  <c r="F350" i="1"/>
  <c r="I350" i="1"/>
  <c r="J350" i="1"/>
  <c r="AN350" i="1"/>
  <c r="AP350" i="1"/>
  <c r="D351" i="1"/>
  <c r="E351" i="1"/>
  <c r="F351" i="1"/>
  <c r="I351" i="1"/>
  <c r="J351" i="1"/>
  <c r="AN351" i="1"/>
  <c r="AP351" i="1"/>
  <c r="D352" i="1"/>
  <c r="E352" i="1"/>
  <c r="F352" i="1"/>
  <c r="I352" i="1"/>
  <c r="J352" i="1"/>
  <c r="AN352" i="1"/>
  <c r="AP352" i="1"/>
  <c r="D353" i="1"/>
  <c r="E353" i="1"/>
  <c r="F353" i="1"/>
  <c r="I353" i="1"/>
  <c r="J353" i="1"/>
  <c r="AN353" i="1"/>
  <c r="AP353" i="1"/>
  <c r="D354" i="1"/>
  <c r="E354" i="1"/>
  <c r="F354" i="1"/>
  <c r="I354" i="1"/>
  <c r="J354" i="1"/>
  <c r="AN354" i="1"/>
  <c r="AP354" i="1"/>
  <c r="D355" i="1"/>
  <c r="E355" i="1"/>
  <c r="F355" i="1"/>
  <c r="I355" i="1"/>
  <c r="J355" i="1"/>
  <c r="AN355" i="1"/>
  <c r="AP355" i="1"/>
  <c r="D356" i="1"/>
  <c r="E356" i="1"/>
  <c r="F356" i="1"/>
  <c r="I356" i="1"/>
  <c r="J356" i="1"/>
  <c r="AN356" i="1"/>
  <c r="AP356" i="1"/>
  <c r="D357" i="1"/>
  <c r="E357" i="1"/>
  <c r="F357" i="1"/>
  <c r="I357" i="1"/>
  <c r="J357" i="1"/>
  <c r="AN357" i="1"/>
  <c r="AP357" i="1"/>
  <c r="D358" i="1"/>
  <c r="E358" i="1"/>
  <c r="F358" i="1"/>
  <c r="I358" i="1"/>
  <c r="J358" i="1"/>
  <c r="AN358" i="1"/>
  <c r="AP358" i="1"/>
  <c r="D359" i="1"/>
  <c r="E359" i="1"/>
  <c r="F359" i="1"/>
  <c r="I359" i="1"/>
  <c r="J359" i="1"/>
  <c r="AN359" i="1"/>
  <c r="AP359" i="1"/>
  <c r="D360" i="1"/>
  <c r="E360" i="1"/>
  <c r="F360" i="1"/>
  <c r="I360" i="1"/>
  <c r="J360" i="1"/>
  <c r="AN360" i="1"/>
  <c r="AP360" i="1"/>
  <c r="D361" i="1"/>
  <c r="E361" i="1"/>
  <c r="F361" i="1"/>
  <c r="I361" i="1"/>
  <c r="J361" i="1"/>
  <c r="AN361" i="1"/>
  <c r="AP361" i="1"/>
  <c r="D362" i="1"/>
  <c r="E362" i="1"/>
  <c r="F362" i="1"/>
  <c r="I362" i="1"/>
  <c r="J362" i="1"/>
  <c r="AN362" i="1"/>
  <c r="AP362" i="1"/>
  <c r="D363" i="1"/>
  <c r="E363" i="1"/>
  <c r="F363" i="1"/>
  <c r="I363" i="1"/>
  <c r="J363" i="1"/>
  <c r="AN363" i="1"/>
  <c r="AP363" i="1"/>
  <c r="D364" i="1"/>
  <c r="E364" i="1"/>
  <c r="F364" i="1"/>
  <c r="I364" i="1"/>
  <c r="J364" i="1"/>
  <c r="AN364" i="1"/>
  <c r="AP364" i="1"/>
  <c r="D365" i="1"/>
  <c r="E365" i="1"/>
  <c r="F365" i="1"/>
  <c r="I365" i="1"/>
  <c r="J365" i="1"/>
  <c r="AN365" i="1"/>
  <c r="AP365" i="1"/>
  <c r="D366" i="1"/>
  <c r="E366" i="1"/>
  <c r="F366" i="1"/>
  <c r="I366" i="1"/>
  <c r="J366" i="1"/>
  <c r="AN366" i="1"/>
  <c r="AP366" i="1"/>
  <c r="D367" i="1"/>
  <c r="E367" i="1"/>
  <c r="F367" i="1"/>
  <c r="I367" i="1"/>
  <c r="J367" i="1"/>
  <c r="AN367" i="1"/>
  <c r="AP367" i="1"/>
  <c r="D368" i="1"/>
  <c r="E368" i="1"/>
  <c r="F368" i="1"/>
  <c r="I368" i="1"/>
  <c r="J368" i="1"/>
  <c r="AN368" i="1"/>
  <c r="AP368" i="1"/>
  <c r="D369" i="1"/>
  <c r="E369" i="1"/>
  <c r="F369" i="1"/>
  <c r="I369" i="1"/>
  <c r="J369" i="1"/>
  <c r="AN369" i="1"/>
  <c r="AP369" i="1"/>
  <c r="D370" i="1"/>
  <c r="E370" i="1"/>
  <c r="F370" i="1"/>
  <c r="I370" i="1"/>
  <c r="J370" i="1"/>
  <c r="AN370" i="1"/>
  <c r="AP370" i="1"/>
  <c r="D371" i="1"/>
  <c r="E371" i="1"/>
  <c r="F371" i="1"/>
  <c r="I371" i="1"/>
  <c r="J371" i="1"/>
  <c r="AN371" i="1"/>
  <c r="AP371" i="1"/>
  <c r="D372" i="1"/>
  <c r="E372" i="1"/>
  <c r="F372" i="1"/>
  <c r="I372" i="1"/>
  <c r="J372" i="1"/>
  <c r="AN372" i="1"/>
  <c r="AP372" i="1"/>
  <c r="D373" i="1"/>
  <c r="E373" i="1"/>
  <c r="F373" i="1"/>
  <c r="I373" i="1"/>
  <c r="J373" i="1"/>
  <c r="AN373" i="1"/>
  <c r="AP373" i="1"/>
  <c r="D374" i="1"/>
  <c r="E374" i="1"/>
  <c r="F374" i="1"/>
  <c r="I374" i="1"/>
  <c r="J374" i="1"/>
  <c r="AN374" i="1"/>
  <c r="AP374" i="1"/>
  <c r="D375" i="1"/>
  <c r="E375" i="1"/>
  <c r="F375" i="1"/>
  <c r="I375" i="1"/>
  <c r="J375" i="1"/>
  <c r="AN375" i="1"/>
  <c r="AP375" i="1"/>
  <c r="D376" i="1"/>
  <c r="E376" i="1"/>
  <c r="F376" i="1"/>
  <c r="I376" i="1"/>
  <c r="J376" i="1"/>
  <c r="AN376" i="1"/>
  <c r="AP376" i="1"/>
  <c r="D377" i="1"/>
  <c r="E377" i="1"/>
  <c r="F377" i="1"/>
  <c r="I377" i="1"/>
  <c r="J377" i="1"/>
  <c r="AN377" i="1"/>
  <c r="AP377" i="1"/>
  <c r="D378" i="1"/>
  <c r="E378" i="1"/>
  <c r="F378" i="1"/>
  <c r="I378" i="1"/>
  <c r="J378" i="1"/>
  <c r="AN378" i="1"/>
  <c r="AP378" i="1"/>
  <c r="D379" i="1"/>
  <c r="E379" i="1"/>
  <c r="F379" i="1"/>
  <c r="I379" i="1"/>
  <c r="J379" i="1"/>
  <c r="AN379" i="1"/>
  <c r="AP379" i="1"/>
  <c r="D380" i="1"/>
  <c r="E380" i="1"/>
  <c r="F380" i="1"/>
  <c r="I380" i="1"/>
  <c r="J380" i="1"/>
  <c r="AN380" i="1"/>
  <c r="AP380" i="1"/>
  <c r="D381" i="1"/>
  <c r="E381" i="1"/>
  <c r="F381" i="1"/>
  <c r="I381" i="1"/>
  <c r="J381" i="1"/>
  <c r="AN381" i="1"/>
  <c r="AP381" i="1"/>
  <c r="D382" i="1"/>
  <c r="E382" i="1"/>
  <c r="F382" i="1"/>
  <c r="I382" i="1"/>
  <c r="J382" i="1"/>
  <c r="AN382" i="1"/>
  <c r="AP382" i="1"/>
  <c r="D383" i="1"/>
  <c r="E383" i="1"/>
  <c r="F383" i="1"/>
  <c r="I383" i="1"/>
  <c r="J383" i="1"/>
  <c r="AN383" i="1"/>
  <c r="AP383" i="1"/>
  <c r="D384" i="1"/>
  <c r="E384" i="1"/>
  <c r="F384" i="1"/>
  <c r="I384" i="1"/>
  <c r="J384" i="1"/>
  <c r="AN384" i="1"/>
  <c r="AP384" i="1"/>
  <c r="D385" i="1"/>
  <c r="E385" i="1"/>
  <c r="F385" i="1"/>
  <c r="I385" i="1"/>
  <c r="J385" i="1"/>
  <c r="AN385" i="1"/>
  <c r="AP385" i="1"/>
  <c r="D386" i="1"/>
  <c r="E386" i="1"/>
  <c r="F386" i="1"/>
  <c r="I386" i="1"/>
  <c r="J386" i="1"/>
  <c r="AN386" i="1"/>
  <c r="AP386" i="1"/>
  <c r="D387" i="1"/>
  <c r="E387" i="1"/>
  <c r="F387" i="1"/>
  <c r="I387" i="1"/>
  <c r="J387" i="1"/>
  <c r="AN387" i="1"/>
  <c r="AP387" i="1"/>
  <c r="D388" i="1"/>
  <c r="E388" i="1"/>
  <c r="F388" i="1"/>
  <c r="I388" i="1"/>
  <c r="J388" i="1"/>
  <c r="AN388" i="1"/>
  <c r="AP388" i="1"/>
  <c r="D389" i="1"/>
  <c r="E389" i="1"/>
  <c r="F389" i="1"/>
  <c r="I389" i="1"/>
  <c r="J389" i="1"/>
  <c r="AN389" i="1"/>
  <c r="AP389" i="1"/>
  <c r="D390" i="1"/>
  <c r="E390" i="1"/>
  <c r="F390" i="1"/>
  <c r="I390" i="1"/>
  <c r="J390" i="1"/>
  <c r="AN390" i="1"/>
  <c r="AP390" i="1"/>
  <c r="D391" i="1"/>
  <c r="E391" i="1"/>
  <c r="F391" i="1"/>
  <c r="I391" i="1"/>
  <c r="J391" i="1"/>
  <c r="AN391" i="1"/>
  <c r="AP391" i="1"/>
  <c r="D392" i="1"/>
  <c r="E392" i="1"/>
  <c r="F392" i="1"/>
  <c r="I392" i="1"/>
  <c r="J392" i="1"/>
  <c r="AN392" i="1"/>
  <c r="AP392" i="1"/>
  <c r="D393" i="1"/>
  <c r="E393" i="1"/>
  <c r="F393" i="1"/>
  <c r="I393" i="1"/>
  <c r="J393" i="1"/>
  <c r="AN393" i="1"/>
  <c r="AP393" i="1"/>
  <c r="D394" i="1"/>
  <c r="E394" i="1"/>
  <c r="F394" i="1"/>
  <c r="I394" i="1"/>
  <c r="J394" i="1"/>
  <c r="AN394" i="1"/>
  <c r="AP394" i="1"/>
  <c r="D395" i="1"/>
  <c r="E395" i="1"/>
  <c r="F395" i="1"/>
  <c r="I395" i="1"/>
  <c r="J395" i="1"/>
  <c r="AN395" i="1"/>
  <c r="AP395" i="1"/>
  <c r="D396" i="1"/>
  <c r="E396" i="1"/>
  <c r="F396" i="1"/>
  <c r="I396" i="1"/>
  <c r="J396" i="1"/>
  <c r="AN396" i="1"/>
  <c r="AP396" i="1"/>
  <c r="D397" i="1"/>
  <c r="E397" i="1"/>
  <c r="F397" i="1"/>
  <c r="I397" i="1"/>
  <c r="J397" i="1"/>
  <c r="AN397" i="1"/>
  <c r="AP397" i="1"/>
  <c r="D398" i="1"/>
  <c r="E398" i="1"/>
  <c r="F398" i="1"/>
  <c r="I398" i="1"/>
  <c r="J398" i="1"/>
  <c r="AN398" i="1"/>
  <c r="AP398" i="1"/>
  <c r="D399" i="1"/>
  <c r="E399" i="1"/>
  <c r="F399" i="1"/>
  <c r="I399" i="1"/>
  <c r="J399" i="1"/>
  <c r="AN399" i="1"/>
  <c r="AP399" i="1"/>
  <c r="D400" i="1"/>
  <c r="E400" i="1"/>
  <c r="F400" i="1"/>
  <c r="I400" i="1"/>
  <c r="J400" i="1"/>
  <c r="AN400" i="1"/>
  <c r="AP400" i="1"/>
  <c r="D401" i="1"/>
  <c r="E401" i="1"/>
  <c r="F401" i="1"/>
  <c r="I401" i="1"/>
  <c r="J401" i="1"/>
  <c r="AN401" i="1"/>
  <c r="AP401" i="1"/>
  <c r="D402" i="1"/>
  <c r="E402" i="1"/>
  <c r="F402" i="1"/>
  <c r="I402" i="1"/>
  <c r="J402" i="1"/>
  <c r="AN402" i="1"/>
  <c r="AP402" i="1"/>
  <c r="D403" i="1"/>
  <c r="E403" i="1"/>
  <c r="F403" i="1"/>
  <c r="I403" i="1"/>
  <c r="J403" i="1"/>
  <c r="AN403" i="1"/>
  <c r="AP403" i="1"/>
  <c r="D404" i="1"/>
  <c r="E404" i="1"/>
  <c r="F404" i="1"/>
  <c r="I404" i="1"/>
  <c r="J404" i="1"/>
  <c r="AN404" i="1"/>
  <c r="AP404" i="1"/>
  <c r="D405" i="1"/>
  <c r="E405" i="1"/>
  <c r="F405" i="1"/>
  <c r="I405" i="1"/>
  <c r="J405" i="1"/>
  <c r="AN405" i="1"/>
  <c r="AP405" i="1"/>
  <c r="D406" i="1"/>
  <c r="E406" i="1"/>
  <c r="F406" i="1"/>
  <c r="I406" i="1"/>
  <c r="J406" i="1"/>
  <c r="AN406" i="1"/>
  <c r="AP406" i="1"/>
  <c r="D407" i="1"/>
  <c r="E407" i="1"/>
  <c r="F407" i="1"/>
  <c r="I407" i="1"/>
  <c r="J407" i="1"/>
  <c r="AN407" i="1"/>
  <c r="AP407" i="1"/>
  <c r="D408" i="1"/>
  <c r="E408" i="1"/>
  <c r="F408" i="1"/>
  <c r="I408" i="1"/>
  <c r="J408" i="1"/>
  <c r="AN408" i="1"/>
  <c r="AP408" i="1"/>
  <c r="D409" i="1"/>
  <c r="E409" i="1"/>
  <c r="F409" i="1"/>
  <c r="I409" i="1"/>
  <c r="J409" i="1"/>
  <c r="AN409" i="1"/>
  <c r="AP409" i="1"/>
  <c r="D410" i="1"/>
  <c r="E410" i="1"/>
  <c r="F410" i="1"/>
  <c r="I410" i="1"/>
  <c r="J410" i="1"/>
  <c r="AN410" i="1"/>
  <c r="AP410" i="1"/>
  <c r="D411" i="1"/>
  <c r="E411" i="1"/>
  <c r="F411" i="1"/>
  <c r="I411" i="1"/>
  <c r="J411" i="1"/>
  <c r="AN411" i="1"/>
  <c r="AP411" i="1"/>
  <c r="D412" i="1"/>
  <c r="E412" i="1"/>
  <c r="F412" i="1"/>
  <c r="I412" i="1"/>
  <c r="J412" i="1"/>
  <c r="AN412" i="1"/>
  <c r="AP412" i="1"/>
  <c r="D413" i="1"/>
  <c r="E413" i="1"/>
  <c r="F413" i="1"/>
  <c r="I413" i="1"/>
  <c r="J413" i="1"/>
  <c r="AN413" i="1"/>
  <c r="AP413" i="1"/>
  <c r="D414" i="1"/>
  <c r="E414" i="1"/>
  <c r="F414" i="1"/>
  <c r="I414" i="1"/>
  <c r="J414" i="1"/>
  <c r="AN414" i="1"/>
  <c r="AP414" i="1"/>
  <c r="D415" i="1"/>
  <c r="E415" i="1"/>
  <c r="F415" i="1"/>
  <c r="I415" i="1"/>
  <c r="J415" i="1"/>
  <c r="AN415" i="1"/>
  <c r="AP415" i="1"/>
  <c r="D416" i="1"/>
  <c r="E416" i="1"/>
  <c r="F416" i="1"/>
  <c r="I416" i="1"/>
  <c r="J416" i="1"/>
  <c r="AN416" i="1"/>
  <c r="AP416" i="1"/>
  <c r="D417" i="1"/>
  <c r="E417" i="1"/>
  <c r="F417" i="1"/>
  <c r="I417" i="1"/>
  <c r="J417" i="1"/>
  <c r="AN417" i="1"/>
  <c r="AP417" i="1"/>
  <c r="D418" i="1"/>
  <c r="E418" i="1"/>
  <c r="F418" i="1"/>
  <c r="I418" i="1"/>
  <c r="J418" i="1"/>
  <c r="AL418" i="1"/>
  <c r="AN418" i="1"/>
  <c r="AP418" i="1"/>
  <c r="D419" i="1"/>
  <c r="E419" i="1"/>
  <c r="F419" i="1"/>
  <c r="I419" i="1"/>
  <c r="J419" i="1"/>
  <c r="AN419" i="1"/>
  <c r="AP419" i="1"/>
  <c r="D420" i="1"/>
  <c r="E420" i="1"/>
  <c r="F420" i="1"/>
  <c r="I420" i="1"/>
  <c r="J420" i="1"/>
  <c r="AN420" i="1"/>
  <c r="AP420" i="1"/>
  <c r="D421" i="1"/>
  <c r="F421" i="1"/>
  <c r="I421" i="1"/>
  <c r="AL421" i="1"/>
  <c r="AN421" i="1"/>
  <c r="AP421" i="1"/>
  <c r="AQ421" i="1"/>
  <c r="D422" i="1"/>
  <c r="E422" i="1"/>
  <c r="F422" i="1"/>
  <c r="I422" i="1"/>
  <c r="J422" i="1"/>
  <c r="AN422" i="1"/>
  <c r="AP422" i="1"/>
  <c r="D423" i="1"/>
  <c r="E423" i="1"/>
  <c r="F423" i="1"/>
  <c r="I423" i="1"/>
  <c r="J423" i="1"/>
  <c r="AN423" i="1"/>
  <c r="AP423" i="1"/>
  <c r="D424" i="1"/>
  <c r="E424" i="1"/>
  <c r="F424" i="1"/>
  <c r="I424" i="1"/>
  <c r="J424" i="1"/>
  <c r="AN424" i="1"/>
  <c r="AP424" i="1"/>
  <c r="D425" i="1"/>
  <c r="E425" i="1"/>
  <c r="F425" i="1"/>
  <c r="I425" i="1"/>
  <c r="J425" i="1"/>
  <c r="AN425" i="1"/>
  <c r="AP425" i="1"/>
  <c r="D426" i="1"/>
  <c r="E426" i="1"/>
  <c r="F426" i="1"/>
  <c r="I426" i="1"/>
  <c r="J426" i="1"/>
  <c r="AN426" i="1"/>
  <c r="AP426" i="1"/>
  <c r="D427" i="1"/>
  <c r="E427" i="1"/>
  <c r="F427" i="1"/>
  <c r="I427" i="1"/>
  <c r="J427" i="1"/>
  <c r="AL427" i="1"/>
  <c r="AN427" i="1"/>
  <c r="AP427" i="1"/>
  <c r="D428" i="1"/>
  <c r="E428" i="1"/>
  <c r="F428" i="1"/>
  <c r="I428" i="1"/>
  <c r="J428" i="1"/>
  <c r="AL428" i="1"/>
  <c r="AN428" i="1"/>
  <c r="AP428" i="1"/>
  <c r="D429" i="1"/>
  <c r="E429" i="1"/>
  <c r="F429" i="1"/>
  <c r="I429" i="1"/>
  <c r="J429" i="1"/>
  <c r="AN429" i="1"/>
  <c r="AP429" i="1"/>
  <c r="D430" i="1"/>
  <c r="E430" i="1"/>
  <c r="F430" i="1"/>
  <c r="I430" i="1"/>
  <c r="J430" i="1"/>
  <c r="AN430" i="1"/>
  <c r="AP430" i="1"/>
  <c r="D431" i="1"/>
  <c r="E431" i="1"/>
  <c r="F431" i="1"/>
  <c r="I431" i="1"/>
  <c r="J431" i="1"/>
  <c r="AN431" i="1"/>
  <c r="AP431" i="1"/>
  <c r="D432" i="1"/>
  <c r="E432" i="1"/>
  <c r="F432" i="1"/>
  <c r="I432" i="1"/>
  <c r="J432" i="1"/>
  <c r="AN432" i="1"/>
  <c r="AP432" i="1"/>
  <c r="D433" i="1"/>
  <c r="E433" i="1"/>
  <c r="F433" i="1"/>
  <c r="I433" i="1"/>
  <c r="J433" i="1"/>
  <c r="AN433" i="1"/>
  <c r="AP433" i="1"/>
  <c r="D434" i="1"/>
  <c r="E434" i="1"/>
  <c r="F434" i="1"/>
  <c r="I434" i="1"/>
  <c r="J434" i="1"/>
  <c r="AN434" i="1"/>
  <c r="AP434" i="1"/>
  <c r="D435" i="1"/>
  <c r="E435" i="1"/>
  <c r="F435" i="1"/>
  <c r="I435" i="1"/>
  <c r="J435" i="1"/>
  <c r="AN435" i="1"/>
  <c r="AP435" i="1"/>
  <c r="D436" i="1"/>
  <c r="E436" i="1"/>
  <c r="F436" i="1"/>
  <c r="I436" i="1"/>
  <c r="J436" i="1"/>
  <c r="AN436" i="1"/>
  <c r="AP436" i="1"/>
  <c r="D437" i="1"/>
  <c r="E437" i="1"/>
  <c r="F437" i="1"/>
  <c r="I437" i="1"/>
  <c r="J437" i="1"/>
  <c r="AN437" i="1"/>
  <c r="AP437" i="1"/>
  <c r="D438" i="1"/>
  <c r="E438" i="1"/>
  <c r="F438" i="1"/>
  <c r="I438" i="1"/>
  <c r="J438" i="1"/>
  <c r="AN438" i="1"/>
  <c r="AP438" i="1"/>
  <c r="D439" i="1"/>
  <c r="E439" i="1"/>
  <c r="F439" i="1"/>
  <c r="I439" i="1"/>
  <c r="J439" i="1"/>
  <c r="AN439" i="1"/>
  <c r="AP439" i="1"/>
  <c r="D440" i="1"/>
  <c r="E440" i="1"/>
  <c r="F440" i="1"/>
  <c r="I440" i="1"/>
  <c r="J440" i="1"/>
  <c r="AN440" i="1"/>
  <c r="AP440" i="1"/>
  <c r="D441" i="1"/>
  <c r="E441" i="1"/>
  <c r="F441" i="1"/>
  <c r="I441" i="1"/>
  <c r="J441" i="1"/>
  <c r="AN441" i="1"/>
  <c r="AP441" i="1"/>
  <c r="D442" i="1"/>
  <c r="E442" i="1"/>
  <c r="F442" i="1"/>
  <c r="I442" i="1"/>
  <c r="J442" i="1"/>
  <c r="AN442" i="1"/>
  <c r="AP442" i="1"/>
  <c r="D443" i="1"/>
  <c r="E443" i="1"/>
  <c r="F443" i="1"/>
  <c r="I443" i="1"/>
  <c r="J443" i="1"/>
  <c r="AL443" i="1"/>
  <c r="AN443" i="1"/>
  <c r="AP443" i="1"/>
  <c r="AQ443" i="1"/>
  <c r="D444" i="1"/>
  <c r="E444" i="1"/>
  <c r="F444" i="1"/>
  <c r="I444" i="1"/>
  <c r="J444" i="1"/>
  <c r="AN444" i="1"/>
  <c r="AP444" i="1"/>
  <c r="D445" i="1"/>
  <c r="E445" i="1"/>
  <c r="F445" i="1"/>
  <c r="I445" i="1"/>
  <c r="J445" i="1"/>
  <c r="AN445" i="1"/>
  <c r="AP445" i="1"/>
  <c r="AQ445" i="1"/>
  <c r="D446" i="1"/>
  <c r="E446" i="1"/>
  <c r="F446" i="1"/>
  <c r="I446" i="1"/>
  <c r="J446" i="1"/>
  <c r="AN446" i="1"/>
  <c r="AP446" i="1"/>
  <c r="D447" i="1"/>
  <c r="E447" i="1"/>
  <c r="F447" i="1"/>
  <c r="I447" i="1"/>
  <c r="J447" i="1"/>
  <c r="AN447" i="1"/>
  <c r="AP447" i="1"/>
  <c r="D448" i="1"/>
  <c r="E448" i="1"/>
  <c r="F448" i="1"/>
  <c r="I448" i="1"/>
  <c r="J448" i="1"/>
  <c r="AN448" i="1"/>
  <c r="AP448" i="1"/>
  <c r="D449" i="1"/>
  <c r="E449" i="1"/>
  <c r="F449" i="1"/>
  <c r="I449" i="1"/>
  <c r="J449" i="1"/>
  <c r="AN449" i="1"/>
  <c r="AP449" i="1"/>
  <c r="D450" i="1"/>
  <c r="E450" i="1"/>
  <c r="F450" i="1"/>
  <c r="I450" i="1"/>
  <c r="J450" i="1"/>
  <c r="AN450" i="1"/>
  <c r="AP450" i="1"/>
  <c r="D451" i="1"/>
  <c r="E451" i="1"/>
  <c r="F451" i="1"/>
  <c r="I451" i="1"/>
  <c r="J451" i="1"/>
  <c r="AN451" i="1"/>
  <c r="AP451" i="1"/>
  <c r="D452" i="1"/>
  <c r="E452" i="1"/>
  <c r="F452" i="1"/>
  <c r="I452" i="1"/>
  <c r="J452" i="1"/>
  <c r="AN452" i="1"/>
  <c r="AP452" i="1"/>
  <c r="D453" i="1"/>
  <c r="E453" i="1"/>
  <c r="F453" i="1"/>
  <c r="I453" i="1"/>
  <c r="J453" i="1"/>
  <c r="AN453" i="1"/>
  <c r="AP453" i="1"/>
  <c r="D454" i="1"/>
  <c r="E454" i="1"/>
  <c r="F454" i="1"/>
  <c r="I454" i="1"/>
  <c r="J454" i="1"/>
  <c r="AN454" i="1"/>
  <c r="AP454" i="1"/>
  <c r="D455" i="1"/>
  <c r="E455" i="1"/>
  <c r="F455" i="1"/>
  <c r="I455" i="1"/>
  <c r="J455" i="1"/>
  <c r="AN455" i="1"/>
  <c r="AP455" i="1"/>
  <c r="D456" i="1"/>
  <c r="E456" i="1"/>
  <c r="F456" i="1"/>
  <c r="I456" i="1"/>
  <c r="J456" i="1"/>
  <c r="AN456" i="1"/>
  <c r="AP456" i="1"/>
  <c r="D457" i="1"/>
  <c r="E457" i="1"/>
  <c r="F457" i="1"/>
  <c r="I457" i="1"/>
  <c r="J457" i="1"/>
  <c r="AN457" i="1"/>
  <c r="AP457" i="1"/>
  <c r="D458" i="1"/>
  <c r="E458" i="1"/>
  <c r="F458" i="1"/>
  <c r="I458" i="1"/>
  <c r="J458" i="1"/>
  <c r="AL458" i="1"/>
  <c r="AN458" i="1"/>
  <c r="AP458" i="1"/>
  <c r="D459" i="1"/>
  <c r="E459" i="1"/>
  <c r="F459" i="1"/>
  <c r="I459" i="1"/>
  <c r="J459" i="1"/>
  <c r="AN459" i="1"/>
  <c r="AP459" i="1"/>
  <c r="D460" i="1"/>
  <c r="E460" i="1"/>
  <c r="F460" i="1"/>
  <c r="I460" i="1"/>
  <c r="J460" i="1"/>
  <c r="AN460" i="1"/>
  <c r="AP460" i="1"/>
  <c r="D461" i="1"/>
  <c r="E461" i="1"/>
  <c r="F461" i="1"/>
  <c r="I461" i="1"/>
  <c r="J461" i="1"/>
  <c r="AN461" i="1"/>
  <c r="AP461" i="1"/>
  <c r="D462" i="1"/>
  <c r="E462" i="1"/>
  <c r="F462" i="1"/>
  <c r="I462" i="1"/>
  <c r="J462" i="1"/>
  <c r="AN462" i="1"/>
  <c r="AP462" i="1"/>
  <c r="D463" i="1"/>
  <c r="E463" i="1"/>
  <c r="F463" i="1"/>
  <c r="I463" i="1"/>
  <c r="J463" i="1"/>
  <c r="AN463" i="1"/>
  <c r="AP463" i="1"/>
  <c r="D464" i="1"/>
  <c r="E464" i="1"/>
  <c r="F464" i="1"/>
  <c r="I464" i="1"/>
  <c r="J464" i="1"/>
  <c r="AN464" i="1"/>
  <c r="AP464" i="1"/>
  <c r="D465" i="1"/>
  <c r="E465" i="1"/>
  <c r="F465" i="1"/>
  <c r="I465" i="1"/>
  <c r="J465" i="1"/>
  <c r="AN465" i="1"/>
  <c r="AP465" i="1"/>
  <c r="D466" i="1"/>
  <c r="E466" i="1"/>
  <c r="F466" i="1"/>
  <c r="I466" i="1"/>
  <c r="J466" i="1"/>
  <c r="AN466" i="1"/>
  <c r="AP466" i="1"/>
  <c r="D467" i="1"/>
  <c r="E467" i="1"/>
  <c r="F467" i="1"/>
  <c r="I467" i="1"/>
  <c r="J467" i="1"/>
  <c r="AN467" i="1"/>
  <c r="AP467" i="1"/>
  <c r="D468" i="1"/>
  <c r="E468" i="1"/>
  <c r="F468" i="1"/>
  <c r="I468" i="1"/>
  <c r="J468" i="1"/>
  <c r="AN468" i="1"/>
  <c r="AP468" i="1"/>
  <c r="D469" i="1"/>
  <c r="E469" i="1"/>
  <c r="F469" i="1"/>
  <c r="I469" i="1"/>
  <c r="J469" i="1"/>
  <c r="AN469" i="1"/>
  <c r="AP469" i="1"/>
  <c r="D470" i="1"/>
  <c r="E470" i="1"/>
  <c r="F470" i="1"/>
  <c r="I470" i="1"/>
  <c r="J470" i="1"/>
  <c r="AN470" i="1"/>
  <c r="AP470" i="1"/>
  <c r="D471" i="1"/>
  <c r="E471" i="1"/>
  <c r="F471" i="1"/>
  <c r="I471" i="1"/>
  <c r="J471" i="1"/>
  <c r="AN471" i="1"/>
  <c r="AP471" i="1"/>
  <c r="D472" i="1"/>
  <c r="E472" i="1"/>
  <c r="F472" i="1"/>
  <c r="I472" i="1"/>
  <c r="J472" i="1"/>
  <c r="AN472" i="1"/>
  <c r="AP472" i="1"/>
  <c r="D473" i="1"/>
  <c r="E473" i="1"/>
  <c r="F473" i="1"/>
  <c r="I473" i="1"/>
  <c r="J473" i="1"/>
  <c r="AL473" i="1"/>
  <c r="AN473" i="1"/>
  <c r="AP473" i="1"/>
  <c r="D474" i="1"/>
  <c r="E474" i="1"/>
  <c r="F474" i="1"/>
  <c r="I474" i="1"/>
  <c r="J474" i="1"/>
  <c r="AL474" i="1"/>
  <c r="AN474" i="1"/>
  <c r="AP474" i="1"/>
  <c r="D475" i="1"/>
  <c r="E475" i="1"/>
  <c r="F475" i="1"/>
  <c r="I475" i="1"/>
  <c r="J475" i="1"/>
  <c r="AL475" i="1"/>
  <c r="AN475" i="1"/>
  <c r="AP475" i="1"/>
  <c r="D476" i="1"/>
  <c r="E476" i="1"/>
  <c r="F476" i="1"/>
  <c r="I476" i="1"/>
  <c r="J476" i="1"/>
  <c r="AN476" i="1"/>
  <c r="AP476" i="1"/>
  <c r="D477" i="1"/>
  <c r="E477" i="1"/>
  <c r="F477" i="1"/>
  <c r="I477" i="1"/>
  <c r="J477" i="1"/>
  <c r="AN477" i="1"/>
  <c r="AP477" i="1"/>
  <c r="D478" i="1"/>
  <c r="E478" i="1"/>
  <c r="F478" i="1"/>
  <c r="I478" i="1"/>
  <c r="J478" i="1"/>
  <c r="AN478" i="1"/>
  <c r="AP478" i="1"/>
  <c r="D479" i="1"/>
  <c r="E479" i="1"/>
  <c r="F479" i="1"/>
  <c r="I479" i="1"/>
  <c r="J479" i="1"/>
  <c r="AN479" i="1"/>
  <c r="AP479" i="1"/>
  <c r="D480" i="1"/>
  <c r="E480" i="1"/>
  <c r="F480" i="1"/>
  <c r="I480" i="1"/>
  <c r="J480" i="1"/>
  <c r="AN480" i="1"/>
  <c r="AP480" i="1"/>
  <c r="D481" i="1"/>
  <c r="E481" i="1"/>
  <c r="F481" i="1"/>
  <c r="I481" i="1"/>
  <c r="J481" i="1"/>
  <c r="AN481" i="1"/>
  <c r="AP481" i="1"/>
  <c r="D482" i="1"/>
  <c r="E482" i="1"/>
  <c r="F482" i="1"/>
  <c r="I482" i="1"/>
  <c r="J482" i="1"/>
  <c r="AN482" i="1"/>
  <c r="AP482" i="1"/>
  <c r="D483" i="1"/>
  <c r="E483" i="1"/>
  <c r="F483" i="1"/>
  <c r="I483" i="1"/>
  <c r="J483" i="1"/>
  <c r="AN483" i="1"/>
  <c r="AP483" i="1"/>
  <c r="D484" i="1"/>
  <c r="E484" i="1"/>
  <c r="F484" i="1"/>
  <c r="I484" i="1"/>
  <c r="J484" i="1"/>
  <c r="AN484" i="1"/>
  <c r="AP484" i="1"/>
  <c r="D485" i="1"/>
  <c r="E485" i="1"/>
  <c r="F485" i="1"/>
  <c r="I485" i="1"/>
  <c r="J485" i="1"/>
  <c r="AN485" i="1"/>
  <c r="AP485" i="1"/>
  <c r="D486" i="1"/>
  <c r="E486" i="1"/>
  <c r="F486" i="1"/>
  <c r="I486" i="1"/>
  <c r="J486" i="1"/>
  <c r="AN486" i="1"/>
  <c r="AP486" i="1"/>
  <c r="D487" i="1"/>
  <c r="E487" i="1"/>
  <c r="F487" i="1"/>
  <c r="I487" i="1"/>
  <c r="J487" i="1"/>
  <c r="AN487" i="1"/>
  <c r="AP487" i="1"/>
  <c r="D488" i="1"/>
  <c r="E488" i="1"/>
  <c r="F488" i="1"/>
  <c r="I488" i="1"/>
  <c r="J488" i="1"/>
  <c r="AN488" i="1"/>
  <c r="AP488" i="1"/>
  <c r="D489" i="1"/>
  <c r="E489" i="1"/>
  <c r="F489" i="1"/>
  <c r="I489" i="1"/>
  <c r="J489" i="1"/>
  <c r="AN489" i="1"/>
  <c r="AP489" i="1"/>
  <c r="D490" i="1"/>
  <c r="E490" i="1"/>
  <c r="F490" i="1"/>
  <c r="I490" i="1"/>
  <c r="J490" i="1"/>
  <c r="AN490" i="1"/>
  <c r="AP490" i="1"/>
  <c r="D491" i="1"/>
  <c r="E491" i="1"/>
  <c r="F491" i="1"/>
  <c r="I491" i="1"/>
  <c r="J491" i="1"/>
  <c r="AN491" i="1"/>
  <c r="AP491" i="1"/>
  <c r="D492" i="1"/>
  <c r="E492" i="1"/>
  <c r="F492" i="1"/>
  <c r="I492" i="1"/>
  <c r="J492" i="1"/>
  <c r="AL492" i="1"/>
  <c r="AN492" i="1"/>
  <c r="AP492" i="1"/>
  <c r="AQ492" i="1"/>
  <c r="D493" i="1"/>
  <c r="E493" i="1"/>
  <c r="F493" i="1"/>
  <c r="I493" i="1"/>
  <c r="J493" i="1"/>
  <c r="AN493" i="1"/>
  <c r="AP493" i="1"/>
  <c r="D494" i="1"/>
  <c r="E494" i="1"/>
  <c r="F494" i="1"/>
  <c r="I494" i="1"/>
  <c r="J494" i="1"/>
  <c r="AN494" i="1"/>
  <c r="AP494" i="1"/>
  <c r="D495" i="1"/>
  <c r="E495" i="1"/>
  <c r="F495" i="1"/>
  <c r="I495" i="1"/>
  <c r="J495" i="1"/>
  <c r="AN495" i="1"/>
  <c r="AP495" i="1"/>
  <c r="D496" i="1"/>
  <c r="E496" i="1"/>
  <c r="F496" i="1"/>
  <c r="I496" i="1"/>
  <c r="J496" i="1"/>
  <c r="AN496" i="1"/>
  <c r="AP496" i="1"/>
  <c r="D497" i="1"/>
  <c r="E497" i="1"/>
  <c r="F497" i="1"/>
  <c r="I497" i="1"/>
  <c r="J497" i="1"/>
  <c r="AN497" i="1"/>
  <c r="AP497" i="1"/>
  <c r="D498" i="1"/>
  <c r="E498" i="1"/>
  <c r="F498" i="1"/>
  <c r="I498" i="1"/>
  <c r="J498" i="1"/>
  <c r="AN498" i="1"/>
  <c r="AP498" i="1"/>
  <c r="D499" i="1"/>
  <c r="E499" i="1"/>
  <c r="F499" i="1"/>
  <c r="I499" i="1"/>
  <c r="J499" i="1"/>
  <c r="AN499" i="1"/>
  <c r="AP499" i="1"/>
  <c r="D500" i="1"/>
  <c r="E500" i="1"/>
  <c r="F500" i="1"/>
  <c r="I500" i="1"/>
  <c r="J500" i="1"/>
  <c r="AN500" i="1"/>
  <c r="AP500" i="1"/>
  <c r="D501" i="1"/>
  <c r="E501" i="1"/>
  <c r="F501" i="1"/>
  <c r="I501" i="1"/>
  <c r="J501" i="1"/>
  <c r="AN501" i="1"/>
  <c r="AP501" i="1"/>
  <c r="D502" i="1"/>
  <c r="E502" i="1"/>
  <c r="F502" i="1"/>
  <c r="I502" i="1"/>
  <c r="J502" i="1"/>
  <c r="AN502" i="1"/>
  <c r="AP502" i="1"/>
  <c r="D503" i="1"/>
  <c r="E503" i="1"/>
  <c r="F503" i="1"/>
  <c r="I503" i="1"/>
  <c r="J503" i="1"/>
  <c r="AN503" i="1"/>
  <c r="AP503" i="1"/>
  <c r="D504" i="1"/>
  <c r="E504" i="1"/>
  <c r="F504" i="1"/>
  <c r="I504" i="1"/>
  <c r="J504" i="1"/>
  <c r="AN504" i="1"/>
  <c r="AP504" i="1"/>
  <c r="D505" i="1"/>
  <c r="E505" i="1"/>
  <c r="F505" i="1"/>
  <c r="I505" i="1"/>
  <c r="J505" i="1"/>
  <c r="AN505" i="1"/>
  <c r="AP505" i="1"/>
  <c r="D506" i="1"/>
  <c r="E506" i="1"/>
  <c r="F506" i="1"/>
  <c r="I506" i="1"/>
  <c r="J506" i="1"/>
  <c r="AN506" i="1"/>
  <c r="AP506" i="1"/>
  <c r="D507" i="1"/>
  <c r="E507" i="1"/>
  <c r="F507" i="1"/>
  <c r="I507" i="1"/>
  <c r="J507" i="1"/>
  <c r="AN507" i="1"/>
  <c r="AP507" i="1"/>
  <c r="D508" i="1"/>
  <c r="E508" i="1"/>
  <c r="F508" i="1"/>
  <c r="I508" i="1"/>
  <c r="J508" i="1"/>
  <c r="AN508" i="1"/>
  <c r="AP508" i="1"/>
  <c r="D509" i="1"/>
  <c r="E509" i="1"/>
  <c r="F509" i="1"/>
  <c r="I509" i="1"/>
  <c r="J509" i="1"/>
  <c r="AN509" i="1"/>
  <c r="AP509" i="1"/>
  <c r="D510" i="1"/>
  <c r="E510" i="1"/>
  <c r="F510" i="1"/>
  <c r="I510" i="1"/>
  <c r="J510" i="1"/>
  <c r="AN510" i="1"/>
  <c r="AP510" i="1"/>
  <c r="D511" i="1"/>
  <c r="E511" i="1"/>
  <c r="F511" i="1"/>
  <c r="I511" i="1"/>
  <c r="J511" i="1"/>
  <c r="AN511" i="1"/>
  <c r="AP511" i="1"/>
  <c r="D512" i="1"/>
  <c r="E512" i="1"/>
  <c r="F512" i="1"/>
  <c r="I512" i="1"/>
  <c r="J512" i="1"/>
  <c r="AN512" i="1"/>
  <c r="AP512" i="1"/>
  <c r="D513" i="1"/>
  <c r="E513" i="1"/>
  <c r="F513" i="1"/>
  <c r="I513" i="1"/>
  <c r="J513" i="1"/>
  <c r="AN513" i="1"/>
  <c r="AP513" i="1"/>
  <c r="D514" i="1"/>
  <c r="E514" i="1"/>
  <c r="F514" i="1"/>
  <c r="I514" i="1"/>
  <c r="J514" i="1"/>
  <c r="AN514" i="1"/>
  <c r="AP514" i="1"/>
  <c r="D515" i="1"/>
  <c r="E515" i="1"/>
  <c r="F515" i="1"/>
  <c r="I515" i="1"/>
  <c r="J515" i="1"/>
  <c r="AN515" i="1"/>
  <c r="AP515" i="1"/>
  <c r="D516" i="1"/>
  <c r="E516" i="1"/>
  <c r="F516" i="1"/>
  <c r="I516" i="1"/>
  <c r="J516" i="1"/>
  <c r="AN516" i="1"/>
  <c r="AP516" i="1"/>
  <c r="D517" i="1"/>
  <c r="E517" i="1"/>
  <c r="F517" i="1"/>
  <c r="I517" i="1"/>
  <c r="J517" i="1"/>
  <c r="AN517" i="1"/>
  <c r="AP517" i="1"/>
  <c r="D518" i="1"/>
  <c r="E518" i="1"/>
  <c r="F518" i="1"/>
  <c r="I518" i="1"/>
  <c r="J518" i="1"/>
  <c r="AN518" i="1"/>
  <c r="AP518" i="1"/>
  <c r="D519" i="1"/>
  <c r="E519" i="1"/>
  <c r="F519" i="1"/>
  <c r="I519" i="1"/>
  <c r="J519" i="1"/>
  <c r="AN519" i="1"/>
  <c r="AP519" i="1"/>
  <c r="D520" i="1"/>
  <c r="E520" i="1"/>
  <c r="F520" i="1"/>
  <c r="I520" i="1"/>
  <c r="J520" i="1"/>
  <c r="AN520" i="1"/>
  <c r="AP520" i="1"/>
  <c r="D521" i="1"/>
  <c r="E521" i="1"/>
  <c r="F521" i="1"/>
  <c r="I521" i="1"/>
  <c r="J521" i="1"/>
  <c r="AL521" i="1"/>
  <c r="AN521" i="1"/>
  <c r="AP521" i="1"/>
  <c r="AQ521" i="1"/>
  <c r="D522" i="1"/>
  <c r="E522" i="1"/>
  <c r="F522" i="1"/>
  <c r="I522" i="1"/>
  <c r="J522" i="1"/>
  <c r="AN522" i="1"/>
  <c r="AP522" i="1"/>
  <c r="D523" i="1"/>
  <c r="E523" i="1"/>
  <c r="F523" i="1"/>
  <c r="I523" i="1"/>
  <c r="J523" i="1"/>
  <c r="AN523" i="1"/>
  <c r="AP523" i="1"/>
  <c r="D524" i="1"/>
  <c r="E524" i="1"/>
  <c r="F524" i="1"/>
  <c r="I524" i="1"/>
  <c r="J524" i="1"/>
  <c r="AN524" i="1"/>
  <c r="AP524" i="1"/>
  <c r="D525" i="1"/>
  <c r="E525" i="1"/>
  <c r="F525" i="1"/>
  <c r="I525" i="1"/>
  <c r="J525" i="1"/>
  <c r="AN525" i="1"/>
  <c r="AP525" i="1"/>
  <c r="D526" i="1"/>
  <c r="E526" i="1"/>
  <c r="F526" i="1"/>
  <c r="I526" i="1"/>
  <c r="J526" i="1"/>
  <c r="AN526" i="1"/>
  <c r="AP526" i="1"/>
  <c r="D527" i="1"/>
  <c r="E527" i="1"/>
  <c r="F527" i="1"/>
  <c r="I527" i="1"/>
  <c r="J527" i="1"/>
  <c r="AN527" i="1"/>
  <c r="AP527" i="1"/>
  <c r="D528" i="1"/>
  <c r="E528" i="1"/>
  <c r="F528" i="1"/>
  <c r="I528" i="1"/>
  <c r="J528" i="1"/>
  <c r="AN528" i="1"/>
  <c r="AP528" i="1"/>
  <c r="D529" i="1"/>
  <c r="E529" i="1"/>
  <c r="F529" i="1"/>
  <c r="I529" i="1"/>
  <c r="J529" i="1"/>
  <c r="AN529" i="1"/>
  <c r="AP529" i="1"/>
  <c r="D530" i="1"/>
  <c r="E530" i="1"/>
  <c r="F530" i="1"/>
  <c r="I530" i="1"/>
  <c r="J530" i="1"/>
  <c r="AN530" i="1"/>
  <c r="AP530" i="1"/>
  <c r="AQ530" i="1"/>
  <c r="D531" i="1"/>
  <c r="E531" i="1"/>
  <c r="F531" i="1"/>
  <c r="I531" i="1"/>
  <c r="J531" i="1"/>
  <c r="AN531" i="1"/>
  <c r="AP531" i="1"/>
  <c r="D532" i="1"/>
  <c r="E532" i="1"/>
  <c r="F532" i="1"/>
  <c r="I532" i="1"/>
  <c r="J532" i="1"/>
  <c r="AN532" i="1"/>
  <c r="AP532" i="1"/>
  <c r="AQ532" i="1"/>
  <c r="D533" i="1"/>
  <c r="E533" i="1"/>
  <c r="F533" i="1"/>
  <c r="I533" i="1"/>
  <c r="J533" i="1"/>
  <c r="AN533" i="1"/>
  <c r="AP533" i="1"/>
  <c r="AQ533" i="1"/>
  <c r="D534" i="1"/>
  <c r="E534" i="1"/>
  <c r="F534" i="1"/>
  <c r="I534" i="1"/>
  <c r="J534" i="1"/>
  <c r="AN534" i="1"/>
  <c r="AP534" i="1"/>
  <c r="AQ534" i="1"/>
  <c r="D535" i="1"/>
  <c r="E535" i="1"/>
  <c r="F535" i="1"/>
  <c r="I535" i="1"/>
  <c r="J535" i="1"/>
  <c r="AN535" i="1"/>
  <c r="AP535" i="1"/>
  <c r="AQ535" i="1"/>
  <c r="D536" i="1"/>
  <c r="E536" i="1"/>
  <c r="F536" i="1"/>
  <c r="I536" i="1"/>
  <c r="J536" i="1"/>
  <c r="AN536" i="1"/>
  <c r="AP536" i="1"/>
  <c r="AQ536" i="1"/>
  <c r="D537" i="1"/>
  <c r="E537" i="1"/>
  <c r="F537" i="1"/>
  <c r="I537" i="1"/>
  <c r="J537" i="1"/>
  <c r="AN537" i="1"/>
  <c r="AP537" i="1"/>
  <c r="AQ537" i="1"/>
  <c r="D538" i="1"/>
  <c r="E538" i="1"/>
  <c r="F538" i="1"/>
  <c r="I538" i="1"/>
  <c r="J538" i="1"/>
  <c r="AN538" i="1"/>
  <c r="AP538" i="1"/>
  <c r="AQ538" i="1"/>
  <c r="D539" i="1"/>
  <c r="E539" i="1"/>
  <c r="F539" i="1"/>
  <c r="I539" i="1"/>
  <c r="J539" i="1"/>
  <c r="AN539" i="1"/>
  <c r="AP539" i="1"/>
  <c r="AQ539" i="1"/>
  <c r="D540" i="1"/>
  <c r="E540" i="1"/>
  <c r="F540" i="1"/>
  <c r="I540" i="1"/>
  <c r="J540" i="1"/>
  <c r="AN540" i="1"/>
  <c r="AP540" i="1"/>
  <c r="D541" i="1"/>
  <c r="F541" i="1"/>
  <c r="I541" i="1"/>
  <c r="AN541" i="1"/>
  <c r="AP541" i="1"/>
  <c r="D542" i="1"/>
  <c r="E542" i="1"/>
  <c r="F542" i="1"/>
  <c r="I542" i="1"/>
  <c r="J542" i="1"/>
  <c r="AN542" i="1"/>
  <c r="AP542" i="1"/>
  <c r="D543" i="1"/>
  <c r="E543" i="1"/>
  <c r="F543" i="1"/>
  <c r="I543" i="1"/>
  <c r="J543" i="1"/>
  <c r="AN543" i="1"/>
  <c r="AP543" i="1"/>
  <c r="D544" i="1"/>
  <c r="E544" i="1"/>
  <c r="F544" i="1"/>
  <c r="I544" i="1"/>
  <c r="J544" i="1"/>
  <c r="AN544" i="1"/>
  <c r="AP544" i="1"/>
  <c r="D545" i="1"/>
  <c r="E545" i="1"/>
  <c r="F545" i="1"/>
  <c r="I545" i="1"/>
  <c r="J545" i="1"/>
  <c r="AN545" i="1"/>
  <c r="AP545" i="1"/>
  <c r="D546" i="1"/>
  <c r="E546" i="1"/>
  <c r="F546" i="1"/>
  <c r="I546" i="1"/>
  <c r="J546" i="1"/>
  <c r="AN546" i="1"/>
  <c r="AP546" i="1"/>
  <c r="D547" i="1"/>
  <c r="E547" i="1"/>
  <c r="F547" i="1"/>
  <c r="I547" i="1"/>
  <c r="J547" i="1"/>
  <c r="AN547" i="1"/>
  <c r="AP547" i="1"/>
  <c r="D548" i="1"/>
  <c r="E548" i="1"/>
  <c r="F548" i="1"/>
  <c r="I548" i="1"/>
  <c r="J548" i="1"/>
  <c r="AN548" i="1"/>
  <c r="AP548" i="1"/>
  <c r="D549" i="1"/>
  <c r="E549" i="1"/>
  <c r="F549" i="1"/>
  <c r="I549" i="1"/>
  <c r="J549" i="1"/>
  <c r="AN549" i="1"/>
  <c r="AP549" i="1"/>
  <c r="D550" i="1"/>
  <c r="E550" i="1"/>
  <c r="F550" i="1"/>
  <c r="I550" i="1"/>
  <c r="J550" i="1"/>
  <c r="AN550" i="1"/>
  <c r="AP550" i="1"/>
  <c r="D551" i="1"/>
  <c r="E551" i="1"/>
  <c r="F551" i="1"/>
  <c r="I551" i="1"/>
  <c r="J551" i="1"/>
  <c r="AN551" i="1"/>
  <c r="AP551" i="1"/>
  <c r="D552" i="1"/>
  <c r="E552" i="1"/>
  <c r="F552" i="1"/>
  <c r="I552" i="1"/>
  <c r="J552" i="1"/>
  <c r="AN552" i="1"/>
  <c r="AP552" i="1"/>
  <c r="D553" i="1"/>
  <c r="E553" i="1"/>
  <c r="F553" i="1"/>
  <c r="I553" i="1"/>
  <c r="J553" i="1"/>
  <c r="AN553" i="1"/>
  <c r="AP553" i="1"/>
  <c r="D554" i="1"/>
  <c r="E554" i="1"/>
  <c r="F554" i="1"/>
  <c r="I554" i="1"/>
  <c r="J554" i="1"/>
  <c r="AN554" i="1"/>
  <c r="AP554" i="1"/>
  <c r="D555" i="1"/>
  <c r="E555" i="1"/>
  <c r="F555" i="1"/>
  <c r="I555" i="1"/>
  <c r="J555" i="1"/>
  <c r="AN555" i="1"/>
  <c r="AP555" i="1"/>
  <c r="D556" i="1"/>
  <c r="E556" i="1"/>
  <c r="F556" i="1"/>
  <c r="I556" i="1"/>
  <c r="J556" i="1"/>
  <c r="AN556" i="1"/>
  <c r="AP556" i="1"/>
  <c r="D557" i="1"/>
  <c r="E557" i="1"/>
  <c r="F557" i="1"/>
  <c r="I557" i="1"/>
  <c r="J557" i="1"/>
  <c r="AN557" i="1"/>
  <c r="AP557" i="1"/>
  <c r="D558" i="1"/>
  <c r="E558" i="1"/>
  <c r="F558" i="1"/>
  <c r="I558" i="1"/>
  <c r="J558" i="1"/>
  <c r="AN558" i="1"/>
  <c r="AP558" i="1"/>
  <c r="D559" i="1"/>
  <c r="E559" i="1"/>
  <c r="F559" i="1"/>
  <c r="I559" i="1"/>
  <c r="J559" i="1"/>
  <c r="AN559" i="1"/>
  <c r="AP559" i="1"/>
  <c r="D560" i="1"/>
  <c r="E560" i="1"/>
  <c r="F560" i="1"/>
  <c r="I560" i="1"/>
  <c r="J560" i="1"/>
  <c r="AN560" i="1"/>
  <c r="AP560" i="1"/>
  <c r="D561" i="1"/>
  <c r="E561" i="1"/>
  <c r="F561" i="1"/>
  <c r="I561" i="1"/>
  <c r="J561" i="1"/>
  <c r="AN561" i="1"/>
  <c r="AP561" i="1"/>
  <c r="D562" i="1"/>
  <c r="E562" i="1"/>
  <c r="F562" i="1"/>
  <c r="I562" i="1"/>
  <c r="J562" i="1"/>
  <c r="AN562" i="1"/>
  <c r="AP562" i="1"/>
  <c r="D563" i="1"/>
  <c r="E563" i="1"/>
  <c r="F563" i="1"/>
  <c r="I563" i="1"/>
  <c r="J563" i="1"/>
  <c r="AN563" i="1"/>
  <c r="AP563" i="1"/>
  <c r="D564" i="1"/>
  <c r="E564" i="1"/>
  <c r="F564" i="1"/>
  <c r="I564" i="1"/>
  <c r="J564" i="1"/>
  <c r="AN564" i="1"/>
  <c r="AP564" i="1"/>
  <c r="D565" i="1"/>
  <c r="E565" i="1"/>
  <c r="F565" i="1"/>
  <c r="I565" i="1"/>
  <c r="J565" i="1"/>
  <c r="AN565" i="1"/>
  <c r="AP565" i="1"/>
  <c r="D566" i="1"/>
  <c r="E566" i="1"/>
  <c r="F566" i="1"/>
  <c r="I566" i="1"/>
  <c r="J566" i="1"/>
  <c r="AN566" i="1"/>
  <c r="AP566" i="1"/>
  <c r="D567" i="1"/>
  <c r="E567" i="1"/>
  <c r="F567" i="1"/>
  <c r="I567" i="1"/>
  <c r="J567" i="1"/>
  <c r="AN567" i="1"/>
  <c r="AP567" i="1"/>
  <c r="D568" i="1"/>
  <c r="E568" i="1"/>
  <c r="F568" i="1"/>
  <c r="I568" i="1"/>
  <c r="J568" i="1"/>
  <c r="AN568" i="1"/>
  <c r="AP568" i="1"/>
  <c r="D569" i="1"/>
  <c r="E569" i="1"/>
  <c r="F569" i="1"/>
  <c r="I569" i="1"/>
  <c r="J569" i="1"/>
  <c r="AN569" i="1"/>
  <c r="AP569" i="1"/>
  <c r="D570" i="1"/>
  <c r="E570" i="1"/>
  <c r="F570" i="1"/>
  <c r="I570" i="1"/>
  <c r="J570" i="1"/>
  <c r="AN570" i="1"/>
  <c r="AP570" i="1"/>
  <c r="D571" i="1"/>
  <c r="E571" i="1"/>
  <c r="F571" i="1"/>
  <c r="I571" i="1"/>
  <c r="J571" i="1"/>
  <c r="AN571" i="1"/>
  <c r="AP571" i="1"/>
  <c r="D572" i="1"/>
  <c r="E572" i="1"/>
  <c r="F572" i="1"/>
  <c r="I572" i="1"/>
  <c r="J572" i="1"/>
  <c r="AN572" i="1"/>
  <c r="AP572" i="1"/>
  <c r="D573" i="1"/>
  <c r="E573" i="1"/>
  <c r="F573" i="1"/>
  <c r="I573" i="1"/>
  <c r="J573" i="1"/>
  <c r="AN573" i="1"/>
  <c r="AP573" i="1"/>
  <c r="D574" i="1"/>
  <c r="E574" i="1"/>
  <c r="F574" i="1"/>
  <c r="I574" i="1"/>
  <c r="J574" i="1"/>
  <c r="AN574" i="1"/>
  <c r="AP574" i="1"/>
  <c r="D575" i="1"/>
  <c r="E575" i="1"/>
  <c r="F575" i="1"/>
  <c r="I575" i="1"/>
  <c r="J575" i="1"/>
  <c r="AN575" i="1"/>
  <c r="AP575" i="1"/>
  <c r="D576" i="1"/>
  <c r="E576" i="1"/>
  <c r="F576" i="1"/>
  <c r="I576" i="1"/>
  <c r="J576" i="1"/>
  <c r="AN576" i="1"/>
  <c r="AP576" i="1"/>
  <c r="D577" i="1"/>
  <c r="E577" i="1"/>
  <c r="F577" i="1"/>
  <c r="I577" i="1"/>
  <c r="J577" i="1"/>
  <c r="AN577" i="1"/>
  <c r="AP577" i="1"/>
  <c r="D578" i="1"/>
  <c r="E578" i="1"/>
  <c r="F578" i="1"/>
  <c r="I578" i="1"/>
  <c r="J578" i="1"/>
  <c r="AN578" i="1"/>
  <c r="AP578" i="1"/>
  <c r="D579" i="1"/>
  <c r="E579" i="1"/>
  <c r="F579" i="1"/>
  <c r="I579" i="1"/>
  <c r="J579" i="1"/>
  <c r="AN579" i="1"/>
  <c r="AP579" i="1"/>
  <c r="D580" i="1"/>
  <c r="E580" i="1"/>
  <c r="F580" i="1"/>
  <c r="I580" i="1"/>
  <c r="J580" i="1"/>
  <c r="AN580" i="1"/>
  <c r="AP580" i="1"/>
  <c r="D581" i="1"/>
  <c r="E581" i="1"/>
  <c r="F581" i="1"/>
  <c r="I581" i="1"/>
  <c r="J581" i="1"/>
  <c r="AN581" i="1"/>
  <c r="AP581" i="1"/>
  <c r="D582" i="1"/>
  <c r="E582" i="1"/>
  <c r="F582" i="1"/>
  <c r="I582" i="1"/>
  <c r="J582" i="1"/>
  <c r="AN582" i="1"/>
  <c r="AP582" i="1"/>
  <c r="D583" i="1"/>
  <c r="E583" i="1"/>
  <c r="F583" i="1"/>
  <c r="I583" i="1"/>
  <c r="J583" i="1"/>
  <c r="AN583" i="1"/>
  <c r="AP583" i="1"/>
  <c r="D584" i="1"/>
  <c r="E584" i="1"/>
  <c r="F584" i="1"/>
  <c r="I584" i="1"/>
  <c r="J584" i="1"/>
  <c r="AN584" i="1"/>
  <c r="AP584" i="1"/>
  <c r="D585" i="1"/>
  <c r="E585" i="1"/>
  <c r="F585" i="1"/>
  <c r="I585" i="1"/>
  <c r="J585" i="1"/>
  <c r="AN585" i="1"/>
  <c r="AP585" i="1"/>
  <c r="D586" i="1"/>
  <c r="E586" i="1"/>
  <c r="F586" i="1"/>
  <c r="I586" i="1"/>
  <c r="J586" i="1"/>
  <c r="AN586" i="1"/>
  <c r="AP586" i="1"/>
  <c r="D587" i="1"/>
  <c r="E587" i="1"/>
  <c r="F587" i="1"/>
  <c r="I587" i="1"/>
  <c r="J587" i="1"/>
  <c r="AN587" i="1"/>
  <c r="AP587" i="1"/>
  <c r="D588" i="1"/>
  <c r="E588" i="1"/>
  <c r="F588" i="1"/>
  <c r="I588" i="1"/>
  <c r="J588" i="1"/>
  <c r="AN588" i="1"/>
  <c r="AP588" i="1"/>
  <c r="D589" i="1"/>
  <c r="E589" i="1"/>
  <c r="F589" i="1"/>
  <c r="I589" i="1"/>
  <c r="J589" i="1"/>
  <c r="AN589" i="1"/>
  <c r="AP589" i="1"/>
  <c r="D590" i="1"/>
  <c r="E590" i="1"/>
  <c r="F590" i="1"/>
  <c r="I590" i="1"/>
  <c r="J590" i="1"/>
  <c r="AN590" i="1"/>
  <c r="AP590" i="1"/>
  <c r="D591" i="1"/>
  <c r="E591" i="1"/>
  <c r="F591" i="1"/>
  <c r="I591" i="1"/>
  <c r="J591" i="1"/>
  <c r="AN591" i="1"/>
  <c r="AP591" i="1"/>
  <c r="D592" i="1"/>
  <c r="E592" i="1"/>
  <c r="F592" i="1"/>
  <c r="I592" i="1"/>
  <c r="J592" i="1"/>
  <c r="AN592" i="1"/>
  <c r="AP592" i="1"/>
  <c r="D593" i="1"/>
  <c r="E593" i="1"/>
  <c r="F593" i="1"/>
  <c r="I593" i="1"/>
  <c r="J593" i="1"/>
  <c r="AN593" i="1"/>
  <c r="AP593" i="1"/>
  <c r="D594" i="1"/>
  <c r="E594" i="1"/>
  <c r="F594" i="1"/>
  <c r="I594" i="1"/>
  <c r="J594" i="1"/>
  <c r="AN594" i="1"/>
  <c r="AP594" i="1"/>
  <c r="D595" i="1"/>
  <c r="E595" i="1"/>
  <c r="F595" i="1"/>
  <c r="I595" i="1"/>
  <c r="J595" i="1"/>
  <c r="AN595" i="1"/>
  <c r="AP595" i="1"/>
  <c r="D596" i="1"/>
  <c r="E596" i="1"/>
  <c r="F596" i="1"/>
  <c r="I596" i="1"/>
  <c r="J596" i="1"/>
  <c r="AN596" i="1"/>
  <c r="AP596" i="1"/>
  <c r="D597" i="1"/>
  <c r="E597" i="1"/>
  <c r="F597" i="1"/>
  <c r="I597" i="1"/>
  <c r="J597" i="1"/>
  <c r="AN597" i="1"/>
  <c r="AP597" i="1"/>
  <c r="D598" i="1"/>
  <c r="E598" i="1"/>
  <c r="F598" i="1"/>
  <c r="I598" i="1"/>
  <c r="J598" i="1"/>
  <c r="AN598" i="1"/>
  <c r="AP598" i="1"/>
  <c r="D599" i="1"/>
  <c r="E599" i="1"/>
  <c r="F599" i="1"/>
  <c r="I599" i="1"/>
  <c r="J599" i="1"/>
  <c r="AN599" i="1"/>
  <c r="AP599" i="1"/>
  <c r="D600" i="1"/>
  <c r="E600" i="1"/>
  <c r="F600" i="1"/>
  <c r="I600" i="1"/>
  <c r="J600" i="1"/>
  <c r="AN600" i="1"/>
  <c r="AP600" i="1"/>
  <c r="D601" i="1"/>
  <c r="E601" i="1"/>
  <c r="F601" i="1"/>
  <c r="I601" i="1"/>
  <c r="J601" i="1"/>
  <c r="AL601" i="1"/>
  <c r="AN601" i="1"/>
  <c r="AP601" i="1"/>
  <c r="D602" i="1"/>
  <c r="E602" i="1"/>
  <c r="F602" i="1"/>
  <c r="I602" i="1"/>
  <c r="J602" i="1"/>
  <c r="AN602" i="1"/>
  <c r="AP602" i="1"/>
  <c r="D603" i="1"/>
  <c r="E603" i="1"/>
  <c r="F603" i="1"/>
  <c r="I603" i="1"/>
  <c r="J603" i="1"/>
  <c r="AN603" i="1"/>
  <c r="AP603" i="1"/>
  <c r="D604" i="1"/>
  <c r="E604" i="1"/>
  <c r="F604" i="1"/>
  <c r="I604" i="1"/>
  <c r="J604" i="1"/>
  <c r="AN604" i="1"/>
  <c r="AP604" i="1"/>
  <c r="D605" i="1"/>
  <c r="E605" i="1"/>
  <c r="F605" i="1"/>
  <c r="I605" i="1"/>
  <c r="J605" i="1"/>
  <c r="AN605" i="1"/>
  <c r="AP605" i="1"/>
  <c r="D606" i="1"/>
  <c r="E606" i="1"/>
  <c r="F606" i="1"/>
  <c r="I606" i="1"/>
  <c r="J606" i="1"/>
  <c r="AN606" i="1"/>
  <c r="AP606" i="1"/>
  <c r="D607" i="1"/>
  <c r="E607" i="1"/>
  <c r="F607" i="1"/>
  <c r="I607" i="1"/>
  <c r="J607" i="1"/>
  <c r="AN607" i="1"/>
  <c r="AP607" i="1"/>
  <c r="D608" i="1"/>
  <c r="E608" i="1"/>
  <c r="F608" i="1"/>
  <c r="I608" i="1"/>
  <c r="J608" i="1"/>
  <c r="AN608" i="1"/>
  <c r="AP608" i="1"/>
  <c r="D609" i="1"/>
  <c r="E609" i="1"/>
  <c r="F609" i="1"/>
  <c r="I609" i="1"/>
  <c r="J609" i="1"/>
  <c r="AN609" i="1"/>
  <c r="AP609" i="1"/>
  <c r="D610" i="1"/>
  <c r="E610" i="1"/>
  <c r="F610" i="1"/>
  <c r="I610" i="1"/>
  <c r="J610" i="1"/>
  <c r="AN610" i="1"/>
  <c r="AP610" i="1"/>
  <c r="D611" i="1"/>
  <c r="E611" i="1"/>
  <c r="F611" i="1"/>
  <c r="I611" i="1"/>
  <c r="J611" i="1"/>
  <c r="AN611" i="1"/>
  <c r="AP611" i="1"/>
  <c r="D612" i="1"/>
  <c r="E612" i="1"/>
  <c r="F612" i="1"/>
  <c r="I612" i="1"/>
  <c r="J612" i="1"/>
  <c r="AN612" i="1"/>
  <c r="AP612" i="1"/>
  <c r="D613" i="1"/>
  <c r="E613" i="1"/>
  <c r="F613" i="1"/>
  <c r="I613" i="1"/>
  <c r="J613" i="1"/>
  <c r="AN613" i="1"/>
  <c r="AP613" i="1"/>
  <c r="D614" i="1"/>
  <c r="E614" i="1"/>
  <c r="F614" i="1"/>
  <c r="I614" i="1"/>
  <c r="J614" i="1"/>
  <c r="AL614" i="1"/>
  <c r="AN614" i="1"/>
  <c r="AP614" i="1"/>
  <c r="D615" i="1"/>
  <c r="E615" i="1"/>
  <c r="F615" i="1"/>
  <c r="I615" i="1"/>
  <c r="J615" i="1"/>
  <c r="AN615" i="1"/>
  <c r="AP615" i="1"/>
  <c r="D616" i="1"/>
  <c r="E616" i="1"/>
  <c r="F616" i="1"/>
  <c r="I616" i="1"/>
  <c r="J616" i="1"/>
  <c r="AN616" i="1"/>
  <c r="AP616" i="1"/>
  <c r="D617" i="1"/>
  <c r="F617" i="1"/>
  <c r="I617" i="1"/>
  <c r="AN617" i="1"/>
  <c r="AP617" i="1"/>
  <c r="AQ617" i="1"/>
  <c r="D618" i="1"/>
  <c r="E618" i="1"/>
  <c r="F618" i="1"/>
  <c r="I618" i="1"/>
  <c r="J618" i="1"/>
  <c r="AN618" i="1"/>
  <c r="AP618" i="1"/>
  <c r="D619" i="1"/>
  <c r="E619" i="1"/>
  <c r="F619" i="1"/>
  <c r="I619" i="1"/>
  <c r="J619" i="1"/>
  <c r="AN619" i="1"/>
  <c r="AP619" i="1"/>
  <c r="D620" i="1"/>
  <c r="E620" i="1"/>
  <c r="F620" i="1"/>
  <c r="I620" i="1"/>
  <c r="J620" i="1"/>
  <c r="AN620" i="1"/>
  <c r="AP620" i="1"/>
  <c r="D621" i="1"/>
  <c r="F621" i="1"/>
  <c r="I621" i="1"/>
  <c r="AL621" i="1"/>
  <c r="AN621" i="1"/>
  <c r="AP621" i="1"/>
  <c r="D622" i="1"/>
  <c r="E622" i="1"/>
  <c r="F622" i="1"/>
  <c r="I622" i="1"/>
  <c r="J622" i="1"/>
  <c r="AN622" i="1"/>
  <c r="AP622" i="1"/>
  <c r="D623" i="1"/>
  <c r="E623" i="1"/>
  <c r="F623" i="1"/>
  <c r="I623" i="1"/>
  <c r="J623" i="1"/>
  <c r="AN623" i="1"/>
  <c r="AP623" i="1"/>
  <c r="D624" i="1"/>
  <c r="E624" i="1"/>
  <c r="F624" i="1"/>
  <c r="I624" i="1"/>
  <c r="J624" i="1"/>
  <c r="AN624" i="1"/>
  <c r="AP624" i="1"/>
  <c r="D625" i="1"/>
  <c r="E625" i="1"/>
  <c r="F625" i="1"/>
  <c r="I625" i="1"/>
  <c r="J625" i="1"/>
  <c r="AN625" i="1"/>
  <c r="AP625" i="1"/>
  <c r="D626" i="1"/>
  <c r="E626" i="1"/>
  <c r="F626" i="1"/>
  <c r="I626" i="1"/>
  <c r="J626" i="1"/>
  <c r="AN626" i="1"/>
  <c r="AP626" i="1"/>
  <c r="D627" i="1"/>
  <c r="E627" i="1"/>
  <c r="F627" i="1"/>
  <c r="I627" i="1"/>
  <c r="J627" i="1"/>
  <c r="AN627" i="1"/>
  <c r="AP627" i="1"/>
  <c r="D628" i="1"/>
  <c r="E628" i="1"/>
  <c r="F628" i="1"/>
  <c r="I628" i="1"/>
  <c r="J628" i="1"/>
  <c r="AN628" i="1"/>
  <c r="AP628" i="1"/>
  <c r="D629" i="1"/>
  <c r="E629" i="1"/>
  <c r="F629" i="1"/>
  <c r="I629" i="1"/>
  <c r="J629" i="1"/>
  <c r="AN629" i="1"/>
  <c r="AP629" i="1"/>
  <c r="D630" i="1"/>
  <c r="E630" i="1"/>
  <c r="F630" i="1"/>
  <c r="I630" i="1"/>
  <c r="J630" i="1"/>
  <c r="AN630" i="1"/>
  <c r="AP630" i="1"/>
  <c r="D631" i="1"/>
  <c r="E631" i="1"/>
  <c r="F631" i="1"/>
  <c r="I631" i="1"/>
  <c r="J631" i="1"/>
  <c r="AN631" i="1"/>
  <c r="AP631" i="1"/>
  <c r="D632" i="1"/>
  <c r="E632" i="1"/>
  <c r="F632" i="1"/>
  <c r="I632" i="1"/>
  <c r="J632" i="1"/>
  <c r="AN632" i="1"/>
  <c r="AP632" i="1"/>
  <c r="D633" i="1"/>
  <c r="E633" i="1"/>
  <c r="F633" i="1"/>
  <c r="I633" i="1"/>
  <c r="J633" i="1"/>
  <c r="AN633" i="1"/>
  <c r="AP633" i="1"/>
  <c r="D634" i="1"/>
  <c r="E634" i="1"/>
  <c r="F634" i="1"/>
  <c r="I634" i="1"/>
  <c r="J634" i="1"/>
  <c r="AN634" i="1"/>
  <c r="AP634" i="1"/>
  <c r="D635" i="1"/>
  <c r="E635" i="1"/>
  <c r="F635" i="1"/>
  <c r="I635" i="1"/>
  <c r="J635" i="1"/>
  <c r="AN635" i="1"/>
  <c r="AP635" i="1"/>
  <c r="D636" i="1"/>
  <c r="E636" i="1"/>
  <c r="F636" i="1"/>
  <c r="I636" i="1"/>
  <c r="J636" i="1"/>
  <c r="AN636" i="1"/>
  <c r="AP636" i="1"/>
  <c r="D637" i="1"/>
  <c r="E637" i="1"/>
  <c r="F637" i="1"/>
  <c r="I637" i="1"/>
  <c r="J637" i="1"/>
  <c r="AN637" i="1"/>
  <c r="AP637" i="1"/>
  <c r="D638" i="1"/>
  <c r="E638" i="1"/>
  <c r="F638" i="1"/>
  <c r="I638" i="1"/>
  <c r="J638" i="1"/>
  <c r="AN638" i="1"/>
  <c r="AP638" i="1"/>
  <c r="D639" i="1"/>
  <c r="E639" i="1"/>
  <c r="F639" i="1"/>
  <c r="I639" i="1"/>
  <c r="J639" i="1"/>
  <c r="AN639" i="1"/>
  <c r="AP639" i="1"/>
  <c r="D640" i="1"/>
  <c r="E640" i="1"/>
  <c r="F640" i="1"/>
  <c r="I640" i="1"/>
  <c r="J640" i="1"/>
  <c r="AN640" i="1"/>
  <c r="AP640" i="1"/>
  <c r="D641" i="1"/>
  <c r="E641" i="1"/>
  <c r="F641" i="1"/>
  <c r="I641" i="1"/>
  <c r="J641" i="1"/>
  <c r="AN641" i="1"/>
  <c r="AP641" i="1"/>
  <c r="D642" i="1"/>
  <c r="E642" i="1"/>
  <c r="F642" i="1"/>
  <c r="I642" i="1"/>
  <c r="J642" i="1"/>
  <c r="AN642" i="1"/>
  <c r="AP642" i="1"/>
  <c r="D643" i="1"/>
  <c r="E643" i="1"/>
  <c r="F643" i="1"/>
  <c r="I643" i="1"/>
  <c r="J643" i="1"/>
  <c r="AN643" i="1"/>
  <c r="AP643" i="1"/>
  <c r="D644" i="1"/>
  <c r="E644" i="1"/>
  <c r="F644" i="1"/>
  <c r="I644" i="1"/>
  <c r="J644" i="1"/>
  <c r="AN644" i="1"/>
  <c r="AP644" i="1"/>
  <c r="D645" i="1"/>
  <c r="E645" i="1"/>
  <c r="F645" i="1"/>
  <c r="I645" i="1"/>
  <c r="J645" i="1"/>
  <c r="AN645" i="1"/>
  <c r="AP645" i="1"/>
  <c r="D646" i="1"/>
  <c r="E646" i="1"/>
  <c r="F646" i="1"/>
  <c r="I646" i="1"/>
  <c r="J646" i="1"/>
  <c r="AN646" i="1"/>
  <c r="AP646" i="1"/>
  <c r="D647" i="1"/>
  <c r="E647" i="1"/>
  <c r="F647" i="1"/>
  <c r="I647" i="1"/>
  <c r="J647" i="1"/>
  <c r="AN647" i="1"/>
  <c r="AP647" i="1"/>
  <c r="D648" i="1"/>
  <c r="E648" i="1"/>
  <c r="F648" i="1"/>
  <c r="I648" i="1"/>
  <c r="J648" i="1"/>
  <c r="AN648" i="1"/>
  <c r="AP648" i="1"/>
  <c r="D649" i="1"/>
  <c r="E649" i="1"/>
  <c r="F649" i="1"/>
  <c r="I649" i="1"/>
  <c r="J649" i="1"/>
  <c r="AN649" i="1"/>
  <c r="AP649" i="1"/>
  <c r="D650" i="1"/>
  <c r="E650" i="1"/>
  <c r="F650" i="1"/>
  <c r="I650" i="1"/>
  <c r="J650" i="1"/>
  <c r="AN650" i="1"/>
  <c r="AP650" i="1"/>
  <c r="AQ650" i="1"/>
  <c r="D651" i="1"/>
  <c r="E651" i="1"/>
  <c r="F651" i="1"/>
  <c r="I651" i="1"/>
  <c r="J651" i="1"/>
  <c r="AN651" i="1"/>
  <c r="AP651" i="1"/>
  <c r="AQ651" i="1"/>
  <c r="D652" i="1"/>
  <c r="E652" i="1"/>
  <c r="F652" i="1"/>
  <c r="I652" i="1"/>
  <c r="J652" i="1"/>
  <c r="AN652" i="1"/>
  <c r="AP652" i="1"/>
  <c r="AQ652" i="1"/>
  <c r="D653" i="1"/>
  <c r="E653" i="1"/>
  <c r="F653" i="1"/>
  <c r="I653" i="1"/>
  <c r="J653" i="1"/>
  <c r="AN653" i="1"/>
  <c r="AP653" i="1"/>
  <c r="AQ653" i="1"/>
  <c r="D654" i="1"/>
  <c r="E654" i="1"/>
  <c r="F654" i="1"/>
  <c r="I654" i="1"/>
  <c r="J654" i="1"/>
  <c r="AN654" i="1"/>
  <c r="AP654" i="1"/>
  <c r="D655" i="1"/>
  <c r="E655" i="1"/>
  <c r="F655" i="1"/>
  <c r="I655" i="1"/>
  <c r="J655" i="1"/>
  <c r="AN655" i="1"/>
  <c r="AP655" i="1"/>
  <c r="D656" i="1"/>
  <c r="E656" i="1"/>
  <c r="F656" i="1"/>
  <c r="I656" i="1"/>
  <c r="J656" i="1"/>
  <c r="AN656" i="1"/>
  <c r="AP656" i="1"/>
  <c r="D657" i="1"/>
  <c r="E657" i="1"/>
  <c r="F657" i="1"/>
  <c r="I657" i="1"/>
  <c r="J657" i="1"/>
  <c r="AN657" i="1"/>
  <c r="AP657" i="1"/>
  <c r="D658" i="1"/>
  <c r="E658" i="1"/>
  <c r="F658" i="1"/>
  <c r="I658" i="1"/>
  <c r="J658" i="1"/>
  <c r="AN658" i="1"/>
  <c r="AP658" i="1"/>
  <c r="D659" i="1"/>
  <c r="E659" i="1"/>
  <c r="F659" i="1"/>
  <c r="I659" i="1"/>
  <c r="J659" i="1"/>
  <c r="AN659" i="1"/>
  <c r="AP659" i="1"/>
  <c r="D660" i="1"/>
  <c r="E660" i="1"/>
  <c r="F660" i="1"/>
  <c r="I660" i="1"/>
  <c r="J660" i="1"/>
  <c r="AN660" i="1"/>
  <c r="AP660" i="1"/>
  <c r="D661" i="1"/>
  <c r="E661" i="1"/>
  <c r="F661" i="1"/>
  <c r="I661" i="1"/>
  <c r="J661" i="1"/>
  <c r="AN661" i="1"/>
  <c r="AP661" i="1"/>
  <c r="D662" i="1"/>
  <c r="E662" i="1"/>
  <c r="F662" i="1"/>
  <c r="I662" i="1"/>
  <c r="J662" i="1"/>
  <c r="AN662" i="1"/>
  <c r="AP662" i="1"/>
  <c r="D663" i="1"/>
  <c r="E663" i="1"/>
  <c r="F663" i="1"/>
  <c r="I663" i="1"/>
  <c r="J663" i="1"/>
  <c r="AN663" i="1"/>
  <c r="AP663" i="1"/>
  <c r="D664" i="1"/>
  <c r="E664" i="1"/>
  <c r="F664" i="1"/>
  <c r="I664" i="1"/>
  <c r="J664" i="1"/>
  <c r="AN664" i="1"/>
  <c r="AP664" i="1"/>
  <c r="D665" i="1"/>
  <c r="E665" i="1"/>
  <c r="F665" i="1"/>
  <c r="I665" i="1"/>
  <c r="J665" i="1"/>
  <c r="AN665" i="1"/>
  <c r="AP665" i="1"/>
  <c r="D666" i="1"/>
  <c r="E666" i="1"/>
  <c r="F666" i="1"/>
  <c r="I666" i="1"/>
  <c r="J666" i="1"/>
  <c r="AN666" i="1"/>
  <c r="AP666" i="1"/>
  <c r="D667" i="1"/>
  <c r="E667" i="1"/>
  <c r="F667" i="1"/>
  <c r="I667" i="1"/>
  <c r="J667" i="1"/>
  <c r="AN667" i="1"/>
  <c r="AP667" i="1"/>
  <c r="D668" i="1"/>
  <c r="E668" i="1"/>
  <c r="F668" i="1"/>
  <c r="I668" i="1"/>
  <c r="J668" i="1"/>
  <c r="AN668" i="1"/>
  <c r="AP668" i="1"/>
  <c r="D669" i="1"/>
  <c r="E669" i="1"/>
  <c r="F669" i="1"/>
  <c r="I669" i="1"/>
  <c r="J669" i="1"/>
  <c r="AN669" i="1"/>
  <c r="AP669" i="1"/>
  <c r="D670" i="1"/>
  <c r="E670" i="1"/>
  <c r="F670" i="1"/>
  <c r="I670" i="1"/>
  <c r="J670" i="1"/>
  <c r="AN670" i="1"/>
  <c r="AP670" i="1"/>
  <c r="D671" i="1"/>
  <c r="E671" i="1"/>
  <c r="F671" i="1"/>
  <c r="I671" i="1"/>
  <c r="J671" i="1"/>
  <c r="AN671" i="1"/>
  <c r="AP671" i="1"/>
  <c r="D672" i="1"/>
  <c r="E672" i="1"/>
  <c r="F672" i="1"/>
  <c r="I672" i="1"/>
  <c r="J672" i="1"/>
  <c r="AN672" i="1"/>
  <c r="AP672" i="1"/>
  <c r="D673" i="1"/>
  <c r="E673" i="1"/>
  <c r="F673" i="1"/>
  <c r="I673" i="1"/>
  <c r="J673" i="1"/>
  <c r="AN673" i="1"/>
  <c r="AP673" i="1"/>
  <c r="D674" i="1"/>
  <c r="E674" i="1"/>
  <c r="F674" i="1"/>
  <c r="I674" i="1"/>
  <c r="J674" i="1"/>
  <c r="AN674" i="1"/>
  <c r="AP674" i="1"/>
  <c r="D675" i="1"/>
  <c r="E675" i="1"/>
  <c r="F675" i="1"/>
  <c r="I675" i="1"/>
  <c r="J675" i="1"/>
  <c r="AN675" i="1"/>
  <c r="AP675" i="1"/>
  <c r="D676" i="1"/>
  <c r="E676" i="1"/>
  <c r="F676" i="1"/>
  <c r="I676" i="1"/>
  <c r="J676" i="1"/>
  <c r="AN676" i="1"/>
  <c r="AP676" i="1"/>
  <c r="D677" i="1"/>
  <c r="E677" i="1"/>
  <c r="F677" i="1"/>
  <c r="I677" i="1"/>
  <c r="J677" i="1"/>
  <c r="AN677" i="1"/>
  <c r="AP677" i="1"/>
  <c r="D678" i="1"/>
  <c r="E678" i="1"/>
  <c r="F678" i="1"/>
  <c r="I678" i="1"/>
  <c r="J678" i="1"/>
  <c r="AN678" i="1"/>
  <c r="AP678" i="1"/>
  <c r="D679" i="1"/>
  <c r="E679" i="1"/>
  <c r="F679" i="1"/>
  <c r="I679" i="1"/>
  <c r="J679" i="1"/>
  <c r="AN679" i="1"/>
  <c r="AP679" i="1"/>
  <c r="D680" i="1"/>
  <c r="E680" i="1"/>
  <c r="F680" i="1"/>
  <c r="I680" i="1"/>
  <c r="J680" i="1"/>
  <c r="AN680" i="1"/>
  <c r="AP680" i="1"/>
  <c r="D681" i="1"/>
  <c r="E681" i="1"/>
  <c r="F681" i="1"/>
  <c r="I681" i="1"/>
  <c r="J681" i="1"/>
  <c r="AN681" i="1"/>
  <c r="AP681" i="1"/>
  <c r="AQ681" i="1"/>
  <c r="D682" i="1"/>
  <c r="E682" i="1"/>
  <c r="F682" i="1"/>
  <c r="I682" i="1"/>
  <c r="J682" i="1"/>
  <c r="AN682" i="1"/>
  <c r="AP682" i="1"/>
  <c r="D683" i="1"/>
  <c r="E683" i="1"/>
  <c r="F683" i="1"/>
  <c r="I683" i="1"/>
  <c r="J683" i="1"/>
  <c r="AN683" i="1"/>
  <c r="AP683" i="1"/>
  <c r="D684" i="1"/>
  <c r="E684" i="1"/>
  <c r="F684" i="1"/>
  <c r="I684" i="1"/>
  <c r="J684" i="1"/>
  <c r="AN684" i="1"/>
  <c r="AP684" i="1"/>
  <c r="D685" i="1"/>
  <c r="E685" i="1"/>
  <c r="F685" i="1"/>
  <c r="I685" i="1"/>
  <c r="J685" i="1"/>
  <c r="AN685" i="1"/>
  <c r="AP685" i="1"/>
  <c r="D686" i="1"/>
  <c r="E686" i="1"/>
  <c r="F686" i="1"/>
  <c r="I686" i="1"/>
  <c r="J686" i="1"/>
  <c r="AN686" i="1"/>
  <c r="AP686" i="1"/>
  <c r="D687" i="1"/>
  <c r="E687" i="1"/>
  <c r="F687" i="1"/>
  <c r="I687" i="1"/>
  <c r="J687" i="1"/>
  <c r="AN687" i="1"/>
  <c r="AP687" i="1"/>
  <c r="AQ687" i="1"/>
  <c r="D688" i="1"/>
  <c r="E688" i="1"/>
  <c r="F688" i="1"/>
  <c r="I688" i="1"/>
  <c r="J688" i="1"/>
  <c r="AL688" i="1"/>
  <c r="AN688" i="1"/>
  <c r="AP688" i="1"/>
  <c r="AQ688" i="1"/>
  <c r="D689" i="1"/>
  <c r="E689" i="1"/>
  <c r="F689" i="1"/>
  <c r="I689" i="1"/>
  <c r="J689" i="1"/>
  <c r="AN689" i="1"/>
  <c r="AP689" i="1"/>
  <c r="D690" i="1"/>
  <c r="E690" i="1"/>
  <c r="F690" i="1"/>
  <c r="I690" i="1"/>
  <c r="J690" i="1"/>
  <c r="AN690" i="1"/>
  <c r="AP690" i="1"/>
  <c r="AQ690" i="1"/>
  <c r="D691" i="1"/>
  <c r="E691" i="1"/>
  <c r="F691" i="1"/>
  <c r="I691" i="1"/>
  <c r="J691" i="1"/>
  <c r="AN691" i="1"/>
  <c r="AP691" i="1"/>
  <c r="D692" i="1"/>
  <c r="E692" i="1"/>
  <c r="F692" i="1"/>
  <c r="I692" i="1"/>
  <c r="J692" i="1"/>
  <c r="AN692" i="1"/>
  <c r="AP692" i="1"/>
  <c r="AQ692" i="1"/>
  <c r="D693" i="1"/>
  <c r="E693" i="1"/>
  <c r="F693" i="1"/>
  <c r="I693" i="1"/>
  <c r="J693" i="1"/>
  <c r="AN693" i="1"/>
  <c r="AP693" i="1"/>
  <c r="D694" i="1"/>
  <c r="E694" i="1"/>
  <c r="F694" i="1"/>
  <c r="I694" i="1"/>
  <c r="J694" i="1"/>
  <c r="AN694" i="1"/>
  <c r="AP694" i="1"/>
  <c r="AQ694" i="1"/>
  <c r="D695" i="1"/>
  <c r="E695" i="1"/>
  <c r="F695" i="1"/>
  <c r="I695" i="1"/>
  <c r="J695" i="1"/>
  <c r="AN695" i="1"/>
  <c r="AP695" i="1"/>
  <c r="D696" i="1"/>
  <c r="E696" i="1"/>
  <c r="F696" i="1"/>
  <c r="I696" i="1"/>
  <c r="J696" i="1"/>
  <c r="AN696" i="1"/>
  <c r="AP696" i="1"/>
  <c r="AQ696" i="1"/>
  <c r="D697" i="1"/>
  <c r="E697" i="1"/>
  <c r="F697" i="1"/>
  <c r="I697" i="1"/>
  <c r="J697" i="1"/>
  <c r="AN697" i="1"/>
  <c r="AP697" i="1"/>
  <c r="D698" i="1"/>
  <c r="E698" i="1"/>
  <c r="F698" i="1"/>
  <c r="I698" i="1"/>
  <c r="J698" i="1"/>
  <c r="AN698" i="1"/>
  <c r="AP698" i="1"/>
  <c r="AQ698" i="1"/>
  <c r="D699" i="1"/>
  <c r="E699" i="1"/>
  <c r="F699" i="1"/>
  <c r="I699" i="1"/>
  <c r="J699" i="1"/>
  <c r="AN699" i="1"/>
  <c r="AP699" i="1"/>
  <c r="D700" i="1"/>
  <c r="E700" i="1"/>
  <c r="F700" i="1"/>
  <c r="I700" i="1"/>
  <c r="J700" i="1"/>
  <c r="AN700" i="1"/>
  <c r="AP700" i="1"/>
  <c r="AQ700" i="1"/>
  <c r="D701" i="1"/>
  <c r="E701" i="1"/>
  <c r="F701" i="1"/>
  <c r="I701" i="1"/>
  <c r="J701" i="1"/>
  <c r="AN701" i="1"/>
  <c r="AP701" i="1"/>
  <c r="AQ701" i="1"/>
  <c r="D702" i="1"/>
  <c r="E702" i="1"/>
  <c r="F702" i="1"/>
  <c r="I702" i="1"/>
  <c r="J702" i="1"/>
  <c r="AN702" i="1"/>
  <c r="AP702" i="1"/>
  <c r="AQ702" i="1"/>
  <c r="D703" i="1"/>
  <c r="E703" i="1"/>
  <c r="F703" i="1"/>
  <c r="I703" i="1"/>
  <c r="J703" i="1"/>
  <c r="AN703" i="1"/>
  <c r="AP703" i="1"/>
  <c r="AQ703" i="1"/>
  <c r="D704" i="1"/>
  <c r="E704" i="1"/>
  <c r="F704" i="1"/>
  <c r="I704" i="1"/>
  <c r="J704" i="1"/>
  <c r="AN704" i="1"/>
  <c r="AP704" i="1"/>
  <c r="AQ704" i="1"/>
  <c r="D705" i="1"/>
  <c r="E705" i="1"/>
  <c r="F705" i="1"/>
  <c r="I705" i="1"/>
  <c r="J705" i="1"/>
  <c r="AN705" i="1"/>
  <c r="AP705" i="1"/>
  <c r="D706" i="1"/>
  <c r="E706" i="1"/>
  <c r="F706" i="1"/>
  <c r="I706" i="1"/>
  <c r="J706" i="1"/>
  <c r="AN706" i="1"/>
  <c r="AP706" i="1"/>
  <c r="D707" i="1"/>
  <c r="E707" i="1"/>
  <c r="F707" i="1"/>
  <c r="I707" i="1"/>
  <c r="J707" i="1"/>
  <c r="AN707" i="1"/>
  <c r="AP707" i="1"/>
  <c r="D708" i="1"/>
  <c r="E708" i="1"/>
  <c r="F708" i="1"/>
  <c r="I708" i="1"/>
  <c r="J708" i="1"/>
  <c r="AN708" i="1"/>
  <c r="AP708" i="1"/>
  <c r="AQ708" i="1"/>
  <c r="D709" i="1"/>
  <c r="E709" i="1"/>
  <c r="F709" i="1"/>
  <c r="I709" i="1"/>
  <c r="J709" i="1"/>
  <c r="AN709" i="1"/>
  <c r="AP709" i="1"/>
  <c r="AQ709" i="1"/>
  <c r="D710" i="1"/>
  <c r="E710" i="1"/>
  <c r="F710" i="1"/>
  <c r="I710" i="1"/>
  <c r="J710" i="1"/>
  <c r="AN710" i="1"/>
  <c r="AP710" i="1"/>
  <c r="AQ710" i="1"/>
  <c r="D711" i="1"/>
  <c r="E711" i="1"/>
  <c r="F711" i="1"/>
  <c r="I711" i="1"/>
  <c r="J711" i="1"/>
  <c r="AN711" i="1"/>
  <c r="AP711" i="1"/>
  <c r="AQ711" i="1"/>
  <c r="D712" i="1"/>
  <c r="E712" i="1"/>
  <c r="F712" i="1"/>
  <c r="I712" i="1"/>
  <c r="J712" i="1"/>
  <c r="AN712" i="1"/>
  <c r="AP712" i="1"/>
  <c r="AQ712" i="1"/>
  <c r="D713" i="1"/>
  <c r="E713" i="1"/>
  <c r="F713" i="1"/>
  <c r="I713" i="1"/>
  <c r="J713" i="1"/>
  <c r="AN713" i="1"/>
  <c r="AP713" i="1"/>
  <c r="AQ713" i="1"/>
  <c r="D714" i="1"/>
  <c r="E714" i="1"/>
  <c r="F714" i="1"/>
  <c r="I714" i="1"/>
  <c r="J714" i="1"/>
  <c r="AN714" i="1"/>
  <c r="AP714" i="1"/>
  <c r="AQ714" i="1"/>
  <c r="D715" i="1"/>
  <c r="E715" i="1"/>
  <c r="F715" i="1"/>
  <c r="I715" i="1"/>
  <c r="J715" i="1"/>
  <c r="AN715" i="1"/>
  <c r="AP715" i="1"/>
  <c r="D716" i="1"/>
  <c r="E716" i="1"/>
  <c r="F716" i="1"/>
  <c r="I716" i="1"/>
  <c r="J716" i="1"/>
  <c r="AN716" i="1"/>
  <c r="AP716" i="1"/>
  <c r="D717" i="1"/>
  <c r="E717" i="1"/>
  <c r="F717" i="1"/>
  <c r="I717" i="1"/>
  <c r="J717" i="1"/>
  <c r="AN717" i="1"/>
  <c r="AP717" i="1"/>
  <c r="AQ717" i="1"/>
  <c r="D718" i="1"/>
  <c r="E718" i="1"/>
  <c r="F718" i="1"/>
  <c r="I718" i="1"/>
  <c r="J718" i="1"/>
  <c r="AN718" i="1"/>
  <c r="AP718" i="1"/>
  <c r="AQ718" i="1"/>
  <c r="D719" i="1"/>
  <c r="E719" i="1"/>
  <c r="F719" i="1"/>
  <c r="I719" i="1"/>
  <c r="J719" i="1"/>
  <c r="AN719" i="1"/>
  <c r="AP719" i="1"/>
  <c r="AQ719" i="1"/>
  <c r="D720" i="1"/>
  <c r="E720" i="1"/>
  <c r="F720" i="1"/>
  <c r="I720" i="1"/>
  <c r="J720" i="1"/>
  <c r="AN720" i="1"/>
  <c r="AP720" i="1"/>
  <c r="D721" i="1"/>
  <c r="E721" i="1"/>
  <c r="F721" i="1"/>
  <c r="I721" i="1"/>
  <c r="J721" i="1"/>
  <c r="AN721" i="1"/>
  <c r="AP721" i="1"/>
  <c r="D722" i="1"/>
  <c r="E722" i="1"/>
  <c r="F722" i="1"/>
  <c r="I722" i="1"/>
  <c r="J722" i="1"/>
  <c r="AN722" i="1"/>
  <c r="AP722" i="1"/>
  <c r="D723" i="1"/>
  <c r="E723" i="1"/>
  <c r="F723" i="1"/>
  <c r="I723" i="1"/>
  <c r="J723" i="1"/>
  <c r="AN723" i="1"/>
  <c r="AP723" i="1"/>
  <c r="AQ723" i="1"/>
  <c r="D724" i="1"/>
  <c r="E724" i="1"/>
  <c r="F724" i="1"/>
  <c r="I724" i="1"/>
  <c r="J724" i="1"/>
  <c r="AN724" i="1"/>
  <c r="AP724" i="1"/>
  <c r="AQ724" i="1"/>
  <c r="D725" i="1"/>
  <c r="E725" i="1"/>
  <c r="F725" i="1"/>
  <c r="I725" i="1"/>
  <c r="J725" i="1"/>
  <c r="AN725" i="1"/>
  <c r="AP725" i="1"/>
  <c r="AQ725" i="1"/>
  <c r="D726" i="1"/>
  <c r="E726" i="1"/>
  <c r="F726" i="1"/>
  <c r="I726" i="1"/>
  <c r="J726" i="1"/>
  <c r="AN726" i="1"/>
  <c r="AP726" i="1"/>
  <c r="AQ726" i="1"/>
  <c r="D727" i="1"/>
  <c r="E727" i="1"/>
  <c r="F727" i="1"/>
  <c r="I727" i="1"/>
  <c r="J727" i="1"/>
  <c r="AN727" i="1"/>
  <c r="AP727" i="1"/>
  <c r="D728" i="1"/>
  <c r="E728" i="1"/>
  <c r="F728" i="1"/>
  <c r="I728" i="1"/>
  <c r="J728" i="1"/>
  <c r="AN728" i="1"/>
  <c r="AP728" i="1"/>
  <c r="D729" i="1"/>
  <c r="E729" i="1"/>
  <c r="F729" i="1"/>
  <c r="I729" i="1"/>
  <c r="J729" i="1"/>
  <c r="AN729" i="1"/>
  <c r="AP729" i="1"/>
  <c r="AQ729" i="1"/>
  <c r="D730" i="1"/>
  <c r="E730" i="1"/>
  <c r="F730" i="1"/>
  <c r="I730" i="1"/>
  <c r="J730" i="1"/>
  <c r="AN730" i="1"/>
  <c r="AP730" i="1"/>
  <c r="D731" i="1"/>
  <c r="E731" i="1"/>
  <c r="F731" i="1"/>
  <c r="I731" i="1"/>
  <c r="J731" i="1"/>
  <c r="AN731" i="1"/>
  <c r="AP731" i="1"/>
  <c r="AQ731" i="1"/>
  <c r="D732" i="1"/>
  <c r="E732" i="1"/>
  <c r="F732" i="1"/>
  <c r="I732" i="1"/>
  <c r="J732" i="1"/>
  <c r="AN732" i="1"/>
  <c r="AP732" i="1"/>
  <c r="D733" i="1"/>
  <c r="E733" i="1"/>
  <c r="F733" i="1"/>
  <c r="I733" i="1"/>
  <c r="J733" i="1"/>
  <c r="AN733" i="1"/>
  <c r="AP733" i="1"/>
  <c r="D734" i="1"/>
  <c r="E734" i="1"/>
  <c r="F734" i="1"/>
  <c r="I734" i="1"/>
  <c r="J734" i="1"/>
  <c r="AN734" i="1"/>
  <c r="AP734" i="1"/>
  <c r="AQ734" i="1"/>
  <c r="D735" i="1"/>
  <c r="E735" i="1"/>
  <c r="F735" i="1"/>
  <c r="I735" i="1"/>
  <c r="J735" i="1"/>
  <c r="AN735" i="1"/>
  <c r="AP735" i="1"/>
  <c r="AQ735" i="1"/>
  <c r="D736" i="1"/>
  <c r="E736" i="1"/>
  <c r="F736" i="1"/>
  <c r="I736" i="1"/>
  <c r="J736" i="1"/>
  <c r="AN736" i="1"/>
  <c r="AP736" i="1"/>
  <c r="AQ736" i="1"/>
  <c r="D737" i="1"/>
  <c r="E737" i="1"/>
  <c r="F737" i="1"/>
  <c r="I737" i="1"/>
  <c r="J737" i="1"/>
  <c r="AN737" i="1"/>
  <c r="AP737" i="1"/>
  <c r="AQ737" i="1"/>
  <c r="D738" i="1"/>
  <c r="E738" i="1"/>
  <c r="F738" i="1"/>
  <c r="I738" i="1"/>
  <c r="J738" i="1"/>
  <c r="AN738" i="1"/>
  <c r="AP738" i="1"/>
  <c r="AQ738" i="1"/>
  <c r="D739" i="1"/>
  <c r="E739" i="1"/>
  <c r="F739" i="1"/>
  <c r="I739" i="1"/>
  <c r="J739" i="1"/>
  <c r="AN739" i="1"/>
  <c r="AP739" i="1"/>
  <c r="D740" i="1"/>
  <c r="E740" i="1"/>
  <c r="F740" i="1"/>
  <c r="I740" i="1"/>
  <c r="J740" i="1"/>
  <c r="AN740" i="1"/>
  <c r="AP740" i="1"/>
  <c r="AQ740" i="1"/>
  <c r="D741" i="1"/>
  <c r="E741" i="1"/>
  <c r="F741" i="1"/>
  <c r="I741" i="1"/>
  <c r="J741" i="1"/>
  <c r="AN741" i="1"/>
  <c r="AP741" i="1"/>
  <c r="AQ741" i="1"/>
  <c r="D742" i="1"/>
  <c r="E742" i="1"/>
  <c r="F742" i="1"/>
  <c r="I742" i="1"/>
  <c r="J742" i="1"/>
  <c r="AN742" i="1"/>
  <c r="AP742" i="1"/>
  <c r="AQ742" i="1"/>
  <c r="D743" i="1"/>
  <c r="E743" i="1"/>
  <c r="F743" i="1"/>
  <c r="I743" i="1"/>
  <c r="J743" i="1"/>
  <c r="AN743" i="1"/>
  <c r="AP743" i="1"/>
  <c r="AQ743" i="1"/>
  <c r="D744" i="1"/>
  <c r="E744" i="1"/>
  <c r="F744" i="1"/>
  <c r="I744" i="1"/>
  <c r="J744" i="1"/>
  <c r="AN744" i="1"/>
  <c r="AP744" i="1"/>
  <c r="AQ744" i="1"/>
  <c r="D745" i="1"/>
  <c r="E745" i="1"/>
  <c r="F745" i="1"/>
  <c r="I745" i="1"/>
  <c r="J745" i="1"/>
  <c r="AN745" i="1"/>
  <c r="AP745" i="1"/>
  <c r="AQ745" i="1"/>
  <c r="D746" i="1"/>
  <c r="E746" i="1"/>
  <c r="F746" i="1"/>
  <c r="I746" i="1"/>
  <c r="J746" i="1"/>
  <c r="AN746" i="1"/>
  <c r="AP746" i="1"/>
  <c r="AQ746" i="1"/>
  <c r="D747" i="1"/>
  <c r="E747" i="1"/>
  <c r="F747" i="1"/>
  <c r="I747" i="1"/>
  <c r="J747" i="1"/>
  <c r="AN747" i="1"/>
  <c r="AP747" i="1"/>
  <c r="AQ747" i="1"/>
  <c r="D748" i="1"/>
  <c r="E748" i="1"/>
  <c r="F748" i="1"/>
  <c r="I748" i="1"/>
  <c r="J748" i="1"/>
  <c r="AN748" i="1"/>
  <c r="AP748" i="1"/>
  <c r="AQ748" i="1"/>
  <c r="D749" i="1"/>
  <c r="E749" i="1"/>
  <c r="F749" i="1"/>
  <c r="I749" i="1"/>
  <c r="J749" i="1"/>
  <c r="AN749" i="1"/>
  <c r="AP749" i="1"/>
  <c r="AQ749" i="1"/>
  <c r="D750" i="1"/>
  <c r="E750" i="1"/>
  <c r="F750" i="1"/>
  <c r="I750" i="1"/>
  <c r="J750" i="1"/>
  <c r="AN750" i="1"/>
  <c r="AP750" i="1"/>
  <c r="AQ750" i="1"/>
  <c r="D751" i="1"/>
  <c r="E751" i="1"/>
  <c r="F751" i="1"/>
  <c r="I751" i="1"/>
  <c r="J751" i="1"/>
  <c r="AN751" i="1"/>
  <c r="AP751" i="1"/>
  <c r="AQ751" i="1"/>
  <c r="D752" i="1"/>
  <c r="E752" i="1"/>
  <c r="F752" i="1"/>
  <c r="I752" i="1"/>
  <c r="J752" i="1"/>
  <c r="AN752" i="1"/>
  <c r="AP752" i="1"/>
  <c r="AQ752" i="1"/>
  <c r="D753" i="1"/>
  <c r="E753" i="1"/>
  <c r="F753" i="1"/>
  <c r="I753" i="1"/>
  <c r="J753" i="1"/>
  <c r="AN753" i="1"/>
  <c r="AP753" i="1"/>
  <c r="AQ753" i="1"/>
  <c r="D754" i="1"/>
  <c r="E754" i="1"/>
  <c r="F754" i="1"/>
  <c r="I754" i="1"/>
  <c r="J754" i="1"/>
  <c r="AN754" i="1"/>
  <c r="AP754" i="1"/>
  <c r="AQ754" i="1"/>
  <c r="D755" i="1"/>
  <c r="E755" i="1"/>
  <c r="F755" i="1"/>
  <c r="I755" i="1"/>
  <c r="J755" i="1"/>
  <c r="AN755" i="1"/>
  <c r="AP755" i="1"/>
  <c r="AQ755" i="1"/>
  <c r="D756" i="1"/>
  <c r="E756" i="1"/>
  <c r="F756" i="1"/>
  <c r="I756" i="1"/>
  <c r="J756" i="1"/>
  <c r="AN756" i="1"/>
  <c r="AP756" i="1"/>
  <c r="AQ756" i="1"/>
  <c r="D757" i="1"/>
  <c r="E757" i="1"/>
  <c r="F757" i="1"/>
  <c r="I757" i="1"/>
  <c r="J757" i="1"/>
  <c r="AN757" i="1"/>
  <c r="AP757" i="1"/>
  <c r="D758" i="1"/>
  <c r="E758" i="1"/>
  <c r="F758" i="1"/>
  <c r="I758" i="1"/>
  <c r="J758" i="1"/>
  <c r="AN758" i="1"/>
  <c r="AP758" i="1"/>
  <c r="AQ758" i="1"/>
  <c r="D759" i="1"/>
  <c r="E759" i="1"/>
  <c r="F759" i="1"/>
  <c r="I759" i="1"/>
  <c r="J759" i="1"/>
  <c r="AN759" i="1"/>
  <c r="AP759" i="1"/>
  <c r="AQ759" i="1"/>
  <c r="D760" i="1"/>
  <c r="E760" i="1"/>
  <c r="F760" i="1"/>
  <c r="I760" i="1"/>
  <c r="J760" i="1"/>
  <c r="AN760" i="1"/>
  <c r="AP760" i="1"/>
  <c r="AQ760" i="1"/>
  <c r="D761" i="1"/>
  <c r="E761" i="1"/>
  <c r="F761" i="1"/>
  <c r="I761" i="1"/>
  <c r="J761" i="1"/>
  <c r="AN761" i="1"/>
  <c r="AP761" i="1"/>
  <c r="AQ761" i="1"/>
  <c r="D762" i="1"/>
  <c r="E762" i="1"/>
  <c r="F762" i="1"/>
  <c r="I762" i="1"/>
  <c r="J762" i="1"/>
  <c r="AN762" i="1"/>
  <c r="AP762" i="1"/>
  <c r="AQ762" i="1"/>
  <c r="D763" i="1"/>
  <c r="E763" i="1"/>
  <c r="F763" i="1"/>
  <c r="I763" i="1"/>
  <c r="J763" i="1"/>
  <c r="AN763" i="1"/>
  <c r="AP763" i="1"/>
  <c r="AQ763" i="1"/>
  <c r="D764" i="1"/>
  <c r="E764" i="1"/>
  <c r="F764" i="1"/>
  <c r="I764" i="1"/>
  <c r="J764" i="1"/>
  <c r="AN764" i="1"/>
  <c r="AP764" i="1"/>
  <c r="AQ764" i="1"/>
  <c r="D765" i="1"/>
  <c r="E765" i="1"/>
  <c r="F765" i="1"/>
  <c r="I765" i="1"/>
  <c r="J765" i="1"/>
  <c r="AN765" i="1"/>
  <c r="AP765" i="1"/>
  <c r="AQ765" i="1"/>
  <c r="D766" i="1"/>
  <c r="E766" i="1"/>
  <c r="F766" i="1"/>
  <c r="I766" i="1"/>
  <c r="J766" i="1"/>
  <c r="AN766" i="1"/>
  <c r="AP766" i="1"/>
  <c r="AQ766" i="1"/>
  <c r="D767" i="1"/>
  <c r="E767" i="1"/>
  <c r="F767" i="1"/>
  <c r="I767" i="1"/>
  <c r="J767" i="1"/>
  <c r="AN767" i="1"/>
  <c r="AP767" i="1"/>
  <c r="D768" i="1"/>
  <c r="E768" i="1"/>
  <c r="F768" i="1"/>
  <c r="I768" i="1"/>
  <c r="J768" i="1"/>
  <c r="AN768" i="1"/>
  <c r="AP768" i="1"/>
  <c r="AQ768" i="1"/>
  <c r="D769" i="1"/>
  <c r="E769" i="1"/>
  <c r="F769" i="1"/>
  <c r="I769" i="1"/>
  <c r="J769" i="1"/>
  <c r="AN769" i="1"/>
  <c r="AP769" i="1"/>
  <c r="AQ769" i="1"/>
  <c r="D770" i="1"/>
  <c r="E770" i="1"/>
  <c r="F770" i="1"/>
  <c r="I770" i="1"/>
  <c r="J770" i="1"/>
  <c r="AN770" i="1"/>
  <c r="AP770" i="1"/>
  <c r="D771" i="1"/>
  <c r="E771" i="1"/>
  <c r="F771" i="1"/>
  <c r="I771" i="1"/>
  <c r="J771" i="1"/>
  <c r="AN771" i="1"/>
  <c r="AP771" i="1"/>
  <c r="D772" i="1"/>
  <c r="E772" i="1"/>
  <c r="F772" i="1"/>
  <c r="I772" i="1"/>
  <c r="J772" i="1"/>
  <c r="AN772" i="1"/>
  <c r="AP772" i="1"/>
  <c r="AQ772" i="1"/>
  <c r="D773" i="1"/>
  <c r="E773" i="1"/>
  <c r="F773" i="1"/>
  <c r="I773" i="1"/>
  <c r="J773" i="1"/>
  <c r="AN773" i="1"/>
  <c r="AP773" i="1"/>
  <c r="AQ773" i="1"/>
  <c r="D774" i="1"/>
  <c r="E774" i="1"/>
  <c r="F774" i="1"/>
  <c r="I774" i="1"/>
  <c r="J774" i="1"/>
  <c r="AN774" i="1"/>
  <c r="AP774" i="1"/>
  <c r="D775" i="1"/>
  <c r="E775" i="1"/>
  <c r="F775" i="1"/>
  <c r="I775" i="1"/>
  <c r="J775" i="1"/>
  <c r="AN775" i="1"/>
  <c r="AP775" i="1"/>
  <c r="D776" i="1"/>
  <c r="E776" i="1"/>
  <c r="F776" i="1"/>
  <c r="I776" i="1"/>
  <c r="J776" i="1"/>
  <c r="AN776" i="1"/>
  <c r="AP776" i="1"/>
  <c r="AQ776" i="1"/>
  <c r="D777" i="1"/>
  <c r="E777" i="1"/>
  <c r="F777" i="1"/>
  <c r="I777" i="1"/>
  <c r="J777" i="1"/>
  <c r="AN777" i="1"/>
  <c r="AP777" i="1"/>
  <c r="AQ777" i="1"/>
  <c r="D778" i="1"/>
  <c r="E778" i="1"/>
  <c r="F778" i="1"/>
  <c r="I778" i="1"/>
  <c r="J778" i="1"/>
  <c r="AN778" i="1"/>
  <c r="AP778" i="1"/>
  <c r="D779" i="1"/>
  <c r="E779" i="1"/>
  <c r="F779" i="1"/>
  <c r="I779" i="1"/>
  <c r="J779" i="1"/>
  <c r="AN779" i="1"/>
  <c r="AP779" i="1"/>
  <c r="AQ779" i="1"/>
  <c r="D780" i="1"/>
  <c r="E780" i="1"/>
  <c r="F780" i="1"/>
  <c r="I780" i="1"/>
  <c r="J780" i="1"/>
  <c r="AN780" i="1"/>
  <c r="AP780" i="1"/>
  <c r="AQ780" i="1"/>
  <c r="D781" i="1"/>
  <c r="E781" i="1"/>
  <c r="F781" i="1"/>
  <c r="I781" i="1"/>
  <c r="J781" i="1"/>
  <c r="AN781" i="1"/>
  <c r="AP781" i="1"/>
  <c r="AQ781" i="1"/>
  <c r="D782" i="1"/>
  <c r="E782" i="1"/>
  <c r="F782" i="1"/>
  <c r="I782" i="1"/>
  <c r="J782" i="1"/>
  <c r="AN782" i="1"/>
  <c r="AP782" i="1"/>
  <c r="AQ782" i="1"/>
  <c r="D783" i="1"/>
  <c r="E783" i="1"/>
  <c r="F783" i="1"/>
  <c r="I783" i="1"/>
  <c r="J783" i="1"/>
  <c r="AN783" i="1"/>
  <c r="AP783" i="1"/>
  <c r="AQ783" i="1"/>
  <c r="D784" i="1"/>
  <c r="E784" i="1"/>
  <c r="F784" i="1"/>
  <c r="I784" i="1"/>
  <c r="J784" i="1"/>
  <c r="AN784" i="1"/>
  <c r="AP784" i="1"/>
  <c r="AQ784" i="1"/>
  <c r="D785" i="1"/>
  <c r="E785" i="1"/>
  <c r="F785" i="1"/>
  <c r="I785" i="1"/>
  <c r="J785" i="1"/>
  <c r="AN785" i="1"/>
  <c r="AP785" i="1"/>
  <c r="AQ785" i="1"/>
  <c r="D786" i="1"/>
  <c r="E786" i="1"/>
  <c r="F786" i="1"/>
  <c r="I786" i="1"/>
  <c r="J786" i="1"/>
  <c r="AN786" i="1"/>
  <c r="AP786" i="1"/>
  <c r="AQ786" i="1"/>
  <c r="D787" i="1"/>
  <c r="E787" i="1"/>
  <c r="F787" i="1"/>
  <c r="I787" i="1"/>
  <c r="J787" i="1"/>
  <c r="AN787" i="1"/>
  <c r="AP787" i="1"/>
  <c r="AQ787" i="1"/>
  <c r="D788" i="1"/>
  <c r="E788" i="1"/>
  <c r="F788" i="1"/>
  <c r="I788" i="1"/>
  <c r="J788" i="1"/>
  <c r="AN788" i="1"/>
  <c r="AP788" i="1"/>
  <c r="AQ788" i="1"/>
  <c r="D789" i="1"/>
  <c r="E789" i="1"/>
  <c r="F789" i="1"/>
  <c r="I789" i="1"/>
  <c r="J789" i="1"/>
  <c r="AN789" i="1"/>
  <c r="AP789" i="1"/>
  <c r="AQ789" i="1"/>
  <c r="D790" i="1"/>
  <c r="E790" i="1"/>
  <c r="F790" i="1"/>
  <c r="I790" i="1"/>
  <c r="J790" i="1"/>
  <c r="AN790" i="1"/>
  <c r="AP790" i="1"/>
  <c r="AQ790" i="1"/>
  <c r="D791" i="1"/>
  <c r="E791" i="1"/>
  <c r="F791" i="1"/>
  <c r="I791" i="1"/>
  <c r="J791" i="1"/>
  <c r="AN791" i="1"/>
  <c r="AP791" i="1"/>
  <c r="AQ791" i="1"/>
  <c r="D792" i="1"/>
  <c r="E792" i="1"/>
  <c r="F792" i="1"/>
  <c r="I792" i="1"/>
  <c r="J792" i="1"/>
  <c r="AN792" i="1"/>
  <c r="AP792" i="1"/>
  <c r="AQ792" i="1"/>
  <c r="D793" i="1"/>
  <c r="E793" i="1"/>
  <c r="F793" i="1"/>
  <c r="I793" i="1"/>
  <c r="J793" i="1"/>
  <c r="AN793" i="1"/>
  <c r="AP793" i="1"/>
  <c r="AQ793" i="1"/>
  <c r="D794" i="1"/>
  <c r="E794" i="1"/>
  <c r="F794" i="1"/>
  <c r="I794" i="1"/>
  <c r="J794" i="1"/>
  <c r="AN794" i="1"/>
  <c r="AP794" i="1"/>
  <c r="AQ794" i="1"/>
  <c r="D795" i="1"/>
  <c r="E795" i="1"/>
  <c r="F795" i="1"/>
  <c r="I795" i="1"/>
  <c r="J795" i="1"/>
  <c r="AN795" i="1"/>
  <c r="AP795" i="1"/>
  <c r="AQ795" i="1"/>
  <c r="D796" i="1"/>
  <c r="E796" i="1"/>
  <c r="F796" i="1"/>
  <c r="I796" i="1"/>
  <c r="J796" i="1"/>
  <c r="AN796" i="1"/>
  <c r="AP796" i="1"/>
  <c r="AQ796" i="1"/>
  <c r="D797" i="1"/>
  <c r="E797" i="1"/>
  <c r="F797" i="1"/>
  <c r="I797" i="1"/>
  <c r="J797" i="1"/>
  <c r="AN797" i="1"/>
  <c r="AP797" i="1"/>
  <c r="AQ797" i="1"/>
  <c r="D798" i="1"/>
  <c r="E798" i="1"/>
  <c r="F798" i="1"/>
  <c r="I798" i="1"/>
  <c r="J798" i="1"/>
  <c r="AN798" i="1"/>
  <c r="AP798" i="1"/>
  <c r="D799" i="1"/>
  <c r="E799" i="1"/>
  <c r="F799" i="1"/>
  <c r="I799" i="1"/>
  <c r="J799" i="1"/>
  <c r="AN799" i="1"/>
  <c r="AP799" i="1"/>
  <c r="AQ799" i="1"/>
  <c r="D800" i="1"/>
  <c r="E800" i="1"/>
  <c r="F800" i="1"/>
  <c r="I800" i="1"/>
  <c r="J800" i="1"/>
  <c r="AN800" i="1"/>
  <c r="AP800" i="1"/>
  <c r="AQ800" i="1"/>
  <c r="D801" i="1"/>
  <c r="E801" i="1"/>
  <c r="F801" i="1"/>
  <c r="I801" i="1"/>
  <c r="J801" i="1"/>
  <c r="AN801" i="1"/>
  <c r="AP801" i="1"/>
  <c r="AQ801" i="1"/>
  <c r="D802" i="1"/>
  <c r="E802" i="1"/>
  <c r="F802" i="1"/>
  <c r="I802" i="1"/>
  <c r="J802" i="1"/>
  <c r="AN802" i="1"/>
  <c r="AP802" i="1"/>
  <c r="AQ802" i="1"/>
  <c r="D803" i="1"/>
  <c r="E803" i="1"/>
  <c r="F803" i="1"/>
  <c r="I803" i="1"/>
  <c r="J803" i="1"/>
  <c r="AN803" i="1"/>
  <c r="AP803" i="1"/>
  <c r="AQ803" i="1"/>
  <c r="D804" i="1"/>
  <c r="E804" i="1"/>
  <c r="F804" i="1"/>
  <c r="I804" i="1"/>
  <c r="J804" i="1"/>
  <c r="AN804" i="1"/>
  <c r="AP804" i="1"/>
  <c r="AQ804" i="1"/>
  <c r="D805" i="1"/>
  <c r="E805" i="1"/>
  <c r="F805" i="1"/>
  <c r="I805" i="1"/>
  <c r="J805" i="1"/>
  <c r="AN805" i="1"/>
  <c r="AP805" i="1"/>
  <c r="AQ805" i="1"/>
  <c r="D806" i="1"/>
  <c r="E806" i="1"/>
  <c r="F806" i="1"/>
  <c r="I806" i="1"/>
  <c r="J806" i="1"/>
  <c r="AN806" i="1"/>
  <c r="AP806" i="1"/>
  <c r="AQ806" i="1"/>
  <c r="D807" i="1"/>
  <c r="E807" i="1"/>
  <c r="F807" i="1"/>
  <c r="I807" i="1"/>
  <c r="J807" i="1"/>
  <c r="AN807" i="1"/>
  <c r="AP807" i="1"/>
  <c r="AQ807" i="1"/>
  <c r="D808" i="1"/>
  <c r="E808" i="1"/>
  <c r="F808" i="1"/>
  <c r="I808" i="1"/>
  <c r="J808" i="1"/>
  <c r="AN808" i="1"/>
  <c r="AP808" i="1"/>
  <c r="AQ808" i="1"/>
  <c r="D809" i="1"/>
  <c r="E809" i="1"/>
  <c r="F809" i="1"/>
  <c r="I809" i="1"/>
  <c r="J809" i="1"/>
  <c r="AN809" i="1"/>
  <c r="AP809" i="1"/>
  <c r="AQ809" i="1"/>
  <c r="D810" i="1"/>
  <c r="E810" i="1"/>
  <c r="F810" i="1"/>
  <c r="I810" i="1"/>
  <c r="J810" i="1"/>
  <c r="AN810" i="1"/>
  <c r="AP810" i="1"/>
  <c r="AQ810" i="1"/>
  <c r="D811" i="1"/>
  <c r="E811" i="1"/>
  <c r="F811" i="1"/>
  <c r="I811" i="1"/>
  <c r="J811" i="1"/>
  <c r="AN811" i="1"/>
  <c r="AP811" i="1"/>
  <c r="AQ811" i="1"/>
  <c r="D812" i="1"/>
  <c r="E812" i="1"/>
  <c r="F812" i="1"/>
  <c r="I812" i="1"/>
  <c r="J812" i="1"/>
  <c r="AN812" i="1"/>
  <c r="AP812" i="1"/>
  <c r="AQ812" i="1"/>
  <c r="D813" i="1"/>
  <c r="E813" i="1"/>
  <c r="F813" i="1"/>
  <c r="I813" i="1"/>
  <c r="J813" i="1"/>
  <c r="AN813" i="1"/>
  <c r="AP813" i="1"/>
  <c r="AQ813" i="1"/>
  <c r="D814" i="1"/>
  <c r="E814" i="1"/>
  <c r="F814" i="1"/>
  <c r="I814" i="1"/>
  <c r="J814" i="1"/>
  <c r="AN814" i="1"/>
  <c r="AP814" i="1"/>
  <c r="AQ814" i="1"/>
  <c r="D815" i="1"/>
  <c r="E815" i="1"/>
  <c r="F815" i="1"/>
  <c r="I815" i="1"/>
  <c r="J815" i="1"/>
  <c r="AN815" i="1"/>
  <c r="AP815" i="1"/>
  <c r="AQ815" i="1"/>
  <c r="D816" i="1"/>
  <c r="E816" i="1"/>
  <c r="F816" i="1"/>
  <c r="I816" i="1"/>
  <c r="J816" i="1"/>
  <c r="AN816" i="1"/>
  <c r="AP816" i="1"/>
  <c r="AQ816" i="1"/>
  <c r="D817" i="1"/>
  <c r="E817" i="1"/>
  <c r="F817" i="1"/>
  <c r="I817" i="1"/>
  <c r="J817" i="1"/>
  <c r="AN817" i="1"/>
  <c r="AP817" i="1"/>
  <c r="AQ817" i="1"/>
  <c r="D818" i="1"/>
  <c r="E818" i="1"/>
  <c r="F818" i="1"/>
  <c r="I818" i="1"/>
  <c r="J818" i="1"/>
  <c r="AN818" i="1"/>
  <c r="AP818" i="1"/>
  <c r="AQ818" i="1"/>
  <c r="D819" i="1"/>
  <c r="E819" i="1"/>
  <c r="F819" i="1"/>
  <c r="I819" i="1"/>
  <c r="J819" i="1"/>
  <c r="AN819" i="1"/>
  <c r="AP819" i="1"/>
  <c r="AQ819" i="1"/>
  <c r="D820" i="1"/>
  <c r="E820" i="1"/>
  <c r="F820" i="1"/>
  <c r="I820" i="1"/>
  <c r="J820" i="1"/>
  <c r="AN820" i="1"/>
  <c r="AP820" i="1"/>
  <c r="AQ820" i="1"/>
  <c r="D821" i="1"/>
  <c r="E821" i="1"/>
  <c r="F821" i="1"/>
  <c r="I821" i="1"/>
  <c r="J821" i="1"/>
  <c r="AN821" i="1"/>
  <c r="AP821" i="1"/>
  <c r="AQ821" i="1"/>
  <c r="D822" i="1"/>
  <c r="E822" i="1"/>
  <c r="F822" i="1"/>
  <c r="I822" i="1"/>
  <c r="J822" i="1"/>
  <c r="AN822" i="1"/>
  <c r="AP822" i="1"/>
  <c r="AQ822" i="1"/>
  <c r="D823" i="1"/>
  <c r="E823" i="1"/>
  <c r="F823" i="1"/>
  <c r="I823" i="1"/>
  <c r="J823" i="1"/>
  <c r="AN823" i="1"/>
  <c r="AP823" i="1"/>
  <c r="AQ823" i="1"/>
  <c r="D824" i="1"/>
  <c r="E824" i="1"/>
  <c r="F824" i="1"/>
  <c r="I824" i="1"/>
  <c r="J824" i="1"/>
  <c r="AN824" i="1"/>
  <c r="AP824" i="1"/>
  <c r="AQ824" i="1"/>
  <c r="D825" i="1"/>
  <c r="E825" i="1"/>
  <c r="F825" i="1"/>
  <c r="I825" i="1"/>
  <c r="J825" i="1"/>
  <c r="AN825" i="1"/>
  <c r="AP825" i="1"/>
  <c r="AQ825" i="1"/>
  <c r="D826" i="1"/>
  <c r="E826" i="1"/>
  <c r="F826" i="1"/>
  <c r="I826" i="1"/>
  <c r="J826" i="1"/>
  <c r="AN826" i="1"/>
  <c r="AP826" i="1"/>
  <c r="AQ826" i="1"/>
  <c r="D827" i="1"/>
  <c r="E827" i="1"/>
  <c r="F827" i="1"/>
  <c r="I827" i="1"/>
  <c r="J827" i="1"/>
  <c r="AN827" i="1"/>
  <c r="AP827" i="1"/>
  <c r="D828" i="1"/>
  <c r="E828" i="1"/>
  <c r="F828" i="1"/>
  <c r="I828" i="1"/>
  <c r="J828" i="1"/>
  <c r="AN828" i="1"/>
  <c r="AP828" i="1"/>
  <c r="D829" i="1"/>
  <c r="E829" i="1"/>
  <c r="F829" i="1"/>
  <c r="I829" i="1"/>
  <c r="J829" i="1"/>
  <c r="AN829" i="1"/>
  <c r="AP829" i="1"/>
  <c r="D830" i="1"/>
  <c r="E830" i="1"/>
  <c r="F830" i="1"/>
  <c r="I830" i="1"/>
  <c r="J830" i="1"/>
  <c r="AN830" i="1"/>
  <c r="AP830" i="1"/>
  <c r="D831" i="1"/>
  <c r="E831" i="1"/>
  <c r="F831" i="1"/>
  <c r="I831" i="1"/>
  <c r="J831" i="1"/>
  <c r="AN831" i="1"/>
  <c r="AP831" i="1"/>
  <c r="D832" i="1"/>
  <c r="E832" i="1"/>
  <c r="F832" i="1"/>
  <c r="I832" i="1"/>
  <c r="J832" i="1"/>
  <c r="AN832" i="1"/>
  <c r="AP832" i="1"/>
  <c r="D833" i="1"/>
  <c r="E833" i="1"/>
  <c r="F833" i="1"/>
  <c r="I833" i="1"/>
  <c r="J833" i="1"/>
  <c r="AN833" i="1"/>
  <c r="AP833" i="1"/>
  <c r="D834" i="1"/>
  <c r="E834" i="1"/>
  <c r="F834" i="1"/>
  <c r="I834" i="1"/>
  <c r="J834" i="1"/>
  <c r="AN834" i="1"/>
  <c r="AP834" i="1"/>
  <c r="D835" i="1"/>
  <c r="E835" i="1"/>
  <c r="F835" i="1"/>
  <c r="I835" i="1"/>
  <c r="J835" i="1"/>
  <c r="AN835" i="1"/>
  <c r="AP835" i="1"/>
  <c r="D836" i="1"/>
  <c r="E836" i="1"/>
  <c r="F836" i="1"/>
  <c r="I836" i="1"/>
  <c r="J836" i="1"/>
  <c r="AN836" i="1"/>
  <c r="AP836" i="1"/>
  <c r="D837" i="1"/>
  <c r="E837" i="1"/>
  <c r="F837" i="1"/>
  <c r="I837" i="1"/>
  <c r="J837" i="1"/>
  <c r="AN837" i="1"/>
  <c r="AP837" i="1"/>
  <c r="D838" i="1"/>
  <c r="E838" i="1"/>
  <c r="F838" i="1"/>
  <c r="I838" i="1"/>
  <c r="J838" i="1"/>
  <c r="AN838" i="1"/>
  <c r="AP838" i="1"/>
  <c r="D839" i="1"/>
  <c r="E839" i="1"/>
  <c r="F839" i="1"/>
  <c r="I839" i="1"/>
  <c r="J839" i="1"/>
  <c r="AN839" i="1"/>
  <c r="AP839" i="1"/>
  <c r="D840" i="1"/>
  <c r="E840" i="1"/>
  <c r="F840" i="1"/>
  <c r="I840" i="1"/>
  <c r="J840" i="1"/>
  <c r="AN840" i="1"/>
  <c r="AP840" i="1"/>
  <c r="D841" i="1"/>
  <c r="E841" i="1"/>
  <c r="F841" i="1"/>
  <c r="I841" i="1"/>
  <c r="J841" i="1"/>
  <c r="AN841" i="1"/>
  <c r="AP841" i="1"/>
  <c r="D842" i="1"/>
  <c r="E842" i="1"/>
  <c r="F842" i="1"/>
  <c r="I842" i="1"/>
  <c r="J842" i="1"/>
  <c r="AN842" i="1"/>
  <c r="AP842" i="1"/>
  <c r="D843" i="1"/>
  <c r="E843" i="1"/>
  <c r="F843" i="1"/>
  <c r="I843" i="1"/>
  <c r="J843" i="1"/>
  <c r="AN843" i="1"/>
  <c r="AP843" i="1"/>
  <c r="D844" i="1"/>
  <c r="E844" i="1"/>
  <c r="F844" i="1"/>
  <c r="I844" i="1"/>
  <c r="J844" i="1"/>
  <c r="AN844" i="1"/>
  <c r="AP844" i="1"/>
  <c r="D845" i="1"/>
  <c r="E845" i="1"/>
  <c r="F845" i="1"/>
  <c r="I845" i="1"/>
  <c r="J845" i="1"/>
  <c r="AN845" i="1"/>
  <c r="AP845" i="1"/>
  <c r="D846" i="1"/>
  <c r="E846" i="1"/>
  <c r="F846" i="1"/>
  <c r="I846" i="1"/>
  <c r="J846" i="1"/>
  <c r="AN846" i="1"/>
  <c r="AP846" i="1"/>
  <c r="D847" i="1"/>
  <c r="E847" i="1"/>
  <c r="F847" i="1"/>
  <c r="I847" i="1"/>
  <c r="J847" i="1"/>
  <c r="AN847" i="1"/>
  <c r="AP847" i="1"/>
  <c r="D848" i="1"/>
  <c r="E848" i="1"/>
  <c r="F848" i="1"/>
  <c r="I848" i="1"/>
  <c r="J848" i="1"/>
  <c r="AN848" i="1"/>
  <c r="AP848" i="1"/>
  <c r="AQ848" i="1"/>
  <c r="D849" i="1"/>
  <c r="E849" i="1"/>
  <c r="F849" i="1"/>
  <c r="I849" i="1"/>
  <c r="J849" i="1"/>
  <c r="AN849" i="1"/>
  <c r="AP849" i="1"/>
  <c r="D850" i="1"/>
  <c r="E850" i="1"/>
  <c r="F850" i="1"/>
  <c r="I850" i="1"/>
  <c r="J850" i="1"/>
  <c r="AN850" i="1"/>
  <c r="AP850" i="1"/>
  <c r="D851" i="1"/>
  <c r="E851" i="1"/>
  <c r="F851" i="1"/>
  <c r="I851" i="1"/>
  <c r="J851" i="1"/>
  <c r="AN851" i="1"/>
  <c r="AP851" i="1"/>
  <c r="D852" i="1"/>
  <c r="E852" i="1"/>
  <c r="F852" i="1"/>
  <c r="I852" i="1"/>
  <c r="J852" i="1"/>
  <c r="AN852" i="1"/>
  <c r="AP852" i="1"/>
  <c r="D853" i="1"/>
  <c r="E853" i="1"/>
  <c r="F853" i="1"/>
  <c r="I853" i="1"/>
  <c r="J853" i="1"/>
  <c r="AN853" i="1"/>
  <c r="AP853" i="1"/>
  <c r="D854" i="1"/>
  <c r="E854" i="1"/>
  <c r="F854" i="1"/>
  <c r="I854" i="1"/>
  <c r="J854" i="1"/>
  <c r="AN854" i="1"/>
  <c r="AP854" i="1"/>
  <c r="D855" i="1"/>
  <c r="E855" i="1"/>
  <c r="F855" i="1"/>
  <c r="I855" i="1"/>
  <c r="J855" i="1"/>
  <c r="AN855" i="1"/>
  <c r="AP855" i="1"/>
  <c r="D856" i="1"/>
  <c r="E856" i="1"/>
  <c r="F856" i="1"/>
  <c r="I856" i="1"/>
  <c r="J856" i="1"/>
  <c r="AN856" i="1"/>
  <c r="AP856" i="1"/>
  <c r="D857" i="1"/>
  <c r="E857" i="1"/>
  <c r="F857" i="1"/>
  <c r="I857" i="1"/>
  <c r="J857" i="1"/>
  <c r="AN857" i="1"/>
  <c r="AP857" i="1"/>
  <c r="D858" i="1"/>
  <c r="E858" i="1"/>
  <c r="F858" i="1"/>
  <c r="I858" i="1"/>
  <c r="J858" i="1"/>
  <c r="AN858" i="1"/>
  <c r="AP858" i="1"/>
  <c r="D859" i="1"/>
  <c r="E859" i="1"/>
  <c r="F859" i="1"/>
  <c r="I859" i="1"/>
  <c r="J859" i="1"/>
  <c r="AN859" i="1"/>
  <c r="AP859" i="1"/>
  <c r="D860" i="1"/>
  <c r="E860" i="1"/>
  <c r="F860" i="1"/>
  <c r="I860" i="1"/>
  <c r="J860" i="1"/>
  <c r="AN860" i="1"/>
  <c r="AP860" i="1"/>
  <c r="D861" i="1"/>
  <c r="E861" i="1"/>
  <c r="F861" i="1"/>
  <c r="I861" i="1"/>
  <c r="J861" i="1"/>
  <c r="AN861" i="1"/>
  <c r="AP861" i="1"/>
  <c r="D862" i="1"/>
  <c r="E862" i="1"/>
  <c r="F862" i="1"/>
  <c r="I862" i="1"/>
  <c r="J862" i="1"/>
  <c r="AN862" i="1"/>
  <c r="AP862" i="1"/>
  <c r="D863" i="1"/>
  <c r="E863" i="1"/>
  <c r="F863" i="1"/>
  <c r="I863" i="1"/>
  <c r="J863" i="1"/>
  <c r="AN863" i="1"/>
  <c r="AP863" i="1"/>
  <c r="D864" i="1"/>
  <c r="E864" i="1"/>
  <c r="F864" i="1"/>
  <c r="I864" i="1"/>
  <c r="J864" i="1"/>
  <c r="AN864" i="1"/>
  <c r="AP864" i="1"/>
  <c r="D865" i="1"/>
  <c r="E865" i="1"/>
  <c r="F865" i="1"/>
  <c r="I865" i="1"/>
  <c r="J865" i="1"/>
  <c r="AN865" i="1"/>
  <c r="AP865" i="1"/>
  <c r="D866" i="1"/>
  <c r="E866" i="1"/>
  <c r="F866" i="1"/>
  <c r="I866" i="1"/>
  <c r="J866" i="1"/>
  <c r="AN866" i="1"/>
  <c r="AP866" i="1"/>
  <c r="D867" i="1"/>
  <c r="E867" i="1"/>
  <c r="F867" i="1"/>
  <c r="I867" i="1"/>
  <c r="J867" i="1"/>
  <c r="AN867" i="1"/>
  <c r="AP867" i="1"/>
  <c r="D868" i="1"/>
  <c r="E868" i="1"/>
  <c r="F868" i="1"/>
  <c r="I868" i="1"/>
  <c r="J868" i="1"/>
  <c r="AN868" i="1"/>
  <c r="AP868" i="1"/>
  <c r="D869" i="1"/>
  <c r="E869" i="1"/>
  <c r="F869" i="1"/>
  <c r="I869" i="1"/>
  <c r="J869" i="1"/>
  <c r="AN869" i="1"/>
  <c r="AP869" i="1"/>
  <c r="D870" i="1"/>
  <c r="E870" i="1"/>
  <c r="F870" i="1"/>
  <c r="I870" i="1"/>
  <c r="J870" i="1"/>
  <c r="AN870" i="1"/>
  <c r="AP870" i="1"/>
  <c r="D871" i="1"/>
  <c r="E871" i="1"/>
  <c r="F871" i="1"/>
  <c r="I871" i="1"/>
  <c r="J871" i="1"/>
  <c r="AN871" i="1"/>
  <c r="AP871" i="1"/>
  <c r="D872" i="1"/>
  <c r="E872" i="1"/>
  <c r="F872" i="1"/>
  <c r="I872" i="1"/>
  <c r="J872" i="1"/>
  <c r="AN872" i="1"/>
  <c r="AP872" i="1"/>
  <c r="D873" i="1"/>
  <c r="E873" i="1"/>
  <c r="F873" i="1"/>
  <c r="I873" i="1"/>
  <c r="J873" i="1"/>
  <c r="AN873" i="1"/>
  <c r="AP873" i="1"/>
  <c r="D874" i="1"/>
  <c r="E874" i="1"/>
  <c r="F874" i="1"/>
  <c r="I874" i="1"/>
  <c r="J874" i="1"/>
  <c r="AN874" i="1"/>
  <c r="AP874" i="1"/>
  <c r="D875" i="1"/>
  <c r="E875" i="1"/>
  <c r="F875" i="1"/>
  <c r="I875" i="1"/>
  <c r="J875" i="1"/>
  <c r="AN875" i="1"/>
  <c r="AP875" i="1"/>
  <c r="D876" i="1"/>
  <c r="E876" i="1"/>
  <c r="F876" i="1"/>
  <c r="I876" i="1"/>
  <c r="J876" i="1"/>
  <c r="AN876" i="1"/>
  <c r="AP876" i="1"/>
  <c r="D877" i="1"/>
  <c r="E877" i="1"/>
  <c r="F877" i="1"/>
  <c r="I877" i="1"/>
  <c r="J877" i="1"/>
  <c r="AN877" i="1"/>
  <c r="AP877" i="1"/>
  <c r="D878" i="1"/>
  <c r="E878" i="1"/>
  <c r="F878" i="1"/>
  <c r="I878" i="1"/>
  <c r="J878" i="1"/>
  <c r="AN878" i="1"/>
  <c r="AP878" i="1"/>
  <c r="D879" i="1"/>
  <c r="E879" i="1"/>
  <c r="F879" i="1"/>
  <c r="I879" i="1"/>
  <c r="J879" i="1"/>
  <c r="AN879" i="1"/>
  <c r="AP879" i="1"/>
  <c r="D880" i="1"/>
  <c r="E880" i="1"/>
  <c r="F880" i="1"/>
  <c r="I880" i="1"/>
  <c r="J880" i="1"/>
  <c r="AN880" i="1"/>
  <c r="AP880" i="1"/>
  <c r="D881" i="1"/>
  <c r="E881" i="1"/>
  <c r="F881" i="1"/>
  <c r="I881" i="1"/>
  <c r="J881" i="1"/>
  <c r="AN881" i="1"/>
  <c r="AP881" i="1"/>
  <c r="D882" i="1"/>
  <c r="E882" i="1"/>
  <c r="F882" i="1"/>
  <c r="I882" i="1"/>
  <c r="J882" i="1"/>
  <c r="AN882" i="1"/>
  <c r="AP882" i="1"/>
  <c r="D883" i="1"/>
  <c r="E883" i="1"/>
  <c r="F883" i="1"/>
  <c r="I883" i="1"/>
  <c r="J883" i="1"/>
  <c r="AN883" i="1"/>
  <c r="AP883" i="1"/>
  <c r="D884" i="1"/>
  <c r="E884" i="1"/>
  <c r="F884" i="1"/>
  <c r="I884" i="1"/>
  <c r="J884" i="1"/>
  <c r="AN884" i="1"/>
  <c r="AP884" i="1"/>
  <c r="D885" i="1"/>
  <c r="E885" i="1"/>
  <c r="F885" i="1"/>
  <c r="I885" i="1"/>
  <c r="J885" i="1"/>
  <c r="AN885" i="1"/>
  <c r="AP885" i="1"/>
  <c r="D886" i="1"/>
  <c r="E886" i="1"/>
  <c r="F886" i="1"/>
  <c r="I886" i="1"/>
  <c r="J886" i="1"/>
  <c r="AN886" i="1"/>
  <c r="AP886" i="1"/>
  <c r="D887" i="1"/>
  <c r="E887" i="1"/>
  <c r="F887" i="1"/>
  <c r="I887" i="1"/>
  <c r="J887" i="1"/>
  <c r="AN887" i="1"/>
  <c r="AP887" i="1"/>
  <c r="D888" i="1"/>
  <c r="E888" i="1"/>
  <c r="F888" i="1"/>
  <c r="I888" i="1"/>
  <c r="J888" i="1"/>
  <c r="AN888" i="1"/>
  <c r="AP888" i="1"/>
  <c r="D889" i="1"/>
  <c r="E889" i="1"/>
  <c r="F889" i="1"/>
  <c r="I889" i="1"/>
  <c r="J889" i="1"/>
  <c r="AN889" i="1"/>
  <c r="AP889" i="1"/>
  <c r="D890" i="1"/>
  <c r="E890" i="1"/>
  <c r="F890" i="1"/>
  <c r="I890" i="1"/>
  <c r="J890" i="1"/>
  <c r="AN890" i="1"/>
  <c r="AP890" i="1"/>
  <c r="D891" i="1"/>
  <c r="E891" i="1"/>
  <c r="F891" i="1"/>
  <c r="I891" i="1"/>
  <c r="J891" i="1"/>
  <c r="AN891" i="1"/>
  <c r="AP891" i="1"/>
  <c r="D892" i="1"/>
  <c r="E892" i="1"/>
  <c r="F892" i="1"/>
  <c r="I892" i="1"/>
  <c r="J892" i="1"/>
  <c r="AN892" i="1"/>
  <c r="AP892" i="1"/>
  <c r="D893" i="1"/>
  <c r="E893" i="1"/>
  <c r="F893" i="1"/>
  <c r="I893" i="1"/>
  <c r="J893" i="1"/>
  <c r="AN893" i="1"/>
  <c r="AP893" i="1"/>
  <c r="D894" i="1"/>
  <c r="E894" i="1"/>
  <c r="F894" i="1"/>
  <c r="I894" i="1"/>
  <c r="J894" i="1"/>
  <c r="AN894" i="1"/>
  <c r="AP894" i="1"/>
  <c r="D895" i="1"/>
  <c r="E895" i="1"/>
  <c r="F895" i="1"/>
  <c r="I895" i="1"/>
  <c r="J895" i="1"/>
  <c r="AN895" i="1"/>
  <c r="AP895" i="1"/>
  <c r="D896" i="1"/>
  <c r="E896" i="1"/>
  <c r="F896" i="1"/>
  <c r="I896" i="1"/>
  <c r="J896" i="1"/>
  <c r="AN896" i="1"/>
  <c r="AP896" i="1"/>
  <c r="D897" i="1"/>
  <c r="E897" i="1"/>
  <c r="F897" i="1"/>
  <c r="I897" i="1"/>
  <c r="J897" i="1"/>
  <c r="AN897" i="1"/>
  <c r="AP897" i="1"/>
  <c r="D898" i="1"/>
  <c r="E898" i="1"/>
  <c r="F898" i="1"/>
  <c r="I898" i="1"/>
  <c r="J898" i="1"/>
  <c r="AN898" i="1"/>
  <c r="AP898" i="1"/>
  <c r="D899" i="1"/>
  <c r="E899" i="1"/>
  <c r="F899" i="1"/>
  <c r="I899" i="1"/>
  <c r="J899" i="1"/>
  <c r="AN899" i="1"/>
  <c r="AP899" i="1"/>
  <c r="D900" i="1"/>
  <c r="E900" i="1"/>
  <c r="F900" i="1"/>
  <c r="I900" i="1"/>
  <c r="J900" i="1"/>
  <c r="AN900" i="1"/>
  <c r="AP900" i="1"/>
  <c r="D901" i="1"/>
  <c r="E901" i="1"/>
  <c r="F901" i="1"/>
  <c r="I901" i="1"/>
  <c r="J901" i="1"/>
  <c r="AN901" i="1"/>
  <c r="AP901" i="1"/>
  <c r="D902" i="1"/>
  <c r="E902" i="1"/>
  <c r="F902" i="1"/>
  <c r="I902" i="1"/>
  <c r="J902" i="1"/>
  <c r="AN902" i="1"/>
  <c r="AP902" i="1"/>
  <c r="D903" i="1"/>
  <c r="E903" i="1"/>
  <c r="F903" i="1"/>
  <c r="I903" i="1"/>
  <c r="J903" i="1"/>
  <c r="AN903" i="1"/>
  <c r="AP903" i="1"/>
  <c r="D904" i="1"/>
  <c r="E904" i="1"/>
  <c r="F904" i="1"/>
  <c r="I904" i="1"/>
  <c r="J904" i="1"/>
  <c r="AN904" i="1"/>
  <c r="AP904" i="1"/>
  <c r="D905" i="1"/>
  <c r="E905" i="1"/>
  <c r="F905" i="1"/>
  <c r="I905" i="1"/>
  <c r="J905" i="1"/>
  <c r="AN905" i="1"/>
  <c r="AP905" i="1"/>
  <c r="D906" i="1"/>
  <c r="E906" i="1"/>
  <c r="F906" i="1"/>
  <c r="I906" i="1"/>
  <c r="J906" i="1"/>
  <c r="AN906" i="1"/>
  <c r="AP906" i="1"/>
  <c r="D907" i="1"/>
  <c r="E907" i="1"/>
  <c r="F907" i="1"/>
  <c r="I907" i="1"/>
  <c r="J907" i="1"/>
  <c r="AN907" i="1"/>
  <c r="AP907" i="1"/>
  <c r="D908" i="1"/>
  <c r="E908" i="1"/>
  <c r="F908" i="1"/>
  <c r="I908" i="1"/>
  <c r="J908" i="1"/>
  <c r="AN908" i="1"/>
  <c r="AP908" i="1"/>
  <c r="D909" i="1"/>
  <c r="E909" i="1"/>
  <c r="F909" i="1"/>
  <c r="I909" i="1"/>
  <c r="J909" i="1"/>
  <c r="AN909" i="1"/>
  <c r="AP909" i="1"/>
  <c r="D910" i="1"/>
  <c r="E910" i="1"/>
  <c r="F910" i="1"/>
  <c r="I910" i="1"/>
  <c r="J910" i="1"/>
  <c r="AN910" i="1"/>
  <c r="AP910" i="1"/>
  <c r="D911" i="1"/>
  <c r="E911" i="1"/>
  <c r="F911" i="1"/>
  <c r="I911" i="1"/>
  <c r="J911" i="1"/>
  <c r="AN911" i="1"/>
  <c r="AP911" i="1"/>
  <c r="D912" i="1"/>
  <c r="E912" i="1"/>
  <c r="F912" i="1"/>
  <c r="I912" i="1"/>
  <c r="J912" i="1"/>
  <c r="AN912" i="1"/>
  <c r="AP912" i="1"/>
  <c r="D913" i="1"/>
  <c r="E913" i="1"/>
  <c r="F913" i="1"/>
  <c r="I913" i="1"/>
  <c r="J913" i="1"/>
  <c r="AN913" i="1"/>
  <c r="AP913" i="1"/>
  <c r="D914" i="1"/>
  <c r="E914" i="1"/>
  <c r="F914" i="1"/>
  <c r="I914" i="1"/>
  <c r="J914" i="1"/>
  <c r="AN914" i="1"/>
  <c r="AP914" i="1"/>
  <c r="D915" i="1"/>
  <c r="E915" i="1"/>
  <c r="F915" i="1"/>
  <c r="I915" i="1"/>
  <c r="J915" i="1"/>
  <c r="AN915" i="1"/>
  <c r="AP915" i="1"/>
  <c r="D916" i="1"/>
  <c r="E916" i="1"/>
  <c r="F916" i="1"/>
  <c r="I916" i="1"/>
  <c r="J916" i="1"/>
  <c r="AN916" i="1"/>
  <c r="AP916" i="1"/>
  <c r="D917" i="1"/>
  <c r="E917" i="1"/>
  <c r="F917" i="1"/>
  <c r="I917" i="1"/>
  <c r="J917" i="1"/>
  <c r="AN917" i="1"/>
  <c r="AP917" i="1"/>
  <c r="D918" i="1"/>
  <c r="E918" i="1"/>
  <c r="F918" i="1"/>
  <c r="I918" i="1"/>
  <c r="J918" i="1"/>
  <c r="AN918" i="1"/>
  <c r="AP918" i="1"/>
  <c r="D919" i="1"/>
  <c r="E919" i="1"/>
  <c r="F919" i="1"/>
  <c r="I919" i="1"/>
  <c r="J919" i="1"/>
  <c r="AN919" i="1"/>
  <c r="AP919" i="1"/>
  <c r="D920" i="1"/>
  <c r="E920" i="1"/>
  <c r="F920" i="1"/>
  <c r="I920" i="1"/>
  <c r="J920" i="1"/>
  <c r="AN920" i="1"/>
  <c r="AP920" i="1"/>
  <c r="D921" i="1"/>
  <c r="E921" i="1"/>
  <c r="F921" i="1"/>
  <c r="I921" i="1"/>
  <c r="J921" i="1"/>
  <c r="AN921" i="1"/>
  <c r="AP921" i="1"/>
  <c r="D922" i="1"/>
  <c r="E922" i="1"/>
  <c r="F922" i="1"/>
  <c r="I922" i="1"/>
  <c r="J922" i="1"/>
  <c r="AN922" i="1"/>
  <c r="AP922" i="1"/>
  <c r="D923" i="1"/>
  <c r="E923" i="1"/>
  <c r="F923" i="1"/>
  <c r="I923" i="1"/>
  <c r="J923" i="1"/>
  <c r="AN923" i="1"/>
  <c r="AP923" i="1"/>
  <c r="D924" i="1"/>
  <c r="E924" i="1"/>
  <c r="F924" i="1"/>
  <c r="I924" i="1"/>
  <c r="J924" i="1"/>
  <c r="AN924" i="1"/>
  <c r="AP924" i="1"/>
  <c r="D925" i="1"/>
  <c r="E925" i="1"/>
  <c r="F925" i="1"/>
  <c r="I925" i="1"/>
  <c r="J925" i="1"/>
  <c r="AN925" i="1"/>
  <c r="AP925" i="1"/>
  <c r="D926" i="1"/>
  <c r="E926" i="1"/>
  <c r="F926" i="1"/>
  <c r="I926" i="1"/>
  <c r="J926" i="1"/>
  <c r="AN926" i="1"/>
  <c r="AP926" i="1"/>
  <c r="D927" i="1"/>
  <c r="E927" i="1"/>
  <c r="F927" i="1"/>
  <c r="I927" i="1"/>
  <c r="J927" i="1"/>
  <c r="AN927" i="1"/>
  <c r="AP927" i="1"/>
  <c r="D928" i="1"/>
  <c r="E928" i="1"/>
  <c r="F928" i="1"/>
  <c r="I928" i="1"/>
  <c r="J928" i="1"/>
  <c r="AN928" i="1"/>
  <c r="AP928" i="1"/>
  <c r="D929" i="1"/>
  <c r="E929" i="1"/>
  <c r="F929" i="1"/>
  <c r="I929" i="1"/>
  <c r="J929" i="1"/>
  <c r="AN929" i="1"/>
  <c r="AP929" i="1"/>
  <c r="D930" i="1"/>
  <c r="E930" i="1"/>
  <c r="F930" i="1"/>
  <c r="I930" i="1"/>
  <c r="J930" i="1"/>
  <c r="AN930" i="1"/>
  <c r="AP930" i="1"/>
  <c r="D931" i="1"/>
  <c r="E931" i="1"/>
  <c r="F931" i="1"/>
  <c r="I931" i="1"/>
  <c r="J931" i="1"/>
  <c r="AN931" i="1"/>
  <c r="AP931" i="1"/>
  <c r="D932" i="1"/>
  <c r="E932" i="1"/>
  <c r="F932" i="1"/>
  <c r="I932" i="1"/>
  <c r="J932" i="1"/>
  <c r="AN932" i="1"/>
  <c r="AP932" i="1"/>
  <c r="D933" i="1"/>
  <c r="E933" i="1"/>
  <c r="F933" i="1"/>
  <c r="I933" i="1"/>
  <c r="J933" i="1"/>
  <c r="AN933" i="1"/>
  <c r="AP933" i="1"/>
  <c r="D934" i="1"/>
  <c r="E934" i="1"/>
  <c r="F934" i="1"/>
  <c r="I934" i="1"/>
  <c r="J934" i="1"/>
  <c r="AN934" i="1"/>
  <c r="AP934" i="1"/>
  <c r="D935" i="1"/>
  <c r="E935" i="1"/>
  <c r="F935" i="1"/>
  <c r="I935" i="1"/>
  <c r="J935" i="1"/>
  <c r="AN935" i="1"/>
  <c r="AP935" i="1"/>
  <c r="D936" i="1"/>
  <c r="E936" i="1"/>
  <c r="F936" i="1"/>
  <c r="I936" i="1"/>
  <c r="J936" i="1"/>
  <c r="AN936" i="1"/>
  <c r="AP936" i="1"/>
  <c r="D937" i="1"/>
  <c r="E937" i="1"/>
  <c r="F937" i="1"/>
  <c r="I937" i="1"/>
  <c r="J937" i="1"/>
  <c r="AN937" i="1"/>
  <c r="AP937" i="1"/>
  <c r="D938" i="1"/>
  <c r="E938" i="1"/>
  <c r="F938" i="1"/>
  <c r="I938" i="1"/>
  <c r="J938" i="1"/>
  <c r="AN938" i="1"/>
  <c r="AP938" i="1"/>
  <c r="D939" i="1"/>
  <c r="E939" i="1"/>
  <c r="F939" i="1"/>
  <c r="I939" i="1"/>
  <c r="J939" i="1"/>
  <c r="AN939" i="1"/>
  <c r="AP939" i="1"/>
  <c r="D940" i="1"/>
  <c r="E940" i="1"/>
  <c r="F940" i="1"/>
  <c r="I940" i="1"/>
  <c r="J940" i="1"/>
  <c r="AN940" i="1"/>
  <c r="AP940" i="1"/>
  <c r="D941" i="1"/>
  <c r="E941" i="1"/>
  <c r="F941" i="1"/>
  <c r="I941" i="1"/>
  <c r="J941" i="1"/>
  <c r="AN941" i="1"/>
  <c r="AP941" i="1"/>
  <c r="D942" i="1"/>
  <c r="E942" i="1"/>
  <c r="F942" i="1"/>
  <c r="I942" i="1"/>
  <c r="J942" i="1"/>
  <c r="AN942" i="1"/>
  <c r="AP942" i="1"/>
  <c r="D943" i="1"/>
  <c r="E943" i="1"/>
  <c r="F943" i="1"/>
  <c r="I943" i="1"/>
  <c r="J943" i="1"/>
  <c r="AN943" i="1"/>
  <c r="AP943" i="1"/>
  <c r="D944" i="1"/>
  <c r="E944" i="1"/>
  <c r="F944" i="1"/>
  <c r="I944" i="1"/>
  <c r="J944" i="1"/>
  <c r="AN944" i="1"/>
  <c r="AP944" i="1"/>
  <c r="D945" i="1"/>
  <c r="E945" i="1"/>
  <c r="F945" i="1"/>
  <c r="I945" i="1"/>
  <c r="J945" i="1"/>
  <c r="AN945" i="1"/>
  <c r="AP945" i="1"/>
  <c r="D946" i="1"/>
  <c r="E946" i="1"/>
  <c r="F946" i="1"/>
  <c r="I946" i="1"/>
  <c r="J946" i="1"/>
  <c r="AN946" i="1"/>
  <c r="AP946" i="1"/>
  <c r="D947" i="1"/>
  <c r="E947" i="1"/>
  <c r="F947" i="1"/>
  <c r="I947" i="1"/>
  <c r="J947" i="1"/>
  <c r="AN947" i="1"/>
  <c r="AP947" i="1"/>
  <c r="D948" i="1"/>
  <c r="E948" i="1"/>
  <c r="F948" i="1"/>
  <c r="I948" i="1"/>
  <c r="J948" i="1"/>
  <c r="AN948" i="1"/>
  <c r="AP948" i="1"/>
  <c r="D949" i="1"/>
  <c r="E949" i="1"/>
  <c r="F949" i="1"/>
  <c r="I949" i="1"/>
  <c r="J949" i="1"/>
  <c r="AN949" i="1"/>
  <c r="AP949" i="1"/>
  <c r="D950" i="1"/>
  <c r="E950" i="1"/>
  <c r="F950" i="1"/>
  <c r="I950" i="1"/>
  <c r="J950" i="1"/>
  <c r="AN950" i="1"/>
  <c r="AP950" i="1"/>
  <c r="D951" i="1"/>
  <c r="E951" i="1"/>
  <c r="F951" i="1"/>
  <c r="I951" i="1"/>
  <c r="J951" i="1"/>
  <c r="AN951" i="1"/>
  <c r="AP951" i="1"/>
  <c r="D952" i="1"/>
  <c r="E952" i="1"/>
  <c r="F952" i="1"/>
  <c r="I952" i="1"/>
  <c r="J952" i="1"/>
  <c r="AN952" i="1"/>
  <c r="AP952" i="1"/>
  <c r="D953" i="1"/>
  <c r="E953" i="1"/>
  <c r="F953" i="1"/>
  <c r="I953" i="1"/>
  <c r="J953" i="1"/>
  <c r="AN953" i="1"/>
  <c r="AP953" i="1"/>
  <c r="D954" i="1"/>
  <c r="E954" i="1"/>
  <c r="F954" i="1"/>
  <c r="I954" i="1"/>
  <c r="J954" i="1"/>
  <c r="AN954" i="1"/>
  <c r="AP954" i="1"/>
  <c r="D955" i="1"/>
  <c r="E955" i="1"/>
  <c r="F955" i="1"/>
  <c r="I955" i="1"/>
  <c r="J955" i="1"/>
  <c r="AN955" i="1"/>
  <c r="AP955" i="1"/>
  <c r="D956" i="1"/>
  <c r="E956" i="1"/>
  <c r="F956" i="1"/>
  <c r="I956" i="1"/>
  <c r="J956" i="1"/>
  <c r="AN956" i="1"/>
  <c r="AP956" i="1"/>
  <c r="D957" i="1"/>
  <c r="E957" i="1"/>
  <c r="F957" i="1"/>
  <c r="I957" i="1"/>
  <c r="J957" i="1"/>
  <c r="AN957" i="1"/>
  <c r="AP957" i="1"/>
  <c r="D958" i="1"/>
  <c r="E958" i="1"/>
  <c r="F958" i="1"/>
  <c r="I958" i="1"/>
  <c r="J958" i="1"/>
  <c r="AN958" i="1"/>
  <c r="AP958" i="1"/>
  <c r="D959" i="1"/>
  <c r="E959" i="1"/>
  <c r="F959" i="1"/>
  <c r="I959" i="1"/>
  <c r="J959" i="1"/>
  <c r="AN959" i="1"/>
  <c r="AP959" i="1"/>
  <c r="D960" i="1"/>
  <c r="E960" i="1"/>
  <c r="F960" i="1"/>
  <c r="I960" i="1"/>
  <c r="J960" i="1"/>
  <c r="AN960" i="1"/>
  <c r="AP960" i="1"/>
  <c r="D961" i="1"/>
  <c r="E961" i="1"/>
  <c r="F961" i="1"/>
  <c r="I961" i="1"/>
  <c r="J961" i="1"/>
  <c r="AN961" i="1"/>
  <c r="AP961" i="1"/>
  <c r="D962" i="1"/>
  <c r="E962" i="1"/>
  <c r="F962" i="1"/>
  <c r="I962" i="1"/>
  <c r="J962" i="1"/>
  <c r="AN962" i="1"/>
  <c r="AP962" i="1"/>
  <c r="D963" i="1"/>
  <c r="E963" i="1"/>
  <c r="F963" i="1"/>
  <c r="I963" i="1"/>
  <c r="J963" i="1"/>
  <c r="AN963" i="1"/>
  <c r="AP963" i="1"/>
  <c r="D964" i="1"/>
  <c r="E964" i="1"/>
  <c r="F964" i="1"/>
  <c r="I964" i="1"/>
  <c r="J964" i="1"/>
  <c r="AN964" i="1"/>
  <c r="AP964" i="1"/>
  <c r="D965" i="1"/>
  <c r="E965" i="1"/>
  <c r="F965" i="1"/>
  <c r="I965" i="1"/>
  <c r="J965" i="1"/>
  <c r="AN965" i="1"/>
  <c r="AP965" i="1"/>
  <c r="D966" i="1"/>
  <c r="E966" i="1"/>
  <c r="F966" i="1"/>
  <c r="I966" i="1"/>
  <c r="J966" i="1"/>
  <c r="AN966" i="1"/>
  <c r="AP966" i="1"/>
  <c r="D967" i="1"/>
  <c r="E967" i="1"/>
  <c r="F967" i="1"/>
  <c r="I967" i="1"/>
  <c r="J967" i="1"/>
  <c r="AN967" i="1"/>
  <c r="AP967" i="1"/>
  <c r="D968" i="1"/>
  <c r="E968" i="1"/>
  <c r="F968" i="1"/>
  <c r="I968" i="1"/>
  <c r="J968" i="1"/>
  <c r="AN968" i="1"/>
  <c r="AP968" i="1"/>
  <c r="D969" i="1"/>
  <c r="E969" i="1"/>
  <c r="F969" i="1"/>
  <c r="I969" i="1"/>
  <c r="J969" i="1"/>
  <c r="AN969" i="1"/>
  <c r="AP969" i="1"/>
  <c r="D970" i="1"/>
  <c r="E970" i="1"/>
  <c r="F970" i="1"/>
  <c r="I970" i="1"/>
  <c r="J970" i="1"/>
  <c r="AN970" i="1"/>
  <c r="AP970" i="1"/>
  <c r="D971" i="1"/>
  <c r="E971" i="1"/>
  <c r="F971" i="1"/>
  <c r="I971" i="1"/>
  <c r="J971" i="1"/>
  <c r="AN971" i="1"/>
  <c r="AP971" i="1"/>
  <c r="D972" i="1"/>
  <c r="E972" i="1"/>
  <c r="F972" i="1"/>
  <c r="I972" i="1"/>
  <c r="J972" i="1"/>
  <c r="AN972" i="1"/>
  <c r="AP972" i="1"/>
  <c r="D973" i="1"/>
  <c r="E973" i="1"/>
  <c r="F973" i="1"/>
  <c r="I973" i="1"/>
  <c r="J973" i="1"/>
  <c r="AN973" i="1"/>
  <c r="AP973" i="1"/>
  <c r="D974" i="1"/>
  <c r="E974" i="1"/>
  <c r="F974" i="1"/>
  <c r="I974" i="1"/>
  <c r="J974" i="1"/>
  <c r="AN974" i="1"/>
  <c r="AP974" i="1"/>
  <c r="D975" i="1"/>
  <c r="E975" i="1"/>
  <c r="F975" i="1"/>
  <c r="I975" i="1"/>
  <c r="J975" i="1"/>
  <c r="AN975" i="1"/>
  <c r="AP975" i="1"/>
  <c r="D976" i="1"/>
  <c r="E976" i="1"/>
  <c r="F976" i="1"/>
  <c r="I976" i="1"/>
  <c r="J976" i="1"/>
  <c r="AN976" i="1"/>
  <c r="AP976" i="1"/>
  <c r="D977" i="1"/>
  <c r="E977" i="1"/>
  <c r="F977" i="1"/>
  <c r="I977" i="1"/>
  <c r="J977" i="1"/>
  <c r="AN977" i="1"/>
  <c r="AP977" i="1"/>
  <c r="D978" i="1"/>
  <c r="E978" i="1"/>
  <c r="F978" i="1"/>
  <c r="I978" i="1"/>
  <c r="J978" i="1"/>
  <c r="AN978" i="1"/>
  <c r="AP978" i="1"/>
  <c r="D979" i="1"/>
  <c r="E979" i="1"/>
  <c r="F979" i="1"/>
  <c r="I979" i="1"/>
  <c r="J979" i="1"/>
  <c r="AN979" i="1"/>
  <c r="AP979" i="1"/>
  <c r="D980" i="1"/>
  <c r="E980" i="1"/>
  <c r="F980" i="1"/>
  <c r="I980" i="1"/>
  <c r="J980" i="1"/>
  <c r="AN980" i="1"/>
  <c r="AP980" i="1"/>
  <c r="D981" i="1"/>
  <c r="E981" i="1"/>
  <c r="F981" i="1"/>
  <c r="I981" i="1"/>
  <c r="J981" i="1"/>
  <c r="AN981" i="1"/>
  <c r="AP981" i="1"/>
  <c r="D982" i="1"/>
  <c r="E982" i="1"/>
  <c r="F982" i="1"/>
  <c r="I982" i="1"/>
  <c r="J982" i="1"/>
  <c r="AN982" i="1"/>
  <c r="AP982" i="1"/>
  <c r="D983" i="1"/>
  <c r="E983" i="1"/>
  <c r="F983" i="1"/>
  <c r="I983" i="1"/>
  <c r="J983" i="1"/>
  <c r="AN983" i="1"/>
  <c r="AP983" i="1"/>
  <c r="D984" i="1"/>
  <c r="E984" i="1"/>
  <c r="F984" i="1"/>
  <c r="I984" i="1"/>
  <c r="J984" i="1"/>
  <c r="AN984" i="1"/>
  <c r="AP984" i="1"/>
  <c r="D985" i="1"/>
  <c r="E985" i="1"/>
  <c r="F985" i="1"/>
  <c r="I985" i="1"/>
  <c r="J985" i="1"/>
  <c r="AN985" i="1"/>
  <c r="AP985" i="1"/>
  <c r="D986" i="1"/>
  <c r="E986" i="1"/>
  <c r="F986" i="1"/>
  <c r="I986" i="1"/>
  <c r="J986" i="1"/>
  <c r="AN986" i="1"/>
  <c r="AP986" i="1"/>
  <c r="D987" i="1"/>
  <c r="E987" i="1"/>
  <c r="F987" i="1"/>
  <c r="I987" i="1"/>
  <c r="J987" i="1"/>
  <c r="AN987" i="1"/>
  <c r="AP987" i="1"/>
  <c r="D988" i="1"/>
  <c r="E988" i="1"/>
  <c r="F988" i="1"/>
  <c r="I988" i="1"/>
  <c r="J988" i="1"/>
  <c r="AN988" i="1"/>
  <c r="AP988" i="1"/>
  <c r="D989" i="1"/>
  <c r="E989" i="1"/>
  <c r="F989" i="1"/>
  <c r="I989" i="1"/>
  <c r="J989" i="1"/>
  <c r="AN989" i="1"/>
  <c r="AP989" i="1"/>
  <c r="D990" i="1"/>
  <c r="E990" i="1"/>
  <c r="F990" i="1"/>
  <c r="I990" i="1"/>
  <c r="J990" i="1"/>
  <c r="AN990" i="1"/>
  <c r="AP990" i="1"/>
  <c r="D991" i="1"/>
  <c r="E991" i="1"/>
  <c r="F991" i="1"/>
  <c r="I991" i="1"/>
  <c r="J991" i="1"/>
  <c r="AN991" i="1"/>
  <c r="AP991" i="1"/>
  <c r="D992" i="1"/>
  <c r="E992" i="1"/>
  <c r="F992" i="1"/>
  <c r="I992" i="1"/>
  <c r="J992" i="1"/>
  <c r="AN992" i="1"/>
  <c r="AP992" i="1"/>
  <c r="D993" i="1"/>
  <c r="E993" i="1"/>
  <c r="F993" i="1"/>
  <c r="I993" i="1"/>
  <c r="J993" i="1"/>
  <c r="AN993" i="1"/>
  <c r="AP993" i="1"/>
  <c r="D994" i="1"/>
  <c r="E994" i="1"/>
  <c r="F994" i="1"/>
  <c r="I994" i="1"/>
  <c r="J994" i="1"/>
  <c r="AN994" i="1"/>
  <c r="AP994" i="1"/>
  <c r="D995" i="1"/>
  <c r="E995" i="1"/>
  <c r="F995" i="1"/>
  <c r="I995" i="1"/>
  <c r="J995" i="1"/>
  <c r="AN995" i="1"/>
  <c r="AP995" i="1"/>
  <c r="D996" i="1"/>
  <c r="E996" i="1"/>
  <c r="F996" i="1"/>
  <c r="I996" i="1"/>
  <c r="J996" i="1"/>
  <c r="AN996" i="1"/>
  <c r="AP996" i="1"/>
  <c r="D997" i="1"/>
  <c r="E997" i="1"/>
  <c r="F997" i="1"/>
  <c r="I997" i="1"/>
  <c r="J997" i="1"/>
  <c r="AN997" i="1"/>
  <c r="AP997" i="1"/>
  <c r="D998" i="1"/>
  <c r="E998" i="1"/>
  <c r="F998" i="1"/>
  <c r="I998" i="1"/>
  <c r="J998" i="1"/>
  <c r="AN998" i="1"/>
  <c r="AP998" i="1"/>
  <c r="D999" i="1"/>
  <c r="E999" i="1"/>
  <c r="F999" i="1"/>
  <c r="I999" i="1"/>
  <c r="J999" i="1"/>
  <c r="AN999" i="1"/>
  <c r="AP999" i="1"/>
  <c r="D1000" i="1"/>
  <c r="E1000" i="1"/>
  <c r="F1000" i="1"/>
  <c r="I1000" i="1"/>
  <c r="J1000" i="1"/>
  <c r="AN1000" i="1"/>
  <c r="AP1000" i="1"/>
  <c r="D1001" i="1"/>
  <c r="E1001" i="1"/>
  <c r="F1001" i="1"/>
  <c r="I1001" i="1"/>
  <c r="J1001" i="1"/>
  <c r="AN1001" i="1"/>
  <c r="AP1001" i="1"/>
  <c r="D1002" i="1"/>
  <c r="E1002" i="1"/>
  <c r="F1002" i="1"/>
  <c r="I1002" i="1"/>
  <c r="J1002" i="1"/>
  <c r="AN1002" i="1"/>
  <c r="AP1002" i="1"/>
  <c r="D1003" i="1"/>
  <c r="E1003" i="1"/>
  <c r="F1003" i="1"/>
  <c r="I1003" i="1"/>
  <c r="J1003" i="1"/>
  <c r="AN1003" i="1"/>
  <c r="AP1003" i="1"/>
  <c r="D1004" i="1"/>
  <c r="E1004" i="1"/>
  <c r="F1004" i="1"/>
  <c r="I1004" i="1"/>
  <c r="J1004" i="1"/>
  <c r="AN1004" i="1"/>
  <c r="AP1004" i="1"/>
  <c r="D1005" i="1"/>
  <c r="E1005" i="1"/>
  <c r="F1005" i="1"/>
  <c r="I1005" i="1"/>
  <c r="J1005" i="1"/>
  <c r="AN1005" i="1"/>
  <c r="AP1005" i="1"/>
  <c r="D1006" i="1"/>
  <c r="E1006" i="1"/>
  <c r="F1006" i="1"/>
  <c r="I1006" i="1"/>
  <c r="J1006" i="1"/>
  <c r="AN1006" i="1"/>
  <c r="AP1006" i="1"/>
  <c r="D1007" i="1"/>
  <c r="E1007" i="1"/>
  <c r="F1007" i="1"/>
  <c r="I1007" i="1"/>
  <c r="J1007" i="1"/>
  <c r="AN1007" i="1"/>
  <c r="AP1007" i="1"/>
  <c r="D1008" i="1"/>
  <c r="E1008" i="1"/>
  <c r="F1008" i="1"/>
  <c r="I1008" i="1"/>
  <c r="J1008" i="1"/>
  <c r="AL1008" i="1"/>
  <c r="AN1008" i="1"/>
  <c r="AP1008" i="1"/>
  <c r="AQ1008" i="1"/>
  <c r="D1009" i="1"/>
  <c r="E1009" i="1"/>
  <c r="F1009" i="1"/>
  <c r="I1009" i="1"/>
  <c r="J1009" i="1"/>
  <c r="AN1009" i="1"/>
  <c r="AP1009" i="1"/>
  <c r="D1010" i="1"/>
  <c r="E1010" i="1"/>
  <c r="F1010" i="1"/>
  <c r="I1010" i="1"/>
  <c r="J1010" i="1"/>
  <c r="AN1010" i="1"/>
  <c r="AP1010" i="1"/>
  <c r="D1011" i="1"/>
  <c r="E1011" i="1"/>
  <c r="F1011" i="1"/>
  <c r="I1011" i="1"/>
  <c r="J1011" i="1"/>
  <c r="AN1011" i="1"/>
  <c r="AP1011" i="1"/>
  <c r="D1012" i="1"/>
  <c r="E1012" i="1"/>
  <c r="F1012" i="1"/>
  <c r="I1012" i="1"/>
  <c r="J1012" i="1"/>
  <c r="AN1012" i="1"/>
  <c r="AP1012" i="1"/>
  <c r="D1013" i="1"/>
  <c r="E1013" i="1"/>
  <c r="F1013" i="1"/>
  <c r="I1013" i="1"/>
  <c r="J1013" i="1"/>
  <c r="AL1013" i="1"/>
  <c r="AN1013" i="1"/>
  <c r="AP1013" i="1"/>
  <c r="AQ1013" i="1"/>
  <c r="D1014" i="1"/>
  <c r="E1014" i="1"/>
  <c r="F1014" i="1"/>
  <c r="I1014" i="1"/>
  <c r="J1014" i="1"/>
  <c r="AN1014" i="1"/>
  <c r="AP1014" i="1"/>
  <c r="D1015" i="1"/>
  <c r="E1015" i="1"/>
  <c r="F1015" i="1"/>
  <c r="I1015" i="1"/>
  <c r="J1015" i="1"/>
  <c r="AN1015" i="1"/>
  <c r="AP1015" i="1"/>
  <c r="AQ1015" i="1"/>
  <c r="D1016" i="1"/>
  <c r="E1016" i="1"/>
  <c r="F1016" i="1"/>
  <c r="I1016" i="1"/>
  <c r="J1016" i="1"/>
  <c r="AN1016" i="1"/>
  <c r="AP1016" i="1"/>
  <c r="D1017" i="1"/>
  <c r="E1017" i="1"/>
  <c r="F1017" i="1"/>
  <c r="I1017" i="1"/>
  <c r="J1017" i="1"/>
  <c r="AN1017" i="1"/>
  <c r="AP1017" i="1"/>
  <c r="D1018" i="1"/>
  <c r="E1018" i="1"/>
  <c r="F1018" i="1"/>
  <c r="I1018" i="1"/>
  <c r="J1018" i="1"/>
  <c r="AN1018" i="1"/>
  <c r="AP1018" i="1"/>
  <c r="D1019" i="1"/>
  <c r="E1019" i="1"/>
  <c r="F1019" i="1"/>
  <c r="I1019" i="1"/>
  <c r="J1019" i="1"/>
  <c r="AN1019" i="1"/>
  <c r="AP1019" i="1"/>
  <c r="AQ1019" i="1"/>
  <c r="D1020" i="1"/>
  <c r="E1020" i="1"/>
  <c r="F1020" i="1"/>
  <c r="I1020" i="1"/>
  <c r="J1020" i="1"/>
  <c r="AL1020" i="1"/>
  <c r="AN1020" i="1"/>
  <c r="AP1020" i="1"/>
  <c r="AQ1020" i="1"/>
  <c r="D1021" i="1"/>
  <c r="E1021" i="1"/>
  <c r="F1021" i="1"/>
  <c r="I1021" i="1"/>
  <c r="J1021" i="1"/>
  <c r="AN1021" i="1"/>
  <c r="AP1021" i="1"/>
  <c r="D1022" i="1"/>
  <c r="E1022" i="1"/>
  <c r="F1022" i="1"/>
  <c r="I1022" i="1"/>
  <c r="J1022" i="1"/>
  <c r="AN1022" i="1"/>
  <c r="AP1022" i="1"/>
  <c r="D1023" i="1"/>
  <c r="E1023" i="1"/>
  <c r="F1023" i="1"/>
  <c r="I1023" i="1"/>
  <c r="J1023" i="1"/>
  <c r="AN1023" i="1"/>
  <c r="AP1023" i="1"/>
  <c r="D1024" i="1"/>
  <c r="E1024" i="1"/>
  <c r="F1024" i="1"/>
  <c r="I1024" i="1"/>
  <c r="J1024" i="1"/>
  <c r="AN1024" i="1"/>
  <c r="AP1024" i="1"/>
  <c r="AQ1024" i="1"/>
  <c r="D1025" i="1"/>
  <c r="E1025" i="1"/>
  <c r="F1025" i="1"/>
  <c r="I1025" i="1"/>
  <c r="J1025" i="1"/>
  <c r="AN1025" i="1"/>
  <c r="AP1025" i="1"/>
  <c r="D1026" i="1"/>
  <c r="E1026" i="1"/>
  <c r="F1026" i="1"/>
  <c r="I1026" i="1"/>
  <c r="J1026" i="1"/>
  <c r="AN1026" i="1"/>
  <c r="AP1026" i="1"/>
  <c r="D1027" i="1"/>
  <c r="E1027" i="1"/>
  <c r="F1027" i="1"/>
  <c r="I1027" i="1"/>
  <c r="J1027" i="1"/>
  <c r="AN1027" i="1"/>
  <c r="AP1027" i="1"/>
  <c r="D1028" i="1"/>
  <c r="E1028" i="1"/>
  <c r="F1028" i="1"/>
  <c r="I1028" i="1"/>
  <c r="J1028" i="1"/>
  <c r="AN1028" i="1"/>
  <c r="AP1028" i="1"/>
  <c r="D1029" i="1"/>
  <c r="E1029" i="1"/>
  <c r="F1029" i="1"/>
  <c r="I1029" i="1"/>
  <c r="J1029" i="1"/>
  <c r="AN1029" i="1"/>
  <c r="AP1029" i="1"/>
  <c r="D1030" i="1"/>
  <c r="E1030" i="1"/>
  <c r="F1030" i="1"/>
  <c r="I1030" i="1"/>
  <c r="J1030" i="1"/>
  <c r="AN1030" i="1"/>
  <c r="AP1030" i="1"/>
  <c r="D1031" i="1"/>
  <c r="E1031" i="1"/>
  <c r="F1031" i="1"/>
  <c r="I1031" i="1"/>
  <c r="J1031" i="1"/>
  <c r="AN1031" i="1"/>
  <c r="AP1031" i="1"/>
  <c r="D1032" i="1"/>
  <c r="E1032" i="1"/>
  <c r="F1032" i="1"/>
  <c r="I1032" i="1"/>
  <c r="J1032" i="1"/>
  <c r="AN1032" i="1"/>
  <c r="AP1032" i="1"/>
  <c r="AQ1032" i="1"/>
  <c r="D1033" i="1"/>
  <c r="E1033" i="1"/>
  <c r="F1033" i="1"/>
  <c r="I1033" i="1"/>
  <c r="J1033" i="1"/>
  <c r="AN1033" i="1"/>
  <c r="AP1033" i="1"/>
  <c r="D1034" i="1"/>
  <c r="E1034" i="1"/>
  <c r="F1034" i="1"/>
  <c r="I1034" i="1"/>
  <c r="J1034" i="1"/>
  <c r="AN1034" i="1"/>
  <c r="AP1034" i="1"/>
  <c r="D1035" i="1"/>
  <c r="E1035" i="1"/>
  <c r="F1035" i="1"/>
  <c r="I1035" i="1"/>
  <c r="J1035" i="1"/>
  <c r="AL1035" i="1"/>
  <c r="AN1035" i="1"/>
  <c r="AP1035" i="1"/>
  <c r="D1036" i="1"/>
  <c r="E1036" i="1"/>
  <c r="F1036" i="1"/>
  <c r="I1036" i="1"/>
  <c r="J1036" i="1"/>
  <c r="AN1036" i="1"/>
  <c r="AP1036" i="1"/>
  <c r="D1037" i="1"/>
  <c r="E1037" i="1"/>
  <c r="F1037" i="1"/>
  <c r="I1037" i="1"/>
  <c r="J1037" i="1"/>
  <c r="AN1037" i="1"/>
  <c r="AP1037" i="1"/>
  <c r="D1038" i="1"/>
  <c r="E1038" i="1"/>
  <c r="F1038" i="1"/>
  <c r="I1038" i="1"/>
  <c r="J1038" i="1"/>
  <c r="AN1038" i="1"/>
  <c r="AP1038" i="1"/>
  <c r="D1039" i="1"/>
  <c r="E1039" i="1"/>
  <c r="F1039" i="1"/>
  <c r="I1039" i="1"/>
  <c r="J1039" i="1"/>
  <c r="AN1039" i="1"/>
  <c r="AP1039" i="1"/>
  <c r="D1040" i="1"/>
  <c r="E1040" i="1"/>
  <c r="F1040" i="1"/>
  <c r="I1040" i="1"/>
  <c r="J1040" i="1"/>
  <c r="AN1040" i="1"/>
  <c r="AP1040" i="1"/>
  <c r="D1041" i="1"/>
  <c r="E1041" i="1"/>
  <c r="F1041" i="1"/>
  <c r="I1041" i="1"/>
  <c r="J1041" i="1"/>
  <c r="AN1041" i="1"/>
  <c r="AP1041" i="1"/>
  <c r="D1042" i="1"/>
  <c r="E1042" i="1"/>
  <c r="F1042" i="1"/>
  <c r="I1042" i="1"/>
  <c r="J1042" i="1"/>
  <c r="AN1042" i="1"/>
  <c r="AP1042" i="1"/>
  <c r="D1043" i="1"/>
  <c r="E1043" i="1"/>
  <c r="F1043" i="1"/>
  <c r="I1043" i="1"/>
  <c r="J1043" i="1"/>
  <c r="AN1043" i="1"/>
  <c r="AP1043" i="1"/>
  <c r="D1044" i="1"/>
  <c r="E1044" i="1"/>
  <c r="F1044" i="1"/>
  <c r="I1044" i="1"/>
  <c r="J1044" i="1"/>
  <c r="AN1044" i="1"/>
  <c r="AP1044" i="1"/>
  <c r="D1045" i="1"/>
  <c r="E1045" i="1"/>
  <c r="F1045" i="1"/>
  <c r="I1045" i="1"/>
  <c r="J1045" i="1"/>
  <c r="AN1045" i="1"/>
  <c r="AP1045" i="1"/>
  <c r="AQ1045" i="1"/>
  <c r="D1046" i="1"/>
  <c r="E1046" i="1"/>
  <c r="F1046" i="1"/>
  <c r="I1046" i="1"/>
  <c r="J1046" i="1"/>
  <c r="AN1046" i="1"/>
  <c r="AP1046" i="1"/>
  <c r="D1047" i="1"/>
  <c r="E1047" i="1"/>
  <c r="F1047" i="1"/>
  <c r="I1047" i="1"/>
  <c r="J1047" i="1"/>
  <c r="AN1047" i="1"/>
  <c r="AP1047" i="1"/>
  <c r="D1048" i="1"/>
  <c r="E1048" i="1"/>
  <c r="F1048" i="1"/>
  <c r="I1048" i="1"/>
  <c r="J1048" i="1"/>
  <c r="AN1048" i="1"/>
  <c r="AP1048" i="1"/>
  <c r="D1049" i="1"/>
  <c r="E1049" i="1"/>
  <c r="F1049" i="1"/>
  <c r="I1049" i="1"/>
  <c r="J1049" i="1"/>
  <c r="AN1049" i="1"/>
  <c r="AP1049" i="1"/>
  <c r="D1050" i="1"/>
  <c r="E1050" i="1"/>
  <c r="F1050" i="1"/>
  <c r="I1050" i="1"/>
  <c r="J1050" i="1"/>
  <c r="AN1050" i="1"/>
  <c r="AP1050" i="1"/>
  <c r="D1051" i="1"/>
  <c r="E1051" i="1"/>
  <c r="F1051" i="1"/>
  <c r="I1051" i="1"/>
  <c r="J1051" i="1"/>
  <c r="AN1051" i="1"/>
  <c r="AP1051" i="1"/>
  <c r="D1052" i="1"/>
  <c r="E1052" i="1"/>
  <c r="F1052" i="1"/>
  <c r="I1052" i="1"/>
  <c r="J1052" i="1"/>
  <c r="AN1052" i="1"/>
  <c r="AP1052" i="1"/>
  <c r="D1053" i="1"/>
  <c r="E1053" i="1"/>
  <c r="F1053" i="1"/>
  <c r="I1053" i="1"/>
  <c r="J1053" i="1"/>
  <c r="AL1053" i="1"/>
  <c r="AN1053" i="1"/>
  <c r="AP1053" i="1"/>
  <c r="AQ1053" i="1"/>
  <c r="D1054" i="1"/>
  <c r="E1054" i="1"/>
  <c r="F1054" i="1"/>
  <c r="I1054" i="1"/>
  <c r="J1054" i="1"/>
  <c r="AN1054" i="1"/>
  <c r="AP1054" i="1"/>
  <c r="D1055" i="1"/>
  <c r="E1055" i="1"/>
  <c r="F1055" i="1"/>
  <c r="I1055" i="1"/>
  <c r="J1055" i="1"/>
  <c r="AN1055" i="1"/>
  <c r="AP1055" i="1"/>
</calcChain>
</file>

<file path=xl/sharedStrings.xml><?xml version="1.0" encoding="utf-8"?>
<sst xmlns="http://schemas.openxmlformats.org/spreadsheetml/2006/main" count="1097" uniqueCount="44">
  <si>
    <t>판매처</t>
  </si>
  <si>
    <t>시리즈 ID</t>
  </si>
  <si>
    <t>도서 ID</t>
  </si>
  <si>
    <t>제목</t>
  </si>
  <si>
    <t>권/화수</t>
  </si>
  <si>
    <t>저자</t>
  </si>
  <si>
    <t>역자</t>
  </si>
  <si>
    <t>그림</t>
  </si>
  <si>
    <t>출판사</t>
  </si>
  <si>
    <t>시리즈명</t>
  </si>
  <si>
    <t>전자책정가</t>
  </si>
  <si>
    <t>단권판매액</t>
  </si>
  <si>
    <t>단권판매권</t>
  </si>
  <si>
    <t>단권무료권</t>
  </si>
  <si>
    <t>대여액</t>
  </si>
  <si>
    <t>대여유료권( ~ 2020-04 대여권)</t>
  </si>
  <si>
    <t>대여무료권</t>
  </si>
  <si>
    <t>자유다운금액</t>
  </si>
  <si>
    <t>자유다운권</t>
  </si>
  <si>
    <t>세트판매액</t>
  </si>
  <si>
    <t>세트판매권</t>
  </si>
  <si>
    <t>세트대여액</t>
  </si>
  <si>
    <t>세트대여권</t>
  </si>
  <si>
    <t>취소액</t>
  </si>
  <si>
    <t>취소권</t>
  </si>
  <si>
    <t>취소단권판매액</t>
  </si>
  <si>
    <t>취소단권판매권</t>
  </si>
  <si>
    <t>취소대여액</t>
  </si>
  <si>
    <t>취소대여권</t>
  </si>
  <si>
    <t>취소자유다운액</t>
  </si>
  <si>
    <t>취소자유다운권</t>
  </si>
  <si>
    <t>취소세트판매액</t>
  </si>
  <si>
    <t>취소세트판매권</t>
  </si>
  <si>
    <t>취소세트대여액</t>
  </si>
  <si>
    <t>취소세트대여권</t>
  </si>
  <si>
    <t>정산액</t>
  </si>
  <si>
    <t>종이책ISBN10</t>
  </si>
  <si>
    <t>종이책ISBN13</t>
  </si>
  <si>
    <t>전자책ISBN10</t>
  </si>
  <si>
    <t>전자책ISBN13</t>
  </si>
  <si>
    <t>CP 관리 ID</t>
  </si>
  <si>
    <t>카테고리1</t>
  </si>
  <si>
    <t>카테고리2</t>
  </si>
  <si>
    <t>전체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</si>
</sst>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55"/>
  <sheetViews>
    <sheetView tabSelected="1" workbookViewId="0"/>
  </sheetViews>
  <sheetFormatPr defaultRowHeight="17.399999999999999" x14ac:dyDescent="0.4"/>
  <sheetData>
    <row r="1" spans="1:4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4">
      <c r="A2" t="s">
        <v>43</v>
      </c>
      <c r="B2">
        <v>3822001215</v>
      </c>
      <c r="C2">
        <v>3822001215</v>
      </c>
      <c r="D2" t="str">
        <f>T("왓에버 유 두(whatever you do) 1권")</f>
        <v>왓에버 유 두(whatever you do) 1권</v>
      </c>
      <c r="E2" t="str">
        <f>T("1")</f>
        <v>1</v>
      </c>
      <c r="F2" t="str">
        <f>T("원믹")</f>
        <v>원믹</v>
      </c>
      <c r="I2" t="str">
        <f>T("딥블렌드")</f>
        <v>딥블렌드</v>
      </c>
      <c r="J2" t="str">
        <f>T("왓에버 유 두(whatever you do)")</f>
        <v>왓에버 유 두(whatever you do)</v>
      </c>
      <c r="K2">
        <v>3200</v>
      </c>
      <c r="L2">
        <v>1833600</v>
      </c>
      <c r="M2">
        <v>573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-16000</v>
      </c>
      <c r="Y2">
        <v>5</v>
      </c>
      <c r="Z2">
        <v>-16000</v>
      </c>
      <c r="AA2">
        <v>5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1092480</v>
      </c>
      <c r="AN2" t="str">
        <f>T("9791190876353")</f>
        <v>9791190876353</v>
      </c>
      <c r="AP2" t="str">
        <f>T("BL 소설 e북 &gt; 현대물")</f>
        <v>BL 소설 e북 &gt; 현대물</v>
      </c>
    </row>
    <row r="3" spans="1:43" x14ac:dyDescent="0.4">
      <c r="A3" t="s">
        <v>43</v>
      </c>
      <c r="B3">
        <v>3822001215</v>
      </c>
      <c r="C3">
        <v>3822001216</v>
      </c>
      <c r="D3" t="str">
        <f>T("왓에버 유 두(whatever you do) 2권")</f>
        <v>왓에버 유 두(whatever you do) 2권</v>
      </c>
      <c r="E3" t="str">
        <f>T("2")</f>
        <v>2</v>
      </c>
      <c r="F3" t="str">
        <f>T("원믹")</f>
        <v>원믹</v>
      </c>
      <c r="I3" t="str">
        <f>T("딥블렌드")</f>
        <v>딥블렌드</v>
      </c>
      <c r="J3" t="str">
        <f>T("왓에버 유 두(whatever you do)")</f>
        <v>왓에버 유 두(whatever you do)</v>
      </c>
      <c r="K3">
        <v>3200</v>
      </c>
      <c r="L3">
        <v>1641600</v>
      </c>
      <c r="M3">
        <v>513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-16000</v>
      </c>
      <c r="Y3">
        <v>5</v>
      </c>
      <c r="Z3">
        <v>-16000</v>
      </c>
      <c r="AA3">
        <v>5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977600</v>
      </c>
      <c r="AN3" t="str">
        <f>T("9791190876360")</f>
        <v>9791190876360</v>
      </c>
      <c r="AP3" t="str">
        <f>T("BL 소설 e북 &gt; 현대물")</f>
        <v>BL 소설 e북 &gt; 현대물</v>
      </c>
    </row>
    <row r="4" spans="1:43" x14ac:dyDescent="0.4">
      <c r="A4" t="s">
        <v>43</v>
      </c>
      <c r="B4">
        <v>3822001215</v>
      </c>
      <c r="C4">
        <v>3822001217</v>
      </c>
      <c r="D4" t="str">
        <f>T("왓에버 유 두(whatever you do) 3권")</f>
        <v>왓에버 유 두(whatever you do) 3권</v>
      </c>
      <c r="E4" t="str">
        <f>T("3")</f>
        <v>3</v>
      </c>
      <c r="F4" t="str">
        <f>T("원믹")</f>
        <v>원믹</v>
      </c>
      <c r="I4" t="str">
        <f>T("딥블렌드")</f>
        <v>딥블렌드</v>
      </c>
      <c r="J4" t="str">
        <f>T("왓에버 유 두(whatever you do)")</f>
        <v>왓에버 유 두(whatever you do)</v>
      </c>
      <c r="K4">
        <v>3200</v>
      </c>
      <c r="L4">
        <v>1459200</v>
      </c>
      <c r="M4">
        <v>456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-12800</v>
      </c>
      <c r="Y4">
        <v>4</v>
      </c>
      <c r="Z4">
        <v>-12800</v>
      </c>
      <c r="AA4">
        <v>4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869760</v>
      </c>
      <c r="AN4" t="str">
        <f>T("9791190876377")</f>
        <v>9791190876377</v>
      </c>
      <c r="AP4" t="str">
        <f>T("BL 소설 e북 &gt; 현대물")</f>
        <v>BL 소설 e북 &gt; 현대물</v>
      </c>
    </row>
    <row r="5" spans="1:43" x14ac:dyDescent="0.4">
      <c r="A5" t="s">
        <v>43</v>
      </c>
      <c r="B5">
        <v>3822001215</v>
      </c>
      <c r="C5">
        <v>3822001219</v>
      </c>
      <c r="D5" t="str">
        <f>T("왓에버 유 두(whatever you do) 5권 (완결)")</f>
        <v>왓에버 유 두(whatever you do) 5권 (완결)</v>
      </c>
      <c r="E5" t="str">
        <f>T("5")</f>
        <v>5</v>
      </c>
      <c r="F5" t="str">
        <f>T("원믹")</f>
        <v>원믹</v>
      </c>
      <c r="I5" t="str">
        <f>T("딥블렌드")</f>
        <v>딥블렌드</v>
      </c>
      <c r="J5" t="str">
        <f>T("왓에버 유 두(whatever you do)")</f>
        <v>왓에버 유 두(whatever you do)</v>
      </c>
      <c r="K5">
        <v>3200</v>
      </c>
      <c r="L5">
        <v>1408000</v>
      </c>
      <c r="M5">
        <v>440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-12800</v>
      </c>
      <c r="Y5">
        <v>4</v>
      </c>
      <c r="Z5">
        <v>-12800</v>
      </c>
      <c r="AA5">
        <v>4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838400</v>
      </c>
      <c r="AN5" t="str">
        <f>T("9791190876391")</f>
        <v>9791190876391</v>
      </c>
      <c r="AP5" t="str">
        <f>T("BL 소설 e북 &gt; 현대물")</f>
        <v>BL 소설 e북 &gt; 현대물</v>
      </c>
    </row>
    <row r="6" spans="1:43" x14ac:dyDescent="0.4">
      <c r="A6" t="s">
        <v>43</v>
      </c>
      <c r="B6">
        <v>3822001215</v>
      </c>
      <c r="C6">
        <v>3822001218</v>
      </c>
      <c r="D6" t="str">
        <f>T("왓에버 유 두(whatever you do) 4권")</f>
        <v>왓에버 유 두(whatever you do) 4권</v>
      </c>
      <c r="E6" t="str">
        <f>T("4")</f>
        <v>4</v>
      </c>
      <c r="F6" t="str">
        <f>T("원믹")</f>
        <v>원믹</v>
      </c>
      <c r="I6" t="str">
        <f>T("딥블렌드")</f>
        <v>딥블렌드</v>
      </c>
      <c r="J6" t="str">
        <f>T("왓에버 유 두(whatever you do)")</f>
        <v>왓에버 유 두(whatever you do)</v>
      </c>
      <c r="K6">
        <v>3200</v>
      </c>
      <c r="L6">
        <v>1372800</v>
      </c>
      <c r="M6">
        <v>429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-12800</v>
      </c>
      <c r="Y6">
        <v>4</v>
      </c>
      <c r="Z6">
        <v>-12800</v>
      </c>
      <c r="AA6">
        <v>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817280</v>
      </c>
      <c r="AN6" t="str">
        <f>T("9791190876384")</f>
        <v>9791190876384</v>
      </c>
      <c r="AP6" t="str">
        <f>T("BL 소설 e북 &gt; 현대물")</f>
        <v>BL 소설 e북 &gt; 현대물</v>
      </c>
    </row>
    <row r="7" spans="1:43" x14ac:dyDescent="0.4">
      <c r="A7" t="s">
        <v>43</v>
      </c>
      <c r="C7">
        <v>3822001224</v>
      </c>
      <c r="D7" t="str">
        <f>T("더 프로파일러(The profiler)")</f>
        <v>더 프로파일러(The profiler)</v>
      </c>
      <c r="F7" t="str">
        <f>T("김원리")</f>
        <v>김원리</v>
      </c>
      <c r="I7" t="str">
        <f>T("애프터선셋")</f>
        <v>애프터선셋</v>
      </c>
      <c r="K7">
        <v>3200</v>
      </c>
      <c r="L7">
        <v>446720</v>
      </c>
      <c r="M7">
        <v>153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-6080</v>
      </c>
      <c r="Y7">
        <v>2</v>
      </c>
      <c r="Z7">
        <v>-6080</v>
      </c>
      <c r="AA7">
        <v>2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308448</v>
      </c>
      <c r="AN7" t="str">
        <f>T("9791190876407")</f>
        <v>9791190876407</v>
      </c>
      <c r="AP7" t="str">
        <f>T("로맨스 e북 &gt; 현대물")</f>
        <v>로맨스 e북 &gt; 현대물</v>
      </c>
      <c r="AQ7" t="str">
        <f>T("로맨스 e북 &gt; 19+")</f>
        <v>로맨스 e북 &gt; 19+</v>
      </c>
    </row>
    <row r="8" spans="1:43" x14ac:dyDescent="0.4">
      <c r="A8" t="s">
        <v>43</v>
      </c>
      <c r="B8">
        <v>3822001075</v>
      </c>
      <c r="C8">
        <v>3822001075</v>
      </c>
      <c r="D8" t="str">
        <f>T("저승꽃감관 1권")</f>
        <v>저승꽃감관 1권</v>
      </c>
      <c r="E8" t="str">
        <f>T("1")</f>
        <v>1</v>
      </c>
      <c r="F8" t="str">
        <f>T("에복")</f>
        <v>에복</v>
      </c>
      <c r="I8" t="str">
        <f t="shared" ref="I8:I39" si="0">T("딥블렌드")</f>
        <v>딥블렌드</v>
      </c>
      <c r="J8" t="str">
        <f>T("저승꽃감관")</f>
        <v>저승꽃감관</v>
      </c>
      <c r="K8">
        <v>3300</v>
      </c>
      <c r="L8">
        <v>320100</v>
      </c>
      <c r="M8">
        <v>97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-3300</v>
      </c>
      <c r="Y8">
        <v>1</v>
      </c>
      <c r="Z8">
        <v>-3300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221760</v>
      </c>
      <c r="AN8" t="str">
        <f>T("9791190876049")</f>
        <v>9791190876049</v>
      </c>
      <c r="AP8" t="str">
        <f>T("BL 소설 e북 &gt; 역사/시대물")</f>
        <v>BL 소설 e북 &gt; 역사/시대물</v>
      </c>
    </row>
    <row r="9" spans="1:43" x14ac:dyDescent="0.4">
      <c r="A9" t="s">
        <v>43</v>
      </c>
      <c r="B9">
        <v>3822001075</v>
      </c>
      <c r="C9">
        <v>3822001076</v>
      </c>
      <c r="D9" t="str">
        <f>T("저승꽃감관 2권")</f>
        <v>저승꽃감관 2권</v>
      </c>
      <c r="E9" t="str">
        <f>T("2")</f>
        <v>2</v>
      </c>
      <c r="F9" t="str">
        <f>T("에복")</f>
        <v>에복</v>
      </c>
      <c r="I9" t="str">
        <f t="shared" si="0"/>
        <v>딥블렌드</v>
      </c>
      <c r="J9" t="str">
        <f>T("저승꽃감관")</f>
        <v>저승꽃감관</v>
      </c>
      <c r="K9">
        <v>3300</v>
      </c>
      <c r="L9">
        <v>267300</v>
      </c>
      <c r="M9">
        <v>81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-3300</v>
      </c>
      <c r="Y9">
        <v>1</v>
      </c>
      <c r="Z9">
        <v>-3300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184800</v>
      </c>
      <c r="AN9" t="str">
        <f>T("9791190876056")</f>
        <v>9791190876056</v>
      </c>
      <c r="AP9" t="str">
        <f>T("BL 소설 e북 &gt; 역사/시대물")</f>
        <v>BL 소설 e북 &gt; 역사/시대물</v>
      </c>
    </row>
    <row r="10" spans="1:43" x14ac:dyDescent="0.4">
      <c r="A10" t="s">
        <v>43</v>
      </c>
      <c r="B10">
        <v>3822001075</v>
      </c>
      <c r="C10">
        <v>3822001077</v>
      </c>
      <c r="D10" t="str">
        <f>T("저승꽃감관 3권")</f>
        <v>저승꽃감관 3권</v>
      </c>
      <c r="E10" t="str">
        <f>T("3")</f>
        <v>3</v>
      </c>
      <c r="F10" t="str">
        <f>T("에복")</f>
        <v>에복</v>
      </c>
      <c r="I10" t="str">
        <f t="shared" si="0"/>
        <v>딥블렌드</v>
      </c>
      <c r="J10" t="str">
        <f>T("저승꽃감관")</f>
        <v>저승꽃감관</v>
      </c>
      <c r="K10">
        <v>3300</v>
      </c>
      <c r="L10">
        <v>244200</v>
      </c>
      <c r="M10">
        <v>74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-6600</v>
      </c>
      <c r="Y10">
        <v>2</v>
      </c>
      <c r="Z10">
        <v>-6600</v>
      </c>
      <c r="AA10">
        <v>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166320</v>
      </c>
      <c r="AN10" t="str">
        <f>T("9791190876063")</f>
        <v>9791190876063</v>
      </c>
      <c r="AP10" t="str">
        <f>T("BL 소설 e북 &gt; 역사/시대물")</f>
        <v>BL 소설 e북 &gt; 역사/시대물</v>
      </c>
    </row>
    <row r="11" spans="1:43" x14ac:dyDescent="0.4">
      <c r="A11" t="s">
        <v>43</v>
      </c>
      <c r="B11">
        <v>3822001075</v>
      </c>
      <c r="C11">
        <v>3822001079</v>
      </c>
      <c r="D11" t="str">
        <f>T("저승꽃감관 5권 (완결)")</f>
        <v>저승꽃감관 5권 (완결)</v>
      </c>
      <c r="E11" t="str">
        <f>T("5")</f>
        <v>5</v>
      </c>
      <c r="F11" t="str">
        <f>T("에복")</f>
        <v>에복</v>
      </c>
      <c r="I11" t="str">
        <f t="shared" si="0"/>
        <v>딥블렌드</v>
      </c>
      <c r="J11" t="str">
        <f>T("저승꽃감관")</f>
        <v>저승꽃감관</v>
      </c>
      <c r="K11">
        <v>3300</v>
      </c>
      <c r="L11">
        <v>234300</v>
      </c>
      <c r="M11">
        <v>71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-3300</v>
      </c>
      <c r="Y11">
        <v>1</v>
      </c>
      <c r="Z11">
        <v>-3300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161700</v>
      </c>
      <c r="AN11" t="str">
        <f>T("9791190876087")</f>
        <v>9791190876087</v>
      </c>
      <c r="AP11" t="str">
        <f>T("BL 소설 e북 &gt; 역사/시대물")</f>
        <v>BL 소설 e북 &gt; 역사/시대물</v>
      </c>
    </row>
    <row r="12" spans="1:43" x14ac:dyDescent="0.4">
      <c r="A12" t="s">
        <v>43</v>
      </c>
      <c r="B12">
        <v>3822001075</v>
      </c>
      <c r="C12">
        <v>3822001078</v>
      </c>
      <c r="D12" t="str">
        <f>T("저승꽃감관 4권")</f>
        <v>저승꽃감관 4권</v>
      </c>
      <c r="E12" t="str">
        <f>T("4")</f>
        <v>4</v>
      </c>
      <c r="F12" t="str">
        <f>T("에복")</f>
        <v>에복</v>
      </c>
      <c r="I12" t="str">
        <f t="shared" si="0"/>
        <v>딥블렌드</v>
      </c>
      <c r="J12" t="str">
        <f>T("저승꽃감관")</f>
        <v>저승꽃감관</v>
      </c>
      <c r="K12">
        <v>3300</v>
      </c>
      <c r="L12">
        <v>224400</v>
      </c>
      <c r="M12">
        <v>68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-3300</v>
      </c>
      <c r="Y12">
        <v>1</v>
      </c>
      <c r="Z12">
        <v>-3300</v>
      </c>
      <c r="AA12">
        <v>1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154770</v>
      </c>
      <c r="AN12" t="str">
        <f>T("9791190876070")</f>
        <v>9791190876070</v>
      </c>
      <c r="AP12" t="str">
        <f>T("BL 소설 e북 &gt; 역사/시대물")</f>
        <v>BL 소설 e북 &gt; 역사/시대물</v>
      </c>
    </row>
    <row r="13" spans="1:43" x14ac:dyDescent="0.4">
      <c r="A13" t="s">
        <v>43</v>
      </c>
      <c r="B13">
        <v>3822001253</v>
      </c>
      <c r="C13">
        <v>3822001253</v>
      </c>
      <c r="D13" t="str">
        <f>T("형의 엉덩이를 지켜라 1권")</f>
        <v>형의 엉덩이를 지켜라 1권</v>
      </c>
      <c r="E13" t="str">
        <f>T("1")</f>
        <v>1</v>
      </c>
      <c r="F13" t="str">
        <f>T("에르모")</f>
        <v>에르모</v>
      </c>
      <c r="I13" t="str">
        <f t="shared" si="0"/>
        <v>딥블렌드</v>
      </c>
      <c r="J13" t="str">
        <f>T("형의 엉덩이를 지켜라")</f>
        <v>형의 엉덩이를 지켜라</v>
      </c>
      <c r="K13">
        <v>2800</v>
      </c>
      <c r="L13">
        <v>184800</v>
      </c>
      <c r="M13">
        <v>66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129360</v>
      </c>
      <c r="AN13" t="str">
        <f>T("9791190876421")</f>
        <v>9791190876421</v>
      </c>
      <c r="AP13" t="str">
        <f>T("BL 소설 e북 &gt; 현대물")</f>
        <v>BL 소설 e북 &gt; 현대물</v>
      </c>
    </row>
    <row r="14" spans="1:43" x14ac:dyDescent="0.4">
      <c r="A14" t="s">
        <v>43</v>
      </c>
      <c r="B14">
        <v>3822001082</v>
      </c>
      <c r="C14">
        <v>3822001082</v>
      </c>
      <c r="D14" t="str">
        <f>T("어비스(Abyss) 1권")</f>
        <v>어비스(Abyss) 1권</v>
      </c>
      <c r="E14" t="str">
        <f>T("1")</f>
        <v>1</v>
      </c>
      <c r="F14" t="str">
        <f>T("퀸에이")</f>
        <v>퀸에이</v>
      </c>
      <c r="I14" t="str">
        <f t="shared" si="0"/>
        <v>딥블렌드</v>
      </c>
      <c r="J14" t="str">
        <f>T("어비스(Abyss)")</f>
        <v>어비스(Abyss)</v>
      </c>
      <c r="K14">
        <v>3200</v>
      </c>
      <c r="L14">
        <v>166400</v>
      </c>
      <c r="M14">
        <v>52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99840</v>
      </c>
      <c r="AN14" t="str">
        <f>T("9791190876100")</f>
        <v>9791190876100</v>
      </c>
      <c r="AP14" t="str">
        <f>T("BL 소설 e북 &gt; 현대물")</f>
        <v>BL 소설 e북 &gt; 현대물</v>
      </c>
      <c r="AQ14" t="str">
        <f>T("BL 소설 e북 &gt; 판타지물")</f>
        <v>BL 소설 e북 &gt; 판타지물</v>
      </c>
    </row>
    <row r="15" spans="1:43" x14ac:dyDescent="0.4">
      <c r="A15" t="s">
        <v>43</v>
      </c>
      <c r="B15">
        <v>3822001253</v>
      </c>
      <c r="C15">
        <v>3822001254</v>
      </c>
      <c r="D15" t="str">
        <f>T("형의 엉덩이를 지켜라 2권 (완결)")</f>
        <v>형의 엉덩이를 지켜라 2권 (완결)</v>
      </c>
      <c r="E15" t="str">
        <f>T("2")</f>
        <v>2</v>
      </c>
      <c r="F15" t="str">
        <f>T("에르모")</f>
        <v>에르모</v>
      </c>
      <c r="I15" t="str">
        <f t="shared" si="0"/>
        <v>딥블렌드</v>
      </c>
      <c r="J15" t="str">
        <f>T("형의 엉덩이를 지켜라")</f>
        <v>형의 엉덩이를 지켜라</v>
      </c>
      <c r="K15">
        <v>2800</v>
      </c>
      <c r="L15">
        <v>162400</v>
      </c>
      <c r="M15">
        <v>58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113680</v>
      </c>
      <c r="AN15" t="str">
        <f>T("9791190876438")</f>
        <v>9791190876438</v>
      </c>
      <c r="AP15" t="str">
        <f>T("BL 소설 e북 &gt; 현대물")</f>
        <v>BL 소설 e북 &gt; 현대물</v>
      </c>
    </row>
    <row r="16" spans="1:43" x14ac:dyDescent="0.4">
      <c r="A16" t="s">
        <v>43</v>
      </c>
      <c r="B16">
        <v>3822000323</v>
      </c>
      <c r="C16">
        <v>3822001225</v>
      </c>
      <c r="D16" t="str">
        <f>T("[연재]네크로맨서 생존기 197화")</f>
        <v>[연재]네크로맨서 생존기 197화</v>
      </c>
      <c r="E16" t="str">
        <f>T("197")</f>
        <v>197</v>
      </c>
      <c r="F16" t="str">
        <f t="shared" ref="F16:F24" si="1">T("키마님")</f>
        <v>키마님</v>
      </c>
      <c r="I16" t="str">
        <f t="shared" si="0"/>
        <v>딥블렌드</v>
      </c>
      <c r="J16" t="str">
        <f t="shared" ref="J16:J24" si="2">T("[연재]네크로맨서 생존기")</f>
        <v>[연재]네크로맨서 생존기</v>
      </c>
      <c r="K16">
        <v>100</v>
      </c>
      <c r="L16">
        <v>153300</v>
      </c>
      <c r="M16">
        <v>1533</v>
      </c>
      <c r="N16">
        <v>0</v>
      </c>
      <c r="O16">
        <v>0</v>
      </c>
      <c r="P16">
        <v>0</v>
      </c>
      <c r="Q16">
        <v>91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-1500</v>
      </c>
      <c r="Y16">
        <v>16</v>
      </c>
      <c r="Z16">
        <v>-1500</v>
      </c>
      <c r="AA16">
        <v>15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91080</v>
      </c>
      <c r="AL16" t="str">
        <f t="shared" ref="AL16:AL24" si="3">T("0000000000000")</f>
        <v>0000000000000</v>
      </c>
      <c r="AN16" t="str">
        <f t="shared" ref="AN16:AN24" si="4">T("9791190142359")</f>
        <v>9791190142359</v>
      </c>
      <c r="AP16" t="str">
        <f t="shared" ref="AP16:AP24" si="5">T("BL 웹소설 &gt; 현대물")</f>
        <v>BL 웹소설 &gt; 현대물</v>
      </c>
      <c r="AQ16" t="str">
        <f t="shared" ref="AQ16:AQ24" si="6">T("BL 웹소설 &gt; 판타지물")</f>
        <v>BL 웹소설 &gt; 판타지물</v>
      </c>
    </row>
    <row r="17" spans="1:43" x14ac:dyDescent="0.4">
      <c r="A17" t="s">
        <v>43</v>
      </c>
      <c r="B17">
        <v>3822000323</v>
      </c>
      <c r="C17">
        <v>3822001232</v>
      </c>
      <c r="D17" t="str">
        <f>T("[연재]네크로맨서 생존기 198화")</f>
        <v>[연재]네크로맨서 생존기 198화</v>
      </c>
      <c r="E17" t="str">
        <f>T("198")</f>
        <v>198</v>
      </c>
      <c r="F17" t="str">
        <f t="shared" si="1"/>
        <v>키마님</v>
      </c>
      <c r="I17" t="str">
        <f t="shared" si="0"/>
        <v>딥블렌드</v>
      </c>
      <c r="J17" t="str">
        <f t="shared" si="2"/>
        <v>[연재]네크로맨서 생존기</v>
      </c>
      <c r="K17">
        <v>100</v>
      </c>
      <c r="L17">
        <v>153000</v>
      </c>
      <c r="M17">
        <v>1530</v>
      </c>
      <c r="N17">
        <v>0</v>
      </c>
      <c r="O17">
        <v>0</v>
      </c>
      <c r="P17">
        <v>0</v>
      </c>
      <c r="Q17">
        <v>63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-1100</v>
      </c>
      <c r="Y17">
        <v>12</v>
      </c>
      <c r="Z17">
        <v>-1100</v>
      </c>
      <c r="AA17">
        <v>11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91140</v>
      </c>
      <c r="AL17" t="str">
        <f t="shared" si="3"/>
        <v>0000000000000</v>
      </c>
      <c r="AN17" t="str">
        <f t="shared" si="4"/>
        <v>9791190142359</v>
      </c>
      <c r="AP17" t="str">
        <f t="shared" si="5"/>
        <v>BL 웹소설 &gt; 현대물</v>
      </c>
      <c r="AQ17" t="str">
        <f t="shared" si="6"/>
        <v>BL 웹소설 &gt; 판타지물</v>
      </c>
    </row>
    <row r="18" spans="1:43" x14ac:dyDescent="0.4">
      <c r="A18" t="s">
        <v>43</v>
      </c>
      <c r="B18">
        <v>3822000323</v>
      </c>
      <c r="C18">
        <v>3822001234</v>
      </c>
      <c r="D18" t="str">
        <f>T("[연재]네크로맨서 생존기 200화")</f>
        <v>[연재]네크로맨서 생존기 200화</v>
      </c>
      <c r="E18" t="str">
        <f>T("200")</f>
        <v>200</v>
      </c>
      <c r="F18" t="str">
        <f t="shared" si="1"/>
        <v>키마님</v>
      </c>
      <c r="I18" t="str">
        <f t="shared" si="0"/>
        <v>딥블렌드</v>
      </c>
      <c r="J18" t="str">
        <f t="shared" si="2"/>
        <v>[연재]네크로맨서 생존기</v>
      </c>
      <c r="K18">
        <v>100</v>
      </c>
      <c r="L18">
        <v>152100</v>
      </c>
      <c r="M18">
        <v>1521</v>
      </c>
      <c r="N18">
        <v>0</v>
      </c>
      <c r="O18">
        <v>0</v>
      </c>
      <c r="P18">
        <v>0</v>
      </c>
      <c r="Q18">
        <v>45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-1000</v>
      </c>
      <c r="Y18">
        <v>11</v>
      </c>
      <c r="Z18">
        <v>-1000</v>
      </c>
      <c r="AA18">
        <v>10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90660</v>
      </c>
      <c r="AL18" t="str">
        <f t="shared" si="3"/>
        <v>0000000000000</v>
      </c>
      <c r="AN18" t="str">
        <f t="shared" si="4"/>
        <v>9791190142359</v>
      </c>
      <c r="AP18" t="str">
        <f t="shared" si="5"/>
        <v>BL 웹소설 &gt; 현대물</v>
      </c>
      <c r="AQ18" t="str">
        <f t="shared" si="6"/>
        <v>BL 웹소설 &gt; 판타지물</v>
      </c>
    </row>
    <row r="19" spans="1:43" x14ac:dyDescent="0.4">
      <c r="A19" t="s">
        <v>43</v>
      </c>
      <c r="B19">
        <v>3822000323</v>
      </c>
      <c r="C19">
        <v>3822001233</v>
      </c>
      <c r="D19" t="str">
        <f>T("[연재]네크로맨서 생존기 199화")</f>
        <v>[연재]네크로맨서 생존기 199화</v>
      </c>
      <c r="E19" t="str">
        <f>T("199")</f>
        <v>199</v>
      </c>
      <c r="F19" t="str">
        <f t="shared" si="1"/>
        <v>키마님</v>
      </c>
      <c r="I19" t="str">
        <f t="shared" si="0"/>
        <v>딥블렌드</v>
      </c>
      <c r="J19" t="str">
        <f t="shared" si="2"/>
        <v>[연재]네크로맨서 생존기</v>
      </c>
      <c r="K19">
        <v>100</v>
      </c>
      <c r="L19">
        <v>151500</v>
      </c>
      <c r="M19">
        <v>1515</v>
      </c>
      <c r="N19">
        <v>0</v>
      </c>
      <c r="O19">
        <v>0</v>
      </c>
      <c r="P19">
        <v>0</v>
      </c>
      <c r="Q19">
        <v>42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-1400</v>
      </c>
      <c r="Y19">
        <v>15</v>
      </c>
      <c r="Z19">
        <v>-1400</v>
      </c>
      <c r="AA19">
        <v>14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90060</v>
      </c>
      <c r="AL19" t="str">
        <f t="shared" si="3"/>
        <v>0000000000000</v>
      </c>
      <c r="AN19" t="str">
        <f t="shared" si="4"/>
        <v>9791190142359</v>
      </c>
      <c r="AP19" t="str">
        <f t="shared" si="5"/>
        <v>BL 웹소설 &gt; 현대물</v>
      </c>
      <c r="AQ19" t="str">
        <f t="shared" si="6"/>
        <v>BL 웹소설 &gt; 판타지물</v>
      </c>
    </row>
    <row r="20" spans="1:43" x14ac:dyDescent="0.4">
      <c r="A20" t="s">
        <v>43</v>
      </c>
      <c r="B20">
        <v>3822000323</v>
      </c>
      <c r="C20">
        <v>3822001235</v>
      </c>
      <c r="D20" t="str">
        <f>T("[연재]네크로맨서 생존기 201화")</f>
        <v>[연재]네크로맨서 생존기 201화</v>
      </c>
      <c r="E20" t="str">
        <f>T("201")</f>
        <v>201</v>
      </c>
      <c r="F20" t="str">
        <f t="shared" si="1"/>
        <v>키마님</v>
      </c>
      <c r="I20" t="str">
        <f t="shared" si="0"/>
        <v>딥블렌드</v>
      </c>
      <c r="J20" t="str">
        <f t="shared" si="2"/>
        <v>[연재]네크로맨서 생존기</v>
      </c>
      <c r="K20">
        <v>100</v>
      </c>
      <c r="L20">
        <v>149700</v>
      </c>
      <c r="M20">
        <v>1497</v>
      </c>
      <c r="N20">
        <v>0</v>
      </c>
      <c r="O20">
        <v>0</v>
      </c>
      <c r="P20">
        <v>0</v>
      </c>
      <c r="Q20">
        <v>45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-1200</v>
      </c>
      <c r="Y20">
        <v>12</v>
      </c>
      <c r="Z20">
        <v>-1200</v>
      </c>
      <c r="AA20">
        <v>12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89100</v>
      </c>
      <c r="AL20" t="str">
        <f t="shared" si="3"/>
        <v>0000000000000</v>
      </c>
      <c r="AN20" t="str">
        <f t="shared" si="4"/>
        <v>9791190142359</v>
      </c>
      <c r="AP20" t="str">
        <f t="shared" si="5"/>
        <v>BL 웹소설 &gt; 현대물</v>
      </c>
      <c r="AQ20" t="str">
        <f t="shared" si="6"/>
        <v>BL 웹소설 &gt; 판타지물</v>
      </c>
    </row>
    <row r="21" spans="1:43" x14ac:dyDescent="0.4">
      <c r="A21" t="s">
        <v>43</v>
      </c>
      <c r="B21">
        <v>3822000323</v>
      </c>
      <c r="C21">
        <v>3822001236</v>
      </c>
      <c r="D21" t="str">
        <f>T("[연재]네크로맨서 생존기 202화")</f>
        <v>[연재]네크로맨서 생존기 202화</v>
      </c>
      <c r="E21" t="str">
        <f>T("202")</f>
        <v>202</v>
      </c>
      <c r="F21" t="str">
        <f t="shared" si="1"/>
        <v>키마님</v>
      </c>
      <c r="I21" t="str">
        <f t="shared" si="0"/>
        <v>딥블렌드</v>
      </c>
      <c r="J21" t="str">
        <f t="shared" si="2"/>
        <v>[연재]네크로맨서 생존기</v>
      </c>
      <c r="K21">
        <v>100</v>
      </c>
      <c r="L21">
        <v>143400</v>
      </c>
      <c r="M21">
        <v>1434</v>
      </c>
      <c r="N21">
        <v>0</v>
      </c>
      <c r="O21">
        <v>0</v>
      </c>
      <c r="P21">
        <v>0</v>
      </c>
      <c r="Q21">
        <v>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-1200</v>
      </c>
      <c r="Y21">
        <v>12</v>
      </c>
      <c r="Z21">
        <v>-1200</v>
      </c>
      <c r="AA21">
        <v>12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85320</v>
      </c>
      <c r="AL21" t="str">
        <f t="shared" si="3"/>
        <v>0000000000000</v>
      </c>
      <c r="AN21" t="str">
        <f t="shared" si="4"/>
        <v>9791190142359</v>
      </c>
      <c r="AP21" t="str">
        <f t="shared" si="5"/>
        <v>BL 웹소설 &gt; 현대물</v>
      </c>
      <c r="AQ21" t="str">
        <f t="shared" si="6"/>
        <v>BL 웹소설 &gt; 판타지물</v>
      </c>
    </row>
    <row r="22" spans="1:43" x14ac:dyDescent="0.4">
      <c r="A22" t="s">
        <v>43</v>
      </c>
      <c r="B22">
        <v>3822000323</v>
      </c>
      <c r="C22">
        <v>3822001237</v>
      </c>
      <c r="D22" t="str">
        <f>T("[연재]네크로맨서 생존기 203화")</f>
        <v>[연재]네크로맨서 생존기 203화</v>
      </c>
      <c r="E22" t="str">
        <f>T("203")</f>
        <v>203</v>
      </c>
      <c r="F22" t="str">
        <f t="shared" si="1"/>
        <v>키마님</v>
      </c>
      <c r="I22" t="str">
        <f t="shared" si="0"/>
        <v>딥블렌드</v>
      </c>
      <c r="J22" t="str">
        <f t="shared" si="2"/>
        <v>[연재]네크로맨서 생존기</v>
      </c>
      <c r="K22">
        <v>100</v>
      </c>
      <c r="L22">
        <v>139100</v>
      </c>
      <c r="M22">
        <v>1391</v>
      </c>
      <c r="N22">
        <v>0</v>
      </c>
      <c r="O22">
        <v>0</v>
      </c>
      <c r="P22">
        <v>0</v>
      </c>
      <c r="Q22">
        <v>33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-1100</v>
      </c>
      <c r="Y22">
        <v>11</v>
      </c>
      <c r="Z22">
        <v>-1100</v>
      </c>
      <c r="AA22">
        <v>11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82800</v>
      </c>
      <c r="AL22" t="str">
        <f t="shared" si="3"/>
        <v>0000000000000</v>
      </c>
      <c r="AN22" t="str">
        <f t="shared" si="4"/>
        <v>9791190142359</v>
      </c>
      <c r="AP22" t="str">
        <f t="shared" si="5"/>
        <v>BL 웹소설 &gt; 현대물</v>
      </c>
      <c r="AQ22" t="str">
        <f t="shared" si="6"/>
        <v>BL 웹소설 &gt; 판타지물</v>
      </c>
    </row>
    <row r="23" spans="1:43" x14ac:dyDescent="0.4">
      <c r="A23" t="s">
        <v>43</v>
      </c>
      <c r="B23">
        <v>3822000323</v>
      </c>
      <c r="C23">
        <v>3822001238</v>
      </c>
      <c r="D23" t="str">
        <f>T("[연재]네크로맨서 생존기 204화")</f>
        <v>[연재]네크로맨서 생존기 204화</v>
      </c>
      <c r="E23" t="str">
        <f>T("204")</f>
        <v>204</v>
      </c>
      <c r="F23" t="str">
        <f t="shared" si="1"/>
        <v>키마님</v>
      </c>
      <c r="I23" t="str">
        <f t="shared" si="0"/>
        <v>딥블렌드</v>
      </c>
      <c r="J23" t="str">
        <f t="shared" si="2"/>
        <v>[연재]네크로맨서 생존기</v>
      </c>
      <c r="K23">
        <v>100</v>
      </c>
      <c r="L23">
        <v>136800</v>
      </c>
      <c r="M23">
        <v>1368</v>
      </c>
      <c r="N23">
        <v>0</v>
      </c>
      <c r="O23">
        <v>0</v>
      </c>
      <c r="P23">
        <v>0</v>
      </c>
      <c r="Q23">
        <v>41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-1400</v>
      </c>
      <c r="Y23">
        <v>14</v>
      </c>
      <c r="Z23">
        <v>-1400</v>
      </c>
      <c r="AA23">
        <v>14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81240</v>
      </c>
      <c r="AL23" t="str">
        <f t="shared" si="3"/>
        <v>0000000000000</v>
      </c>
      <c r="AN23" t="str">
        <f t="shared" si="4"/>
        <v>9791190142359</v>
      </c>
      <c r="AP23" t="str">
        <f t="shared" si="5"/>
        <v>BL 웹소설 &gt; 현대물</v>
      </c>
      <c r="AQ23" t="str">
        <f t="shared" si="6"/>
        <v>BL 웹소설 &gt; 판타지물</v>
      </c>
    </row>
    <row r="24" spans="1:43" x14ac:dyDescent="0.4">
      <c r="A24" t="s">
        <v>43</v>
      </c>
      <c r="B24">
        <v>3822000323</v>
      </c>
      <c r="C24">
        <v>3822001239</v>
      </c>
      <c r="D24" t="str">
        <f>T("[연재]네크로맨서 생존기 205화")</f>
        <v>[연재]네크로맨서 생존기 205화</v>
      </c>
      <c r="E24" t="str">
        <f>T("205")</f>
        <v>205</v>
      </c>
      <c r="F24" t="str">
        <f t="shared" si="1"/>
        <v>키마님</v>
      </c>
      <c r="I24" t="str">
        <f t="shared" si="0"/>
        <v>딥블렌드</v>
      </c>
      <c r="J24" t="str">
        <f t="shared" si="2"/>
        <v>[연재]네크로맨서 생존기</v>
      </c>
      <c r="K24">
        <v>100</v>
      </c>
      <c r="L24">
        <v>133800</v>
      </c>
      <c r="M24">
        <v>1338</v>
      </c>
      <c r="N24">
        <v>0</v>
      </c>
      <c r="O24">
        <v>0</v>
      </c>
      <c r="P24">
        <v>0</v>
      </c>
      <c r="Q24">
        <v>48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-1100</v>
      </c>
      <c r="Y24">
        <v>11</v>
      </c>
      <c r="Z24">
        <v>-1100</v>
      </c>
      <c r="AA24">
        <v>11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79620</v>
      </c>
      <c r="AL24" t="str">
        <f t="shared" si="3"/>
        <v>0000000000000</v>
      </c>
      <c r="AN24" t="str">
        <f t="shared" si="4"/>
        <v>9791190142359</v>
      </c>
      <c r="AP24" t="str">
        <f t="shared" si="5"/>
        <v>BL 웹소설 &gt; 현대물</v>
      </c>
      <c r="AQ24" t="str">
        <f t="shared" si="6"/>
        <v>BL 웹소설 &gt; 판타지물</v>
      </c>
    </row>
    <row r="25" spans="1:43" x14ac:dyDescent="0.4">
      <c r="A25" t="s">
        <v>43</v>
      </c>
      <c r="C25">
        <v>3822001159</v>
      </c>
      <c r="D25" t="str">
        <f>T("연애는 착각에서 시작된다")</f>
        <v>연애는 착각에서 시작된다</v>
      </c>
      <c r="F25" t="str">
        <f>T("망고크림")</f>
        <v>망고크림</v>
      </c>
      <c r="I25" t="str">
        <f t="shared" si="0"/>
        <v>딥블렌드</v>
      </c>
      <c r="K25">
        <v>3000</v>
      </c>
      <c r="L25">
        <v>132000</v>
      </c>
      <c r="M25">
        <v>44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-9000</v>
      </c>
      <c r="Y25">
        <v>3</v>
      </c>
      <c r="Z25">
        <v>-9000</v>
      </c>
      <c r="AA25">
        <v>3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86100</v>
      </c>
      <c r="AN25" t="str">
        <f>T("9791190876209")</f>
        <v>9791190876209</v>
      </c>
      <c r="AP25" t="str">
        <f>T("BL 소설 e북 &gt; 현대물")</f>
        <v>BL 소설 e북 &gt; 현대물</v>
      </c>
    </row>
    <row r="26" spans="1:43" x14ac:dyDescent="0.4">
      <c r="A26" t="s">
        <v>43</v>
      </c>
      <c r="B26">
        <v>3822000323</v>
      </c>
      <c r="C26">
        <v>3822001240</v>
      </c>
      <c r="D26" t="str">
        <f>T("[연재]네크로맨서 생존기 206화")</f>
        <v>[연재]네크로맨서 생존기 206화</v>
      </c>
      <c r="E26" t="str">
        <f>T("206")</f>
        <v>206</v>
      </c>
      <c r="F26" t="str">
        <f>T("키마님")</f>
        <v>키마님</v>
      </c>
      <c r="I26" t="str">
        <f t="shared" si="0"/>
        <v>딥블렌드</v>
      </c>
      <c r="J26" t="str">
        <f>T("[연재]네크로맨서 생존기")</f>
        <v>[연재]네크로맨서 생존기</v>
      </c>
      <c r="K26">
        <v>100</v>
      </c>
      <c r="L26">
        <v>131400</v>
      </c>
      <c r="M26">
        <v>1314</v>
      </c>
      <c r="N26">
        <v>0</v>
      </c>
      <c r="O26">
        <v>0</v>
      </c>
      <c r="P26">
        <v>0</v>
      </c>
      <c r="Q26">
        <v>52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-1000</v>
      </c>
      <c r="Y26">
        <v>10</v>
      </c>
      <c r="Z26">
        <v>-1000</v>
      </c>
      <c r="AA26">
        <v>10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78240</v>
      </c>
      <c r="AL26" t="str">
        <f>T("0000000000000")</f>
        <v>0000000000000</v>
      </c>
      <c r="AN26" t="str">
        <f>T("9791190142359")</f>
        <v>9791190142359</v>
      </c>
      <c r="AP26" t="str">
        <f>T("BL 웹소설 &gt; 현대물")</f>
        <v>BL 웹소설 &gt; 현대물</v>
      </c>
      <c r="AQ26" t="str">
        <f>T("BL 웹소설 &gt; 판타지물")</f>
        <v>BL 웹소설 &gt; 판타지물</v>
      </c>
    </row>
    <row r="27" spans="1:43" x14ac:dyDescent="0.4">
      <c r="A27" t="s">
        <v>43</v>
      </c>
      <c r="B27">
        <v>3822001075</v>
      </c>
      <c r="C27">
        <v>3822001158</v>
      </c>
      <c r="D27" t="str">
        <f>T("저승꽃감관 (외전)")</f>
        <v>저승꽃감관 (외전)</v>
      </c>
      <c r="E27" t="str">
        <f>T("6")</f>
        <v>6</v>
      </c>
      <c r="F27" t="str">
        <f>T("에복")</f>
        <v>에복</v>
      </c>
      <c r="I27" t="str">
        <f t="shared" si="0"/>
        <v>딥블렌드</v>
      </c>
      <c r="J27" t="str">
        <f>T("저승꽃감관")</f>
        <v>저승꽃감관</v>
      </c>
      <c r="K27">
        <v>1200</v>
      </c>
      <c r="L27">
        <v>130800</v>
      </c>
      <c r="M27">
        <v>109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-2400</v>
      </c>
      <c r="Y27">
        <v>2</v>
      </c>
      <c r="Z27">
        <v>-2400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89880</v>
      </c>
      <c r="AN27" t="str">
        <f>T("9791190876216")</f>
        <v>9791190876216</v>
      </c>
      <c r="AP27" t="str">
        <f>T("BL 소설 e북 &gt; 역사/시대물")</f>
        <v>BL 소설 e북 &gt; 역사/시대물</v>
      </c>
    </row>
    <row r="28" spans="1:43" x14ac:dyDescent="0.4">
      <c r="A28" t="s">
        <v>43</v>
      </c>
      <c r="B28">
        <v>3822001082</v>
      </c>
      <c r="C28">
        <v>3822001083</v>
      </c>
      <c r="D28" t="str">
        <f>T("어비스(Abyss) 2권")</f>
        <v>어비스(Abyss) 2권</v>
      </c>
      <c r="E28" t="str">
        <f>T("2")</f>
        <v>2</v>
      </c>
      <c r="F28" t="str">
        <f>T("퀸에이")</f>
        <v>퀸에이</v>
      </c>
      <c r="I28" t="str">
        <f t="shared" si="0"/>
        <v>딥블렌드</v>
      </c>
      <c r="J28" t="str">
        <f>T("어비스(Abyss)")</f>
        <v>어비스(Abyss)</v>
      </c>
      <c r="K28">
        <v>3200</v>
      </c>
      <c r="L28">
        <v>124800</v>
      </c>
      <c r="M28">
        <v>39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74880</v>
      </c>
      <c r="AN28" t="str">
        <f>T("9791190876117")</f>
        <v>9791190876117</v>
      </c>
      <c r="AP28" t="str">
        <f>T("BL 소설 e북 &gt; 현대물")</f>
        <v>BL 소설 e북 &gt; 현대물</v>
      </c>
      <c r="AQ28" t="str">
        <f>T("BL 소설 e북 &gt; 판타지물")</f>
        <v>BL 소설 e북 &gt; 판타지물</v>
      </c>
    </row>
    <row r="29" spans="1:43" x14ac:dyDescent="0.4">
      <c r="A29" t="s">
        <v>43</v>
      </c>
      <c r="B29">
        <v>3822000323</v>
      </c>
      <c r="C29">
        <v>3822001255</v>
      </c>
      <c r="D29" t="str">
        <f>T("[연재]네크로맨서 생존기 207화")</f>
        <v>[연재]네크로맨서 생존기 207화</v>
      </c>
      <c r="E29" t="str">
        <f>T("207")</f>
        <v>207</v>
      </c>
      <c r="F29" t="str">
        <f>T("키마님")</f>
        <v>키마님</v>
      </c>
      <c r="I29" t="str">
        <f t="shared" si="0"/>
        <v>딥블렌드</v>
      </c>
      <c r="J29" t="str">
        <f>T("[연재]네크로맨서 생존기")</f>
        <v>[연재]네크로맨서 생존기</v>
      </c>
      <c r="K29">
        <v>100</v>
      </c>
      <c r="L29">
        <v>124000</v>
      </c>
      <c r="M29">
        <v>1240</v>
      </c>
      <c r="N29">
        <v>0</v>
      </c>
      <c r="O29">
        <v>0</v>
      </c>
      <c r="P29">
        <v>0</v>
      </c>
      <c r="Q29">
        <v>35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-600</v>
      </c>
      <c r="Y29">
        <v>6</v>
      </c>
      <c r="Z29">
        <v>-600</v>
      </c>
      <c r="AA29">
        <v>6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74040</v>
      </c>
      <c r="AL29" t="str">
        <f>T("0000000000000")</f>
        <v>0000000000000</v>
      </c>
      <c r="AN29" t="str">
        <f>T("9791190142359")</f>
        <v>9791190142359</v>
      </c>
      <c r="AP29" t="str">
        <f>T("BL 웹소설 &gt; 현대물")</f>
        <v>BL 웹소설 &gt; 현대물</v>
      </c>
      <c r="AQ29" t="str">
        <f>T("BL 웹소설 &gt; 판타지물")</f>
        <v>BL 웹소설 &gt; 판타지물</v>
      </c>
    </row>
    <row r="30" spans="1:43" x14ac:dyDescent="0.4">
      <c r="A30" t="s">
        <v>43</v>
      </c>
      <c r="B30">
        <v>3822000323</v>
      </c>
      <c r="C30">
        <v>3822001256</v>
      </c>
      <c r="D30" t="str">
        <f>T("[연재]네크로맨서 생존기 208화")</f>
        <v>[연재]네크로맨서 생존기 208화</v>
      </c>
      <c r="E30" t="str">
        <f>T("208")</f>
        <v>208</v>
      </c>
      <c r="F30" t="str">
        <f>T("키마님")</f>
        <v>키마님</v>
      </c>
      <c r="I30" t="str">
        <f t="shared" si="0"/>
        <v>딥블렌드</v>
      </c>
      <c r="J30" t="str">
        <f>T("[연재]네크로맨서 생존기")</f>
        <v>[연재]네크로맨서 생존기</v>
      </c>
      <c r="K30">
        <v>100</v>
      </c>
      <c r="L30">
        <v>123700</v>
      </c>
      <c r="M30">
        <v>1237</v>
      </c>
      <c r="N30">
        <v>0</v>
      </c>
      <c r="O30">
        <v>0</v>
      </c>
      <c r="P30">
        <v>0</v>
      </c>
      <c r="Q30">
        <v>34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-600</v>
      </c>
      <c r="Y30">
        <v>6</v>
      </c>
      <c r="Z30">
        <v>-600</v>
      </c>
      <c r="AA30">
        <v>6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73860</v>
      </c>
      <c r="AL30" t="str">
        <f>T("0000000000000")</f>
        <v>0000000000000</v>
      </c>
      <c r="AN30" t="str">
        <f>T("9791190142359")</f>
        <v>9791190142359</v>
      </c>
      <c r="AP30" t="str">
        <f>T("BL 웹소설 &gt; 현대물")</f>
        <v>BL 웹소설 &gt; 현대물</v>
      </c>
      <c r="AQ30" t="str">
        <f>T("BL 웹소설 &gt; 판타지물")</f>
        <v>BL 웹소설 &gt; 판타지물</v>
      </c>
    </row>
    <row r="31" spans="1:43" x14ac:dyDescent="0.4">
      <c r="A31" t="s">
        <v>43</v>
      </c>
      <c r="B31">
        <v>3822000323</v>
      </c>
      <c r="C31">
        <v>3822001269</v>
      </c>
      <c r="D31" t="str">
        <f>T("[연재]네크로맨서 생존기 209화")</f>
        <v>[연재]네크로맨서 생존기 209화</v>
      </c>
      <c r="E31" t="str">
        <f>T("209")</f>
        <v>209</v>
      </c>
      <c r="F31" t="str">
        <f>T("키마님")</f>
        <v>키마님</v>
      </c>
      <c r="I31" t="str">
        <f t="shared" si="0"/>
        <v>딥블렌드</v>
      </c>
      <c r="J31" t="str">
        <f>T("[연재]네크로맨서 생존기")</f>
        <v>[연재]네크로맨서 생존기</v>
      </c>
      <c r="K31">
        <v>100</v>
      </c>
      <c r="L31">
        <v>120100</v>
      </c>
      <c r="M31">
        <v>1201</v>
      </c>
      <c r="N31">
        <v>0</v>
      </c>
      <c r="O31">
        <v>0</v>
      </c>
      <c r="P31">
        <v>0</v>
      </c>
      <c r="Q31">
        <v>23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-700</v>
      </c>
      <c r="Y31">
        <v>7</v>
      </c>
      <c r="Z31">
        <v>-700</v>
      </c>
      <c r="AA31">
        <v>7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71640</v>
      </c>
      <c r="AL31" t="str">
        <f>T("0000000000000")</f>
        <v>0000000000000</v>
      </c>
      <c r="AN31" t="str">
        <f>T("9791190142359")</f>
        <v>9791190142359</v>
      </c>
      <c r="AP31" t="str">
        <f>T("BL 웹소설 &gt; 현대물")</f>
        <v>BL 웹소설 &gt; 현대물</v>
      </c>
      <c r="AQ31" t="str">
        <f>T("BL 웹소설 &gt; 판타지물")</f>
        <v>BL 웹소설 &gt; 판타지물</v>
      </c>
    </row>
    <row r="32" spans="1:43" x14ac:dyDescent="0.4">
      <c r="A32" t="s">
        <v>43</v>
      </c>
      <c r="B32">
        <v>3822001082</v>
      </c>
      <c r="C32">
        <v>3822001085</v>
      </c>
      <c r="D32" t="str">
        <f>T("어비스(Abyss) 4권 (완결)")</f>
        <v>어비스(Abyss) 4권 (완결)</v>
      </c>
      <c r="E32" t="str">
        <f>T("4")</f>
        <v>4</v>
      </c>
      <c r="F32" t="str">
        <f>T("퀸에이")</f>
        <v>퀸에이</v>
      </c>
      <c r="I32" t="str">
        <f t="shared" si="0"/>
        <v>딥블렌드</v>
      </c>
      <c r="J32" t="str">
        <f>T("어비스(Abyss)")</f>
        <v>어비스(Abyss)</v>
      </c>
      <c r="K32">
        <v>3200</v>
      </c>
      <c r="L32">
        <v>118400</v>
      </c>
      <c r="M32">
        <v>37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71040</v>
      </c>
      <c r="AN32" t="str">
        <f>T("9791190876131")</f>
        <v>9791190876131</v>
      </c>
      <c r="AP32" t="str">
        <f>T("BL 소설 e북 &gt; 현대물")</f>
        <v>BL 소설 e북 &gt; 현대물</v>
      </c>
      <c r="AQ32" t="str">
        <f>T("BL 소설 e북 &gt; 판타지물")</f>
        <v>BL 소설 e북 &gt; 판타지물</v>
      </c>
    </row>
    <row r="33" spans="1:43" x14ac:dyDescent="0.4">
      <c r="A33" t="s">
        <v>43</v>
      </c>
      <c r="B33">
        <v>3822000323</v>
      </c>
      <c r="C33">
        <v>3822001270</v>
      </c>
      <c r="D33" t="str">
        <f>T("[연재]네크로맨서 생존기 210화")</f>
        <v>[연재]네크로맨서 생존기 210화</v>
      </c>
      <c r="E33" t="str">
        <f>T("210")</f>
        <v>210</v>
      </c>
      <c r="F33" t="str">
        <f>T("키마님")</f>
        <v>키마님</v>
      </c>
      <c r="I33" t="str">
        <f t="shared" si="0"/>
        <v>딥블렌드</v>
      </c>
      <c r="J33" t="str">
        <f>T("[연재]네크로맨서 생존기")</f>
        <v>[연재]네크로맨서 생존기</v>
      </c>
      <c r="K33">
        <v>100</v>
      </c>
      <c r="L33">
        <v>114100</v>
      </c>
      <c r="M33">
        <v>1141</v>
      </c>
      <c r="N33">
        <v>0</v>
      </c>
      <c r="O33">
        <v>0</v>
      </c>
      <c r="P33">
        <v>0</v>
      </c>
      <c r="Q33">
        <v>25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-700</v>
      </c>
      <c r="Y33">
        <v>7</v>
      </c>
      <c r="Z33">
        <v>-700</v>
      </c>
      <c r="AA33">
        <v>7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68040</v>
      </c>
      <c r="AL33" t="str">
        <f>T("0000000000000")</f>
        <v>0000000000000</v>
      </c>
      <c r="AN33" t="str">
        <f>T("9791190142359")</f>
        <v>9791190142359</v>
      </c>
      <c r="AP33" t="str">
        <f>T("BL 웹소설 &gt; 현대물")</f>
        <v>BL 웹소설 &gt; 현대물</v>
      </c>
      <c r="AQ33" t="str">
        <f>T("BL 웹소설 &gt; 판타지물")</f>
        <v>BL 웹소설 &gt; 판타지물</v>
      </c>
    </row>
    <row r="34" spans="1:43" x14ac:dyDescent="0.4">
      <c r="A34" t="s">
        <v>43</v>
      </c>
      <c r="B34">
        <v>3822001082</v>
      </c>
      <c r="C34">
        <v>3822001084</v>
      </c>
      <c r="D34" t="str">
        <f>T("어비스(Abyss) 3권")</f>
        <v>어비스(Abyss) 3권</v>
      </c>
      <c r="E34" t="str">
        <f>T("3")</f>
        <v>3</v>
      </c>
      <c r="F34" t="str">
        <f>T("퀸에이")</f>
        <v>퀸에이</v>
      </c>
      <c r="I34" t="str">
        <f t="shared" si="0"/>
        <v>딥블렌드</v>
      </c>
      <c r="J34" t="str">
        <f>T("어비스(Abyss)")</f>
        <v>어비스(Abyss)</v>
      </c>
      <c r="K34">
        <v>3200</v>
      </c>
      <c r="L34">
        <v>112000</v>
      </c>
      <c r="M34">
        <v>35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67200</v>
      </c>
      <c r="AN34" t="str">
        <f>T("9791190876124")</f>
        <v>9791190876124</v>
      </c>
      <c r="AP34" t="str">
        <f>T("BL 소설 e북 &gt; 현대물")</f>
        <v>BL 소설 e북 &gt; 현대물</v>
      </c>
      <c r="AQ34" t="str">
        <f>T("BL 소설 e북 &gt; 판타지물")</f>
        <v>BL 소설 e북 &gt; 판타지물</v>
      </c>
    </row>
    <row r="35" spans="1:43" x14ac:dyDescent="0.4">
      <c r="A35" t="s">
        <v>43</v>
      </c>
      <c r="B35">
        <v>3822000323</v>
      </c>
      <c r="C35">
        <v>3822001271</v>
      </c>
      <c r="D35" t="str">
        <f>T("[연재]네크로맨서 생존기 211화")</f>
        <v>[연재]네크로맨서 생존기 211화</v>
      </c>
      <c r="E35" t="str">
        <f>T("211")</f>
        <v>211</v>
      </c>
      <c r="F35" t="str">
        <f>T("키마님")</f>
        <v>키마님</v>
      </c>
      <c r="I35" t="str">
        <f t="shared" si="0"/>
        <v>딥블렌드</v>
      </c>
      <c r="J35" t="str">
        <f>T("[연재]네크로맨서 생존기")</f>
        <v>[연재]네크로맨서 생존기</v>
      </c>
      <c r="K35">
        <v>100</v>
      </c>
      <c r="L35">
        <v>106200</v>
      </c>
      <c r="M35">
        <v>1062</v>
      </c>
      <c r="N35">
        <v>0</v>
      </c>
      <c r="O35">
        <v>0</v>
      </c>
      <c r="P35">
        <v>0</v>
      </c>
      <c r="Q35">
        <v>30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-900</v>
      </c>
      <c r="Y35">
        <v>9</v>
      </c>
      <c r="Z35">
        <v>-900</v>
      </c>
      <c r="AA35">
        <v>9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63180</v>
      </c>
      <c r="AL35" t="str">
        <f t="shared" ref="AL35:AL42" si="7">T("0000000000000")</f>
        <v>0000000000000</v>
      </c>
      <c r="AN35" t="str">
        <f>T("9791190142359")</f>
        <v>9791190142359</v>
      </c>
      <c r="AP35" t="str">
        <f>T("BL 웹소설 &gt; 현대물")</f>
        <v>BL 웹소설 &gt; 현대물</v>
      </c>
      <c r="AQ35" t="str">
        <f>T("BL 웹소설 &gt; 판타지물")</f>
        <v>BL 웹소설 &gt; 판타지물</v>
      </c>
    </row>
    <row r="36" spans="1:43" x14ac:dyDescent="0.4">
      <c r="A36" t="s">
        <v>43</v>
      </c>
      <c r="B36">
        <v>3822000323</v>
      </c>
      <c r="C36">
        <v>3822001272</v>
      </c>
      <c r="D36" t="str">
        <f>T("[연재]네크로맨서 생존기 212화")</f>
        <v>[연재]네크로맨서 생존기 212화</v>
      </c>
      <c r="E36" t="str">
        <f>T("212")</f>
        <v>212</v>
      </c>
      <c r="F36" t="str">
        <f>T("키마님")</f>
        <v>키마님</v>
      </c>
      <c r="I36" t="str">
        <f t="shared" si="0"/>
        <v>딥블렌드</v>
      </c>
      <c r="J36" t="str">
        <f>T("[연재]네크로맨서 생존기")</f>
        <v>[연재]네크로맨서 생존기</v>
      </c>
      <c r="K36">
        <v>100</v>
      </c>
      <c r="L36">
        <v>103400</v>
      </c>
      <c r="M36">
        <v>1034</v>
      </c>
      <c r="N36">
        <v>0</v>
      </c>
      <c r="O36">
        <v>0</v>
      </c>
      <c r="P36">
        <v>0</v>
      </c>
      <c r="Q36">
        <v>29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-900</v>
      </c>
      <c r="Y36">
        <v>9</v>
      </c>
      <c r="Z36">
        <v>-900</v>
      </c>
      <c r="AA36">
        <v>9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61500</v>
      </c>
      <c r="AL36" t="str">
        <f t="shared" si="7"/>
        <v>0000000000000</v>
      </c>
      <c r="AN36" t="str">
        <f>T("9791190142359")</f>
        <v>9791190142359</v>
      </c>
      <c r="AP36" t="str">
        <f>T("BL 웹소설 &gt; 현대물")</f>
        <v>BL 웹소설 &gt; 현대물</v>
      </c>
      <c r="AQ36" t="str">
        <f>T("BL 웹소설 &gt; 판타지물")</f>
        <v>BL 웹소설 &gt; 판타지물</v>
      </c>
    </row>
    <row r="37" spans="1:43" x14ac:dyDescent="0.4">
      <c r="A37" t="s">
        <v>43</v>
      </c>
      <c r="B37">
        <v>3822000323</v>
      </c>
      <c r="C37">
        <v>3822001273</v>
      </c>
      <c r="D37" t="str">
        <f>T("[연재]네크로맨서 생존기 213화")</f>
        <v>[연재]네크로맨서 생존기 213화</v>
      </c>
      <c r="E37" t="str">
        <f>T("213")</f>
        <v>213</v>
      </c>
      <c r="F37" t="str">
        <f>T("키마님")</f>
        <v>키마님</v>
      </c>
      <c r="I37" t="str">
        <f t="shared" si="0"/>
        <v>딥블렌드</v>
      </c>
      <c r="J37" t="str">
        <f>T("[연재]네크로맨서 생존기")</f>
        <v>[연재]네크로맨서 생존기</v>
      </c>
      <c r="K37">
        <v>100</v>
      </c>
      <c r="L37">
        <v>98500</v>
      </c>
      <c r="M37">
        <v>985</v>
      </c>
      <c r="N37">
        <v>0</v>
      </c>
      <c r="O37">
        <v>0</v>
      </c>
      <c r="P37">
        <v>0</v>
      </c>
      <c r="Q37">
        <v>43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-1000</v>
      </c>
      <c r="Y37">
        <v>10</v>
      </c>
      <c r="Z37">
        <v>-1000</v>
      </c>
      <c r="AA37">
        <v>10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58500</v>
      </c>
      <c r="AL37" t="str">
        <f t="shared" si="7"/>
        <v>0000000000000</v>
      </c>
      <c r="AN37" t="str">
        <f>T("9791190142359")</f>
        <v>9791190142359</v>
      </c>
      <c r="AP37" t="str">
        <f>T("BL 웹소설 &gt; 현대물")</f>
        <v>BL 웹소설 &gt; 현대물</v>
      </c>
      <c r="AQ37" t="str">
        <f>T("BL 웹소설 &gt; 판타지물")</f>
        <v>BL 웹소설 &gt; 판타지물</v>
      </c>
    </row>
    <row r="38" spans="1:43" x14ac:dyDescent="0.4">
      <c r="A38" t="s">
        <v>43</v>
      </c>
      <c r="B38">
        <v>3822000323</v>
      </c>
      <c r="C38">
        <v>3822001274</v>
      </c>
      <c r="D38" t="str">
        <f>T("[연재]네크로맨서 생존기 214화")</f>
        <v>[연재]네크로맨서 생존기 214화</v>
      </c>
      <c r="E38" t="str">
        <f>T("214")</f>
        <v>214</v>
      </c>
      <c r="F38" t="str">
        <f>T("키마님")</f>
        <v>키마님</v>
      </c>
      <c r="I38" t="str">
        <f t="shared" si="0"/>
        <v>딥블렌드</v>
      </c>
      <c r="J38" t="str">
        <f>T("[연재]네크로맨서 생존기")</f>
        <v>[연재]네크로맨서 생존기</v>
      </c>
      <c r="K38">
        <v>100</v>
      </c>
      <c r="L38">
        <v>88700</v>
      </c>
      <c r="M38">
        <v>887</v>
      </c>
      <c r="N38">
        <v>0</v>
      </c>
      <c r="O38">
        <v>0</v>
      </c>
      <c r="P38">
        <v>0</v>
      </c>
      <c r="Q38">
        <v>55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-400</v>
      </c>
      <c r="Y38">
        <v>4</v>
      </c>
      <c r="Z38">
        <v>-400</v>
      </c>
      <c r="AA38">
        <v>4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52980</v>
      </c>
      <c r="AL38" t="str">
        <f t="shared" si="7"/>
        <v>0000000000000</v>
      </c>
      <c r="AN38" t="str">
        <f>T("9791190142359")</f>
        <v>9791190142359</v>
      </c>
      <c r="AP38" t="str">
        <f>T("BL 웹소설 &gt; 현대물")</f>
        <v>BL 웹소설 &gt; 현대물</v>
      </c>
      <c r="AQ38" t="str">
        <f>T("BL 웹소설 &gt; 판타지물")</f>
        <v>BL 웹소설 &gt; 판타지물</v>
      </c>
    </row>
    <row r="39" spans="1:43" x14ac:dyDescent="0.4">
      <c r="A39" t="s">
        <v>43</v>
      </c>
      <c r="B39">
        <v>3822000323</v>
      </c>
      <c r="C39">
        <v>3822001275</v>
      </c>
      <c r="D39" t="str">
        <f>T("[연재]네크로맨서 생존기 215화")</f>
        <v>[연재]네크로맨서 생존기 215화</v>
      </c>
      <c r="E39" t="str">
        <f>T("215")</f>
        <v>215</v>
      </c>
      <c r="F39" t="str">
        <f>T("키마님")</f>
        <v>키마님</v>
      </c>
      <c r="I39" t="str">
        <f t="shared" si="0"/>
        <v>딥블렌드</v>
      </c>
      <c r="J39" t="str">
        <f>T("[연재]네크로맨서 생존기")</f>
        <v>[연재]네크로맨서 생존기</v>
      </c>
      <c r="K39">
        <v>100</v>
      </c>
      <c r="L39">
        <v>81000</v>
      </c>
      <c r="M39">
        <v>810</v>
      </c>
      <c r="N39">
        <v>0</v>
      </c>
      <c r="O39">
        <v>0</v>
      </c>
      <c r="P39">
        <v>0</v>
      </c>
      <c r="Q39">
        <v>52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-200</v>
      </c>
      <c r="Y39">
        <v>2</v>
      </c>
      <c r="Z39">
        <v>-200</v>
      </c>
      <c r="AA39">
        <v>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48480</v>
      </c>
      <c r="AL39" t="str">
        <f t="shared" si="7"/>
        <v>0000000000000</v>
      </c>
      <c r="AN39" t="str">
        <f>T("9791190142359")</f>
        <v>9791190142359</v>
      </c>
      <c r="AP39" t="str">
        <f>T("BL 웹소설 &gt; 현대물")</f>
        <v>BL 웹소설 &gt; 현대물</v>
      </c>
      <c r="AQ39" t="str">
        <f>T("BL 웹소설 &gt; 판타지물")</f>
        <v>BL 웹소설 &gt; 판타지물</v>
      </c>
    </row>
    <row r="40" spans="1:43" x14ac:dyDescent="0.4">
      <c r="A40" t="s">
        <v>43</v>
      </c>
      <c r="C40">
        <v>3822000418</v>
      </c>
      <c r="D40" t="str">
        <f>T("내게 너무 나쁜 남자")</f>
        <v>내게 너무 나쁜 남자</v>
      </c>
      <c r="F40" t="str">
        <f>T("한야하")</f>
        <v>한야하</v>
      </c>
      <c r="I40" t="str">
        <f>T("애프터선셋")</f>
        <v>애프터선셋</v>
      </c>
      <c r="K40">
        <v>3000</v>
      </c>
      <c r="L40">
        <v>81000</v>
      </c>
      <c r="M40">
        <v>27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56700</v>
      </c>
      <c r="AL40" t="str">
        <f t="shared" si="7"/>
        <v>0000000000000</v>
      </c>
      <c r="AN40" t="str">
        <f>T("9791190142496")</f>
        <v>9791190142496</v>
      </c>
      <c r="AP40" t="str">
        <f>T("로맨스 e북 &gt; 현대물")</f>
        <v>로맨스 e북 &gt; 현대물</v>
      </c>
      <c r="AQ40" t="str">
        <f>T("로맨스 e북 &gt; 19+")</f>
        <v>로맨스 e북 &gt; 19+</v>
      </c>
    </row>
    <row r="41" spans="1:43" x14ac:dyDescent="0.4">
      <c r="A41" t="s">
        <v>43</v>
      </c>
      <c r="B41">
        <v>3822000323</v>
      </c>
      <c r="C41">
        <v>3822001210</v>
      </c>
      <c r="D41" t="str">
        <f>T("[연재]네크로맨서 생존기 196화")</f>
        <v>[연재]네크로맨서 생존기 196화</v>
      </c>
      <c r="E41" t="str">
        <f>T("196")</f>
        <v>196</v>
      </c>
      <c r="F41" t="str">
        <f>T("키마님")</f>
        <v>키마님</v>
      </c>
      <c r="I41" t="str">
        <f>T("딥블렌드")</f>
        <v>딥블렌드</v>
      </c>
      <c r="J41" t="str">
        <f>T("[연재]네크로맨서 생존기")</f>
        <v>[연재]네크로맨서 생존기</v>
      </c>
      <c r="K41">
        <v>100</v>
      </c>
      <c r="L41">
        <v>79500</v>
      </c>
      <c r="M41">
        <v>795</v>
      </c>
      <c r="N41">
        <v>0</v>
      </c>
      <c r="O41">
        <v>0</v>
      </c>
      <c r="P41">
        <v>0</v>
      </c>
      <c r="Q41">
        <v>21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-800</v>
      </c>
      <c r="Y41">
        <v>8</v>
      </c>
      <c r="Z41">
        <v>-800</v>
      </c>
      <c r="AA41">
        <v>8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47220</v>
      </c>
      <c r="AL41" t="str">
        <f t="shared" si="7"/>
        <v>0000000000000</v>
      </c>
      <c r="AN41" t="str">
        <f>T("9791190142359")</f>
        <v>9791190142359</v>
      </c>
      <c r="AP41" t="str">
        <f>T("BL 웹소설 &gt; 현대물")</f>
        <v>BL 웹소설 &gt; 현대물</v>
      </c>
      <c r="AQ41" t="str">
        <f>T("BL 웹소설 &gt; 판타지물")</f>
        <v>BL 웹소설 &gt; 판타지물</v>
      </c>
    </row>
    <row r="42" spans="1:43" x14ac:dyDescent="0.4">
      <c r="A42" t="s">
        <v>43</v>
      </c>
      <c r="B42">
        <v>3822000323</v>
      </c>
      <c r="C42">
        <v>3822001209</v>
      </c>
      <c r="D42" t="str">
        <f>T("[연재]네크로맨서 생존기 195화")</f>
        <v>[연재]네크로맨서 생존기 195화</v>
      </c>
      <c r="E42" t="str">
        <f>T("195")</f>
        <v>195</v>
      </c>
      <c r="F42" t="str">
        <f>T("키마님")</f>
        <v>키마님</v>
      </c>
      <c r="I42" t="str">
        <f>T("딥블렌드")</f>
        <v>딥블렌드</v>
      </c>
      <c r="J42" t="str">
        <f>T("[연재]네크로맨서 생존기")</f>
        <v>[연재]네크로맨서 생존기</v>
      </c>
      <c r="K42">
        <v>100</v>
      </c>
      <c r="L42">
        <v>73500</v>
      </c>
      <c r="M42">
        <v>735</v>
      </c>
      <c r="N42">
        <v>0</v>
      </c>
      <c r="O42">
        <v>0</v>
      </c>
      <c r="P42">
        <v>0</v>
      </c>
      <c r="Q42">
        <v>23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-800</v>
      </c>
      <c r="Y42">
        <v>8</v>
      </c>
      <c r="Z42">
        <v>-800</v>
      </c>
      <c r="AA42">
        <v>8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43620</v>
      </c>
      <c r="AL42" t="str">
        <f t="shared" si="7"/>
        <v>0000000000000</v>
      </c>
      <c r="AN42" t="str">
        <f>T("9791190142359")</f>
        <v>9791190142359</v>
      </c>
      <c r="AP42" t="str">
        <f>T("BL 웹소설 &gt; 현대물")</f>
        <v>BL 웹소설 &gt; 현대물</v>
      </c>
      <c r="AQ42" t="str">
        <f>T("BL 웹소설 &gt; 판타지물")</f>
        <v>BL 웹소설 &gt; 판타지물</v>
      </c>
    </row>
    <row r="43" spans="1:43" x14ac:dyDescent="0.4">
      <c r="A43" t="s">
        <v>43</v>
      </c>
      <c r="C43">
        <v>3822001090</v>
      </c>
      <c r="D43" t="str">
        <f>T("프리즈(Freeze), 움직이면 사랑한다")</f>
        <v>프리즈(Freeze), 움직이면 사랑한다</v>
      </c>
      <c r="F43" t="str">
        <f>T("김원리")</f>
        <v>김원리</v>
      </c>
      <c r="I43" t="str">
        <f>T("애프터선셋")</f>
        <v>애프터선셋</v>
      </c>
      <c r="K43">
        <v>3200</v>
      </c>
      <c r="L43">
        <v>70400</v>
      </c>
      <c r="M43">
        <v>22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49280</v>
      </c>
      <c r="AN43" t="str">
        <f>T("9791190876148")</f>
        <v>9791190876148</v>
      </c>
      <c r="AP43" t="str">
        <f>T("로맨스 e북 &gt; 현대물")</f>
        <v>로맨스 e북 &gt; 현대물</v>
      </c>
      <c r="AQ43" t="str">
        <f>T("로맨스 e북 &gt; 19+")</f>
        <v>로맨스 e북 &gt; 19+</v>
      </c>
    </row>
    <row r="44" spans="1:43" x14ac:dyDescent="0.4">
      <c r="A44" t="s">
        <v>43</v>
      </c>
      <c r="B44">
        <v>3822000323</v>
      </c>
      <c r="C44">
        <v>3822001207</v>
      </c>
      <c r="D44" t="str">
        <f>T("[연재]네크로맨서 생존기 194화")</f>
        <v>[연재]네크로맨서 생존기 194화</v>
      </c>
      <c r="E44" t="str">
        <f>T("194")</f>
        <v>194</v>
      </c>
      <c r="F44" t="str">
        <f>T("키마님")</f>
        <v>키마님</v>
      </c>
      <c r="I44" t="str">
        <f>T("딥블렌드")</f>
        <v>딥블렌드</v>
      </c>
      <c r="J44" t="str">
        <f>T("[연재]네크로맨서 생존기")</f>
        <v>[연재]네크로맨서 생존기</v>
      </c>
      <c r="K44">
        <v>100</v>
      </c>
      <c r="L44">
        <v>67500</v>
      </c>
      <c r="M44">
        <v>675</v>
      </c>
      <c r="N44">
        <v>0</v>
      </c>
      <c r="O44">
        <v>0</v>
      </c>
      <c r="P44">
        <v>0</v>
      </c>
      <c r="Q44">
        <v>14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-800</v>
      </c>
      <c r="Y44">
        <v>8</v>
      </c>
      <c r="Z44">
        <v>-800</v>
      </c>
      <c r="AA44">
        <v>8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40020</v>
      </c>
      <c r="AL44" t="str">
        <f t="shared" ref="AL44:AL75" si="8">T("0000000000000")</f>
        <v>0000000000000</v>
      </c>
      <c r="AN44" t="str">
        <f>T("9791190142359")</f>
        <v>9791190142359</v>
      </c>
      <c r="AP44" t="str">
        <f>T("BL 웹소설 &gt; 현대물")</f>
        <v>BL 웹소설 &gt; 현대물</v>
      </c>
      <c r="AQ44" t="str">
        <f>T("BL 웹소설 &gt; 판타지물")</f>
        <v>BL 웹소설 &gt; 판타지물</v>
      </c>
    </row>
    <row r="45" spans="1:43" x14ac:dyDescent="0.4">
      <c r="A45" t="s">
        <v>43</v>
      </c>
      <c r="B45">
        <v>3822000323</v>
      </c>
      <c r="C45">
        <v>3822001205</v>
      </c>
      <c r="D45" t="str">
        <f>T("[연재]네크로맨서 생존기 193화")</f>
        <v>[연재]네크로맨서 생존기 193화</v>
      </c>
      <c r="E45" t="str">
        <f>T("193")</f>
        <v>193</v>
      </c>
      <c r="F45" t="str">
        <f>T("키마님")</f>
        <v>키마님</v>
      </c>
      <c r="I45" t="str">
        <f>T("딥블렌드")</f>
        <v>딥블렌드</v>
      </c>
      <c r="J45" t="str">
        <f>T("[연재]네크로맨서 생존기")</f>
        <v>[연재]네크로맨서 생존기</v>
      </c>
      <c r="K45">
        <v>100</v>
      </c>
      <c r="L45">
        <v>62900</v>
      </c>
      <c r="M45">
        <v>629</v>
      </c>
      <c r="N45">
        <v>0</v>
      </c>
      <c r="O45">
        <v>0</v>
      </c>
      <c r="P45">
        <v>0</v>
      </c>
      <c r="Q45">
        <v>10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-800</v>
      </c>
      <c r="Y45">
        <v>8</v>
      </c>
      <c r="Z45">
        <v>-800</v>
      </c>
      <c r="AA45">
        <v>8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37260</v>
      </c>
      <c r="AL45" t="str">
        <f t="shared" si="8"/>
        <v>0000000000000</v>
      </c>
      <c r="AN45" t="str">
        <f>T("9791190142359")</f>
        <v>9791190142359</v>
      </c>
      <c r="AP45" t="str">
        <f>T("BL 웹소설 &gt; 현대물")</f>
        <v>BL 웹소설 &gt; 현대물</v>
      </c>
      <c r="AQ45" t="str">
        <f>T("BL 웹소설 &gt; 판타지물")</f>
        <v>BL 웹소설 &gt; 판타지물</v>
      </c>
    </row>
    <row r="46" spans="1:43" x14ac:dyDescent="0.4">
      <c r="A46" t="s">
        <v>43</v>
      </c>
      <c r="B46">
        <v>3822000323</v>
      </c>
      <c r="C46">
        <v>3822001204</v>
      </c>
      <c r="D46" t="str">
        <f>T("[연재]네크로맨서 생존기 192화")</f>
        <v>[연재]네크로맨서 생존기 192화</v>
      </c>
      <c r="E46" t="str">
        <f>T("192")</f>
        <v>192</v>
      </c>
      <c r="F46" t="str">
        <f>T("키마님")</f>
        <v>키마님</v>
      </c>
      <c r="I46" t="str">
        <f>T("딥블렌드")</f>
        <v>딥블렌드</v>
      </c>
      <c r="J46" t="str">
        <f>T("[연재]네크로맨서 생존기")</f>
        <v>[연재]네크로맨서 생존기</v>
      </c>
      <c r="K46">
        <v>100</v>
      </c>
      <c r="L46">
        <v>58200</v>
      </c>
      <c r="M46">
        <v>582</v>
      </c>
      <c r="N46">
        <v>0</v>
      </c>
      <c r="O46">
        <v>0</v>
      </c>
      <c r="P46">
        <v>0</v>
      </c>
      <c r="Q46">
        <v>13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-800</v>
      </c>
      <c r="Y46">
        <v>9</v>
      </c>
      <c r="Z46">
        <v>-800</v>
      </c>
      <c r="AA46">
        <v>8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34440</v>
      </c>
      <c r="AL46" t="str">
        <f t="shared" si="8"/>
        <v>0000000000000</v>
      </c>
      <c r="AN46" t="str">
        <f>T("9791190142359")</f>
        <v>9791190142359</v>
      </c>
      <c r="AP46" t="str">
        <f>T("BL 웹소설 &gt; 현대물")</f>
        <v>BL 웹소설 &gt; 현대물</v>
      </c>
      <c r="AQ46" t="str">
        <f>T("BL 웹소설 &gt; 판타지물")</f>
        <v>BL 웹소설 &gt; 판타지물</v>
      </c>
    </row>
    <row r="47" spans="1:43" x14ac:dyDescent="0.4">
      <c r="A47" t="s">
        <v>43</v>
      </c>
      <c r="C47">
        <v>3822000027</v>
      </c>
      <c r="D47" t="str">
        <f>T("출근해서 만나요")</f>
        <v>출근해서 만나요</v>
      </c>
      <c r="F47" t="str">
        <f>T("한야하")</f>
        <v>한야하</v>
      </c>
      <c r="I47" t="str">
        <f>T("애프터선셋")</f>
        <v>애프터선셋</v>
      </c>
      <c r="K47">
        <v>3200</v>
      </c>
      <c r="L47">
        <v>57600</v>
      </c>
      <c r="M47">
        <v>18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40320</v>
      </c>
      <c r="AL47" t="str">
        <f t="shared" si="8"/>
        <v>0000000000000</v>
      </c>
      <c r="AN47" t="str">
        <f>T("9791190142212")</f>
        <v>9791190142212</v>
      </c>
      <c r="AP47" t="str">
        <f>T("로맨스 e북 &gt; 현대물")</f>
        <v>로맨스 e북 &gt; 현대물</v>
      </c>
      <c r="AQ47" t="str">
        <f>T("로맨스 e북 &gt; 19+")</f>
        <v>로맨스 e북 &gt; 19+</v>
      </c>
    </row>
    <row r="48" spans="1:43" x14ac:dyDescent="0.4">
      <c r="A48" t="s">
        <v>43</v>
      </c>
      <c r="B48">
        <v>3822000011</v>
      </c>
      <c r="C48">
        <v>3822000011</v>
      </c>
      <c r="D48" t="str">
        <f>T("시어드의 개는 짖지 않는다 1권")</f>
        <v>시어드의 개는 짖지 않는다 1권</v>
      </c>
      <c r="E48" t="str">
        <f>T("1")</f>
        <v>1</v>
      </c>
      <c r="F48" t="str">
        <f>T("퀸에이")</f>
        <v>퀸에이</v>
      </c>
      <c r="I48" t="str">
        <f t="shared" ref="I48:I79" si="9">T("딥블렌드")</f>
        <v>딥블렌드</v>
      </c>
      <c r="J48" t="str">
        <f>T("시어드의 개는 짖지 않는다")</f>
        <v>시어드의 개는 짖지 않는다</v>
      </c>
      <c r="K48">
        <v>3000</v>
      </c>
      <c r="L48">
        <v>57000</v>
      </c>
      <c r="M48">
        <v>19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9000</v>
      </c>
      <c r="U48">
        <v>3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46200</v>
      </c>
      <c r="AL48" t="str">
        <f t="shared" si="8"/>
        <v>0000000000000</v>
      </c>
      <c r="AN48" t="str">
        <f>T("9791190142045")</f>
        <v>9791190142045</v>
      </c>
      <c r="AP48" t="str">
        <f>T("BL 소설 e북 &gt; 역사/시대물")</f>
        <v>BL 소설 e북 &gt; 역사/시대물</v>
      </c>
    </row>
    <row r="49" spans="1:43" x14ac:dyDescent="0.4">
      <c r="A49" t="s">
        <v>43</v>
      </c>
      <c r="B49">
        <v>3822000323</v>
      </c>
      <c r="C49">
        <v>3822001202</v>
      </c>
      <c r="D49" t="str">
        <f>T("[연재]네크로맨서 생존기 191화")</f>
        <v>[연재]네크로맨서 생존기 191화</v>
      </c>
      <c r="E49" t="str">
        <f>T("191")</f>
        <v>191</v>
      </c>
      <c r="F49" t="str">
        <f t="shared" ref="F49:F57" si="10">T("키마님")</f>
        <v>키마님</v>
      </c>
      <c r="I49" t="str">
        <f t="shared" si="9"/>
        <v>딥블렌드</v>
      </c>
      <c r="J49" t="str">
        <f t="shared" ref="J49:J57" si="11">T("[연재]네크로맨서 생존기")</f>
        <v>[연재]네크로맨서 생존기</v>
      </c>
      <c r="K49">
        <v>100</v>
      </c>
      <c r="L49">
        <v>56200</v>
      </c>
      <c r="M49">
        <v>562</v>
      </c>
      <c r="N49">
        <v>0</v>
      </c>
      <c r="O49">
        <v>0</v>
      </c>
      <c r="P49">
        <v>0</v>
      </c>
      <c r="Q49">
        <v>10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-700</v>
      </c>
      <c r="Y49">
        <v>8</v>
      </c>
      <c r="Z49">
        <v>-700</v>
      </c>
      <c r="AA49">
        <v>7</v>
      </c>
      <c r="AB49">
        <v>0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33300</v>
      </c>
      <c r="AL49" t="str">
        <f t="shared" si="8"/>
        <v>0000000000000</v>
      </c>
      <c r="AN49" t="str">
        <f t="shared" ref="AN49:AN57" si="12">T("9791190142359")</f>
        <v>9791190142359</v>
      </c>
      <c r="AP49" t="str">
        <f t="shared" ref="AP49:AP57" si="13">T("BL 웹소설 &gt; 현대물")</f>
        <v>BL 웹소설 &gt; 현대물</v>
      </c>
      <c r="AQ49" t="str">
        <f t="shared" ref="AQ49:AQ57" si="14">T("BL 웹소설 &gt; 판타지물")</f>
        <v>BL 웹소설 &gt; 판타지물</v>
      </c>
    </row>
    <row r="50" spans="1:43" x14ac:dyDescent="0.4">
      <c r="A50" t="s">
        <v>43</v>
      </c>
      <c r="B50">
        <v>3822000323</v>
      </c>
      <c r="C50">
        <v>3822001200</v>
      </c>
      <c r="D50" t="str">
        <f>T("[연재]네크로맨서 생존기 190화")</f>
        <v>[연재]네크로맨서 생존기 190화</v>
      </c>
      <c r="E50" t="str">
        <f>T("190")</f>
        <v>190</v>
      </c>
      <c r="F50" t="str">
        <f t="shared" si="10"/>
        <v>키마님</v>
      </c>
      <c r="I50" t="str">
        <f t="shared" si="9"/>
        <v>딥블렌드</v>
      </c>
      <c r="J50" t="str">
        <f t="shared" si="11"/>
        <v>[연재]네크로맨서 생존기</v>
      </c>
      <c r="K50">
        <v>100</v>
      </c>
      <c r="L50">
        <v>55400</v>
      </c>
      <c r="M50">
        <v>554</v>
      </c>
      <c r="N50">
        <v>0</v>
      </c>
      <c r="O50">
        <v>0</v>
      </c>
      <c r="P50">
        <v>0</v>
      </c>
      <c r="Q50">
        <v>12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-700</v>
      </c>
      <c r="Y50">
        <v>7</v>
      </c>
      <c r="Z50">
        <v>-700</v>
      </c>
      <c r="AA50">
        <v>7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32820</v>
      </c>
      <c r="AL50" t="str">
        <f t="shared" si="8"/>
        <v>0000000000000</v>
      </c>
      <c r="AN50" t="str">
        <f t="shared" si="12"/>
        <v>9791190142359</v>
      </c>
      <c r="AP50" t="str">
        <f t="shared" si="13"/>
        <v>BL 웹소설 &gt; 현대물</v>
      </c>
      <c r="AQ50" t="str">
        <f t="shared" si="14"/>
        <v>BL 웹소설 &gt; 판타지물</v>
      </c>
    </row>
    <row r="51" spans="1:43" x14ac:dyDescent="0.4">
      <c r="A51" t="s">
        <v>43</v>
      </c>
      <c r="B51">
        <v>3822000323</v>
      </c>
      <c r="C51">
        <v>3822001198</v>
      </c>
      <c r="D51" t="str">
        <f>T("[연재]네크로맨서 생존기 189화")</f>
        <v>[연재]네크로맨서 생존기 189화</v>
      </c>
      <c r="E51" t="str">
        <f>T("189")</f>
        <v>189</v>
      </c>
      <c r="F51" t="str">
        <f t="shared" si="10"/>
        <v>키마님</v>
      </c>
      <c r="I51" t="str">
        <f t="shared" si="9"/>
        <v>딥블렌드</v>
      </c>
      <c r="J51" t="str">
        <f t="shared" si="11"/>
        <v>[연재]네크로맨서 생존기</v>
      </c>
      <c r="K51">
        <v>100</v>
      </c>
      <c r="L51">
        <v>54700</v>
      </c>
      <c r="M51">
        <v>547</v>
      </c>
      <c r="N51">
        <v>0</v>
      </c>
      <c r="O51">
        <v>0</v>
      </c>
      <c r="P51">
        <v>0</v>
      </c>
      <c r="Q51">
        <v>12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-700</v>
      </c>
      <c r="Y51">
        <v>7</v>
      </c>
      <c r="Z51">
        <v>-700</v>
      </c>
      <c r="AA51">
        <v>7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32400</v>
      </c>
      <c r="AL51" t="str">
        <f t="shared" si="8"/>
        <v>0000000000000</v>
      </c>
      <c r="AN51" t="str">
        <f t="shared" si="12"/>
        <v>9791190142359</v>
      </c>
      <c r="AP51" t="str">
        <f t="shared" si="13"/>
        <v>BL 웹소설 &gt; 현대물</v>
      </c>
      <c r="AQ51" t="str">
        <f t="shared" si="14"/>
        <v>BL 웹소설 &gt; 판타지물</v>
      </c>
    </row>
    <row r="52" spans="1:43" x14ac:dyDescent="0.4">
      <c r="A52" t="s">
        <v>43</v>
      </c>
      <c r="B52">
        <v>3822000323</v>
      </c>
      <c r="C52">
        <v>3822001179</v>
      </c>
      <c r="D52" t="str">
        <f>T("[연재]네크로맨서 생존기 185화")</f>
        <v>[연재]네크로맨서 생존기 185화</v>
      </c>
      <c r="E52" t="str">
        <f>T("185")</f>
        <v>185</v>
      </c>
      <c r="F52" t="str">
        <f t="shared" si="10"/>
        <v>키마님</v>
      </c>
      <c r="I52" t="str">
        <f t="shared" si="9"/>
        <v>딥블렌드</v>
      </c>
      <c r="J52" t="str">
        <f t="shared" si="11"/>
        <v>[연재]네크로맨서 생존기</v>
      </c>
      <c r="K52">
        <v>100</v>
      </c>
      <c r="L52">
        <v>53200</v>
      </c>
      <c r="M52">
        <v>532</v>
      </c>
      <c r="N52">
        <v>0</v>
      </c>
      <c r="O52">
        <v>0</v>
      </c>
      <c r="P52">
        <v>0</v>
      </c>
      <c r="Q52">
        <v>9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-500</v>
      </c>
      <c r="Y52">
        <v>5</v>
      </c>
      <c r="Z52">
        <v>-500</v>
      </c>
      <c r="AA52">
        <v>5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31620</v>
      </c>
      <c r="AL52" t="str">
        <f t="shared" si="8"/>
        <v>0000000000000</v>
      </c>
      <c r="AN52" t="str">
        <f t="shared" si="12"/>
        <v>9791190142359</v>
      </c>
      <c r="AP52" t="str">
        <f t="shared" si="13"/>
        <v>BL 웹소설 &gt; 현대물</v>
      </c>
      <c r="AQ52" t="str">
        <f t="shared" si="14"/>
        <v>BL 웹소설 &gt; 판타지물</v>
      </c>
    </row>
    <row r="53" spans="1:43" x14ac:dyDescent="0.4">
      <c r="A53" t="s">
        <v>43</v>
      </c>
      <c r="B53">
        <v>3822000323</v>
      </c>
      <c r="C53">
        <v>3822001196</v>
      </c>
      <c r="D53" t="str">
        <f>T("[연재]네크로맨서 생존기 188화")</f>
        <v>[연재]네크로맨서 생존기 188화</v>
      </c>
      <c r="E53" t="str">
        <f>T("188")</f>
        <v>188</v>
      </c>
      <c r="F53" t="str">
        <f t="shared" si="10"/>
        <v>키마님</v>
      </c>
      <c r="I53" t="str">
        <f t="shared" si="9"/>
        <v>딥블렌드</v>
      </c>
      <c r="J53" t="str">
        <f t="shared" si="11"/>
        <v>[연재]네크로맨서 생존기</v>
      </c>
      <c r="K53">
        <v>100</v>
      </c>
      <c r="L53">
        <v>52900</v>
      </c>
      <c r="M53">
        <v>529</v>
      </c>
      <c r="N53">
        <v>0</v>
      </c>
      <c r="O53">
        <v>0</v>
      </c>
      <c r="P53">
        <v>0</v>
      </c>
      <c r="Q53">
        <v>12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-700</v>
      </c>
      <c r="Y53">
        <v>7</v>
      </c>
      <c r="Z53">
        <v>-700</v>
      </c>
      <c r="AA53">
        <v>7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31320</v>
      </c>
      <c r="AL53" t="str">
        <f t="shared" si="8"/>
        <v>0000000000000</v>
      </c>
      <c r="AN53" t="str">
        <f t="shared" si="12"/>
        <v>9791190142359</v>
      </c>
      <c r="AP53" t="str">
        <f t="shared" si="13"/>
        <v>BL 웹소설 &gt; 현대물</v>
      </c>
      <c r="AQ53" t="str">
        <f t="shared" si="14"/>
        <v>BL 웹소설 &gt; 판타지물</v>
      </c>
    </row>
    <row r="54" spans="1:43" x14ac:dyDescent="0.4">
      <c r="A54" t="s">
        <v>43</v>
      </c>
      <c r="B54">
        <v>3822000323</v>
      </c>
      <c r="C54">
        <v>3822001192</v>
      </c>
      <c r="D54" t="str">
        <f>T("[연재]네크로맨서 생존기 186화")</f>
        <v>[연재]네크로맨서 생존기 186화</v>
      </c>
      <c r="E54" t="str">
        <f>T("186")</f>
        <v>186</v>
      </c>
      <c r="F54" t="str">
        <f t="shared" si="10"/>
        <v>키마님</v>
      </c>
      <c r="I54" t="str">
        <f t="shared" si="9"/>
        <v>딥블렌드</v>
      </c>
      <c r="J54" t="str">
        <f t="shared" si="11"/>
        <v>[연재]네크로맨서 생존기</v>
      </c>
      <c r="K54">
        <v>100</v>
      </c>
      <c r="L54">
        <v>52400</v>
      </c>
      <c r="M54">
        <v>524</v>
      </c>
      <c r="N54">
        <v>0</v>
      </c>
      <c r="O54">
        <v>0</v>
      </c>
      <c r="P54">
        <v>0</v>
      </c>
      <c r="Q54">
        <v>10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-700</v>
      </c>
      <c r="Y54">
        <v>7</v>
      </c>
      <c r="Z54">
        <v>-700</v>
      </c>
      <c r="AA54">
        <v>7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31020</v>
      </c>
      <c r="AL54" t="str">
        <f t="shared" si="8"/>
        <v>0000000000000</v>
      </c>
      <c r="AN54" t="str">
        <f t="shared" si="12"/>
        <v>9791190142359</v>
      </c>
      <c r="AP54" t="str">
        <f t="shared" si="13"/>
        <v>BL 웹소설 &gt; 현대물</v>
      </c>
      <c r="AQ54" t="str">
        <f t="shared" si="14"/>
        <v>BL 웹소설 &gt; 판타지물</v>
      </c>
    </row>
    <row r="55" spans="1:43" x14ac:dyDescent="0.4">
      <c r="A55" t="s">
        <v>43</v>
      </c>
      <c r="B55">
        <v>3822000323</v>
      </c>
      <c r="C55">
        <v>3822001194</v>
      </c>
      <c r="D55" t="str">
        <f>T("[연재]네크로맨서 생존기 187화")</f>
        <v>[연재]네크로맨서 생존기 187화</v>
      </c>
      <c r="E55" t="str">
        <f>T("187")</f>
        <v>187</v>
      </c>
      <c r="F55" t="str">
        <f t="shared" si="10"/>
        <v>키마님</v>
      </c>
      <c r="I55" t="str">
        <f t="shared" si="9"/>
        <v>딥블렌드</v>
      </c>
      <c r="J55" t="str">
        <f t="shared" si="11"/>
        <v>[연재]네크로맨서 생존기</v>
      </c>
      <c r="K55">
        <v>100</v>
      </c>
      <c r="L55">
        <v>52300</v>
      </c>
      <c r="M55">
        <v>523</v>
      </c>
      <c r="N55">
        <v>0</v>
      </c>
      <c r="O55">
        <v>0</v>
      </c>
      <c r="P55">
        <v>0</v>
      </c>
      <c r="Q55">
        <v>11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-700</v>
      </c>
      <c r="Y55">
        <v>7</v>
      </c>
      <c r="Z55">
        <v>-700</v>
      </c>
      <c r="AA55">
        <v>7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30960</v>
      </c>
      <c r="AL55" t="str">
        <f t="shared" si="8"/>
        <v>0000000000000</v>
      </c>
      <c r="AN55" t="str">
        <f t="shared" si="12"/>
        <v>9791190142359</v>
      </c>
      <c r="AP55" t="str">
        <f t="shared" si="13"/>
        <v>BL 웹소설 &gt; 현대물</v>
      </c>
      <c r="AQ55" t="str">
        <f t="shared" si="14"/>
        <v>BL 웹소설 &gt; 판타지물</v>
      </c>
    </row>
    <row r="56" spans="1:43" x14ac:dyDescent="0.4">
      <c r="A56" t="s">
        <v>43</v>
      </c>
      <c r="B56">
        <v>3822000323</v>
      </c>
      <c r="C56">
        <v>3822001163</v>
      </c>
      <c r="D56" t="str">
        <f>T("[연재]네크로맨서 생존기 183화")</f>
        <v>[연재]네크로맨서 생존기 183화</v>
      </c>
      <c r="E56" t="str">
        <f>T("183")</f>
        <v>183</v>
      </c>
      <c r="F56" t="str">
        <f t="shared" si="10"/>
        <v>키마님</v>
      </c>
      <c r="I56" t="str">
        <f t="shared" si="9"/>
        <v>딥블렌드</v>
      </c>
      <c r="J56" t="str">
        <f t="shared" si="11"/>
        <v>[연재]네크로맨서 생존기</v>
      </c>
      <c r="K56">
        <v>100</v>
      </c>
      <c r="L56">
        <v>52200</v>
      </c>
      <c r="M56">
        <v>522</v>
      </c>
      <c r="N56">
        <v>0</v>
      </c>
      <c r="O56">
        <v>0</v>
      </c>
      <c r="P56">
        <v>0</v>
      </c>
      <c r="Q56">
        <v>4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-600</v>
      </c>
      <c r="Y56">
        <v>6</v>
      </c>
      <c r="Z56">
        <v>-600</v>
      </c>
      <c r="AA56">
        <v>6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30960</v>
      </c>
      <c r="AL56" t="str">
        <f t="shared" si="8"/>
        <v>0000000000000</v>
      </c>
      <c r="AN56" t="str">
        <f t="shared" si="12"/>
        <v>9791190142359</v>
      </c>
      <c r="AP56" t="str">
        <f t="shared" si="13"/>
        <v>BL 웹소설 &gt; 현대물</v>
      </c>
      <c r="AQ56" t="str">
        <f t="shared" si="14"/>
        <v>BL 웹소설 &gt; 판타지물</v>
      </c>
    </row>
    <row r="57" spans="1:43" x14ac:dyDescent="0.4">
      <c r="A57" t="s">
        <v>43</v>
      </c>
      <c r="B57">
        <v>3822000323</v>
      </c>
      <c r="C57">
        <v>3822001165</v>
      </c>
      <c r="D57" t="str">
        <f>T("[연재]네크로맨서 생존기 184화")</f>
        <v>[연재]네크로맨서 생존기 184화</v>
      </c>
      <c r="E57" t="str">
        <f>T("184")</f>
        <v>184</v>
      </c>
      <c r="F57" t="str">
        <f t="shared" si="10"/>
        <v>키마님</v>
      </c>
      <c r="I57" t="str">
        <f t="shared" si="9"/>
        <v>딥블렌드</v>
      </c>
      <c r="J57" t="str">
        <f t="shared" si="11"/>
        <v>[연재]네크로맨서 생존기</v>
      </c>
      <c r="K57">
        <v>100</v>
      </c>
      <c r="L57">
        <v>52200</v>
      </c>
      <c r="M57">
        <v>522</v>
      </c>
      <c r="N57">
        <v>0</v>
      </c>
      <c r="O57">
        <v>0</v>
      </c>
      <c r="P57">
        <v>0</v>
      </c>
      <c r="Q57">
        <v>8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-600</v>
      </c>
      <c r="Y57">
        <v>6</v>
      </c>
      <c r="Z57">
        <v>-600</v>
      </c>
      <c r="AA57">
        <v>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30960</v>
      </c>
      <c r="AL57" t="str">
        <f t="shared" si="8"/>
        <v>0000000000000</v>
      </c>
      <c r="AN57" t="str">
        <f t="shared" si="12"/>
        <v>9791190142359</v>
      </c>
      <c r="AP57" t="str">
        <f t="shared" si="13"/>
        <v>BL 웹소설 &gt; 현대물</v>
      </c>
      <c r="AQ57" t="str">
        <f t="shared" si="14"/>
        <v>BL 웹소설 &gt; 판타지물</v>
      </c>
    </row>
    <row r="58" spans="1:43" x14ac:dyDescent="0.4">
      <c r="A58" t="s">
        <v>43</v>
      </c>
      <c r="B58">
        <v>3822000011</v>
      </c>
      <c r="C58">
        <v>3822000012</v>
      </c>
      <c r="D58" t="str">
        <f>T("시어드의 개는 짖지 않는다 2권")</f>
        <v>시어드의 개는 짖지 않는다 2권</v>
      </c>
      <c r="E58" t="str">
        <f>T("2")</f>
        <v>2</v>
      </c>
      <c r="F58" t="str">
        <f>T("퀸에이")</f>
        <v>퀸에이</v>
      </c>
      <c r="I58" t="str">
        <f t="shared" si="9"/>
        <v>딥블렌드</v>
      </c>
      <c r="J58" t="str">
        <f>T("시어드의 개는 짖지 않는다")</f>
        <v>시어드의 개는 짖지 않는다</v>
      </c>
      <c r="K58">
        <v>3200</v>
      </c>
      <c r="L58">
        <v>51200</v>
      </c>
      <c r="M58">
        <v>16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9600</v>
      </c>
      <c r="U58">
        <v>3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42560</v>
      </c>
      <c r="AL58" t="str">
        <f t="shared" si="8"/>
        <v>0000000000000</v>
      </c>
      <c r="AN58" t="str">
        <f>T("9791190142052")</f>
        <v>9791190142052</v>
      </c>
      <c r="AP58" t="str">
        <f>T("BL 소설 e북 &gt; 역사/시대물")</f>
        <v>BL 소설 e북 &gt; 역사/시대물</v>
      </c>
    </row>
    <row r="59" spans="1:43" x14ac:dyDescent="0.4">
      <c r="A59" t="s">
        <v>43</v>
      </c>
      <c r="B59">
        <v>3822000011</v>
      </c>
      <c r="C59">
        <v>3822000013</v>
      </c>
      <c r="D59" t="str">
        <f>T("시어드의 개는 짖지 않는다 3권 (완결)")</f>
        <v>시어드의 개는 짖지 않는다 3권 (완결)</v>
      </c>
      <c r="E59" t="str">
        <f>T("3")</f>
        <v>3</v>
      </c>
      <c r="F59" t="str">
        <f>T("퀸에이")</f>
        <v>퀸에이</v>
      </c>
      <c r="I59" t="str">
        <f t="shared" si="9"/>
        <v>딥블렌드</v>
      </c>
      <c r="J59" t="str">
        <f>T("시어드의 개는 짖지 않는다")</f>
        <v>시어드의 개는 짖지 않는다</v>
      </c>
      <c r="K59">
        <v>3200</v>
      </c>
      <c r="L59">
        <v>51200</v>
      </c>
      <c r="M59">
        <v>16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9600</v>
      </c>
      <c r="U59">
        <v>3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42560</v>
      </c>
      <c r="AL59" t="str">
        <f t="shared" si="8"/>
        <v>0000000000000</v>
      </c>
      <c r="AN59" t="str">
        <f>T("9791190142069")</f>
        <v>9791190142069</v>
      </c>
      <c r="AP59" t="str">
        <f>T("BL 소설 e북 &gt; 역사/시대물")</f>
        <v>BL 소설 e북 &gt; 역사/시대물</v>
      </c>
    </row>
    <row r="60" spans="1:43" x14ac:dyDescent="0.4">
      <c r="A60" t="s">
        <v>43</v>
      </c>
      <c r="B60">
        <v>3822000323</v>
      </c>
      <c r="C60">
        <v>3822001161</v>
      </c>
      <c r="D60" t="str">
        <f>T("[연재]네크로맨서 생존기 182화")</f>
        <v>[연재]네크로맨서 생존기 182화</v>
      </c>
      <c r="E60" t="str">
        <f>T("182")</f>
        <v>182</v>
      </c>
      <c r="F60" t="str">
        <f>T("키마님")</f>
        <v>키마님</v>
      </c>
      <c r="I60" t="str">
        <f t="shared" si="9"/>
        <v>딥블렌드</v>
      </c>
      <c r="J60" t="str">
        <f>T("[연재]네크로맨서 생존기")</f>
        <v>[연재]네크로맨서 생존기</v>
      </c>
      <c r="K60">
        <v>100</v>
      </c>
      <c r="L60">
        <v>50200</v>
      </c>
      <c r="M60">
        <v>502</v>
      </c>
      <c r="N60">
        <v>0</v>
      </c>
      <c r="O60">
        <v>0</v>
      </c>
      <c r="P60">
        <v>0</v>
      </c>
      <c r="Q60">
        <v>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-400</v>
      </c>
      <c r="Y60">
        <v>4</v>
      </c>
      <c r="Z60">
        <v>-400</v>
      </c>
      <c r="AA60">
        <v>4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29880</v>
      </c>
      <c r="AL60" t="str">
        <f t="shared" si="8"/>
        <v>0000000000000</v>
      </c>
      <c r="AN60" t="str">
        <f>T("9791190142359")</f>
        <v>9791190142359</v>
      </c>
      <c r="AP60" t="str">
        <f>T("BL 웹소설 &gt; 현대물")</f>
        <v>BL 웹소설 &gt; 현대물</v>
      </c>
      <c r="AQ60" t="str">
        <f>T("BL 웹소설 &gt; 판타지물")</f>
        <v>BL 웹소설 &gt; 판타지물</v>
      </c>
    </row>
    <row r="61" spans="1:43" x14ac:dyDescent="0.4">
      <c r="A61" t="s">
        <v>43</v>
      </c>
      <c r="B61">
        <v>3822000323</v>
      </c>
      <c r="C61">
        <v>3822001156</v>
      </c>
      <c r="D61" t="str">
        <f>T("[연재]네크로맨서 생존기 181화")</f>
        <v>[연재]네크로맨서 생존기 181화</v>
      </c>
      <c r="E61" t="str">
        <f>T("181")</f>
        <v>181</v>
      </c>
      <c r="F61" t="str">
        <f>T("키마님")</f>
        <v>키마님</v>
      </c>
      <c r="I61" t="str">
        <f t="shared" si="9"/>
        <v>딥블렌드</v>
      </c>
      <c r="J61" t="str">
        <f>T("[연재]네크로맨서 생존기")</f>
        <v>[연재]네크로맨서 생존기</v>
      </c>
      <c r="K61">
        <v>100</v>
      </c>
      <c r="L61">
        <v>49300</v>
      </c>
      <c r="M61">
        <v>493</v>
      </c>
      <c r="N61">
        <v>0</v>
      </c>
      <c r="O61">
        <v>0</v>
      </c>
      <c r="P61">
        <v>0</v>
      </c>
      <c r="Q61">
        <v>9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-400</v>
      </c>
      <c r="Y61">
        <v>4</v>
      </c>
      <c r="Z61">
        <v>-400</v>
      </c>
      <c r="AA61">
        <v>4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29340</v>
      </c>
      <c r="AL61" t="str">
        <f t="shared" si="8"/>
        <v>0000000000000</v>
      </c>
      <c r="AN61" t="str">
        <f>T("9791190142359")</f>
        <v>9791190142359</v>
      </c>
      <c r="AP61" t="str">
        <f>T("BL 웹소설 &gt; 현대물")</f>
        <v>BL 웹소설 &gt; 현대물</v>
      </c>
      <c r="AQ61" t="str">
        <f>T("BL 웹소설 &gt; 판타지물")</f>
        <v>BL 웹소설 &gt; 판타지물</v>
      </c>
    </row>
    <row r="62" spans="1:43" x14ac:dyDescent="0.4">
      <c r="A62" t="s">
        <v>43</v>
      </c>
      <c r="B62">
        <v>3822000323</v>
      </c>
      <c r="C62">
        <v>3822001144</v>
      </c>
      <c r="D62" t="str">
        <f>T("[연재]네크로맨서 생존기 178화")</f>
        <v>[연재]네크로맨서 생존기 178화</v>
      </c>
      <c r="E62" t="str">
        <f>T("178")</f>
        <v>178</v>
      </c>
      <c r="F62" t="str">
        <f>T("키마님")</f>
        <v>키마님</v>
      </c>
      <c r="I62" t="str">
        <f t="shared" si="9"/>
        <v>딥블렌드</v>
      </c>
      <c r="J62" t="str">
        <f>T("[연재]네크로맨서 생존기")</f>
        <v>[연재]네크로맨서 생존기</v>
      </c>
      <c r="K62">
        <v>100</v>
      </c>
      <c r="L62">
        <v>49000</v>
      </c>
      <c r="M62">
        <v>490</v>
      </c>
      <c r="N62">
        <v>0</v>
      </c>
      <c r="O62">
        <v>0</v>
      </c>
      <c r="P62">
        <v>0</v>
      </c>
      <c r="Q62">
        <v>2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-400</v>
      </c>
      <c r="Y62">
        <v>4</v>
      </c>
      <c r="Z62">
        <v>-400</v>
      </c>
      <c r="AA62">
        <v>4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29160</v>
      </c>
      <c r="AL62" t="str">
        <f t="shared" si="8"/>
        <v>0000000000000</v>
      </c>
      <c r="AN62" t="str">
        <f>T("9791190142359")</f>
        <v>9791190142359</v>
      </c>
      <c r="AP62" t="str">
        <f>T("BL 웹소설 &gt; 현대물")</f>
        <v>BL 웹소설 &gt; 현대물</v>
      </c>
      <c r="AQ62" t="str">
        <f>T("BL 웹소설 &gt; 판타지물")</f>
        <v>BL 웹소설 &gt; 판타지물</v>
      </c>
    </row>
    <row r="63" spans="1:43" x14ac:dyDescent="0.4">
      <c r="A63" t="s">
        <v>43</v>
      </c>
      <c r="B63">
        <v>3822000015</v>
      </c>
      <c r="C63">
        <v>3822000015</v>
      </c>
      <c r="D63" t="str">
        <f>T("낙원의 경계 1권")</f>
        <v>낙원의 경계 1권</v>
      </c>
      <c r="E63" t="str">
        <f>T("1")</f>
        <v>1</v>
      </c>
      <c r="F63" t="str">
        <f>T("나다")</f>
        <v>나다</v>
      </c>
      <c r="I63" t="str">
        <f t="shared" si="9"/>
        <v>딥블렌드</v>
      </c>
      <c r="J63" t="str">
        <f>T("낙원의 경계")</f>
        <v>낙원의 경계</v>
      </c>
      <c r="K63">
        <v>3500</v>
      </c>
      <c r="L63">
        <v>49000</v>
      </c>
      <c r="M63">
        <v>14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42000</v>
      </c>
      <c r="U63">
        <v>12</v>
      </c>
      <c r="V63">
        <v>127050</v>
      </c>
      <c r="W63">
        <v>77</v>
      </c>
      <c r="X63">
        <v>-3500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-3500</v>
      </c>
      <c r="AG63">
        <v>1</v>
      </c>
      <c r="AH63">
        <v>0</v>
      </c>
      <c r="AI63">
        <v>0</v>
      </c>
      <c r="AJ63">
        <v>150185</v>
      </c>
      <c r="AL63" t="str">
        <f t="shared" si="8"/>
        <v>0000000000000</v>
      </c>
      <c r="AN63" t="str">
        <f>T("9791190142106")</f>
        <v>9791190142106</v>
      </c>
      <c r="AP63" t="str">
        <f>T("BL 소설 e북 &gt; 현대물")</f>
        <v>BL 소설 e북 &gt; 현대물</v>
      </c>
      <c r="AQ63" t="str">
        <f>T("BL 소설 e북 &gt; 역사/시대물")</f>
        <v>BL 소설 e북 &gt; 역사/시대물</v>
      </c>
    </row>
    <row r="64" spans="1:43" x14ac:dyDescent="0.4">
      <c r="A64" t="s">
        <v>43</v>
      </c>
      <c r="B64">
        <v>3822000323</v>
      </c>
      <c r="C64">
        <v>3822001155</v>
      </c>
      <c r="D64" t="str">
        <f>T("[연재]네크로맨서 생존기 180화")</f>
        <v>[연재]네크로맨서 생존기 180화</v>
      </c>
      <c r="E64" t="str">
        <f>T("180")</f>
        <v>180</v>
      </c>
      <c r="F64" t="str">
        <f t="shared" ref="F64:F77" si="15">T("키마님")</f>
        <v>키마님</v>
      </c>
      <c r="I64" t="str">
        <f t="shared" si="9"/>
        <v>딥블렌드</v>
      </c>
      <c r="J64" t="str">
        <f t="shared" ref="J64:J77" si="16">T("[연재]네크로맨서 생존기")</f>
        <v>[연재]네크로맨서 생존기</v>
      </c>
      <c r="K64">
        <v>100</v>
      </c>
      <c r="L64">
        <v>49000</v>
      </c>
      <c r="M64">
        <v>490</v>
      </c>
      <c r="N64">
        <v>0</v>
      </c>
      <c r="O64">
        <v>0</v>
      </c>
      <c r="P64">
        <v>0</v>
      </c>
      <c r="Q64">
        <v>5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-400</v>
      </c>
      <c r="Y64">
        <v>4</v>
      </c>
      <c r="Z64">
        <v>-400</v>
      </c>
      <c r="AA64">
        <v>4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29160</v>
      </c>
      <c r="AL64" t="str">
        <f t="shared" si="8"/>
        <v>0000000000000</v>
      </c>
      <c r="AN64" t="str">
        <f t="shared" ref="AN64:AN77" si="17">T("9791190142359")</f>
        <v>9791190142359</v>
      </c>
      <c r="AP64" t="str">
        <f t="shared" ref="AP64:AP77" si="18">T("BL 웹소설 &gt; 현대물")</f>
        <v>BL 웹소설 &gt; 현대물</v>
      </c>
      <c r="AQ64" t="str">
        <f t="shared" ref="AQ64:AQ77" si="19">T("BL 웹소설 &gt; 판타지물")</f>
        <v>BL 웹소설 &gt; 판타지물</v>
      </c>
    </row>
    <row r="65" spans="1:43" x14ac:dyDescent="0.4">
      <c r="A65" t="s">
        <v>43</v>
      </c>
      <c r="B65">
        <v>3822000323</v>
      </c>
      <c r="C65">
        <v>3822001143</v>
      </c>
      <c r="D65" t="str">
        <f>T("[연재]네크로맨서 생존기 177화")</f>
        <v>[연재]네크로맨서 생존기 177화</v>
      </c>
      <c r="E65" t="str">
        <f>T("177")</f>
        <v>177</v>
      </c>
      <c r="F65" t="str">
        <f t="shared" si="15"/>
        <v>키마님</v>
      </c>
      <c r="I65" t="str">
        <f t="shared" si="9"/>
        <v>딥블렌드</v>
      </c>
      <c r="J65" t="str">
        <f t="shared" si="16"/>
        <v>[연재]네크로맨서 생존기</v>
      </c>
      <c r="K65">
        <v>100</v>
      </c>
      <c r="L65">
        <v>48500</v>
      </c>
      <c r="M65">
        <v>485</v>
      </c>
      <c r="N65">
        <v>0</v>
      </c>
      <c r="O65">
        <v>0</v>
      </c>
      <c r="P65">
        <v>0</v>
      </c>
      <c r="Q65">
        <v>2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-200</v>
      </c>
      <c r="Y65">
        <v>2</v>
      </c>
      <c r="Z65">
        <v>-200</v>
      </c>
      <c r="AA65">
        <v>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28980</v>
      </c>
      <c r="AL65" t="str">
        <f t="shared" si="8"/>
        <v>0000000000000</v>
      </c>
      <c r="AN65" t="str">
        <f t="shared" si="17"/>
        <v>9791190142359</v>
      </c>
      <c r="AP65" t="str">
        <f t="shared" si="18"/>
        <v>BL 웹소설 &gt; 현대물</v>
      </c>
      <c r="AQ65" t="str">
        <f t="shared" si="19"/>
        <v>BL 웹소설 &gt; 판타지물</v>
      </c>
    </row>
    <row r="66" spans="1:43" x14ac:dyDescent="0.4">
      <c r="A66" t="s">
        <v>43</v>
      </c>
      <c r="B66">
        <v>3822000323</v>
      </c>
      <c r="C66">
        <v>3822001153</v>
      </c>
      <c r="D66" t="str">
        <f>T("[연재]네크로맨서 생존기 179화")</f>
        <v>[연재]네크로맨서 생존기 179화</v>
      </c>
      <c r="E66" t="str">
        <f>T("179")</f>
        <v>179</v>
      </c>
      <c r="F66" t="str">
        <f t="shared" si="15"/>
        <v>키마님</v>
      </c>
      <c r="I66" t="str">
        <f t="shared" si="9"/>
        <v>딥블렌드</v>
      </c>
      <c r="J66" t="str">
        <f t="shared" si="16"/>
        <v>[연재]네크로맨서 생존기</v>
      </c>
      <c r="K66">
        <v>100</v>
      </c>
      <c r="L66">
        <v>48300</v>
      </c>
      <c r="M66">
        <v>483</v>
      </c>
      <c r="N66">
        <v>0</v>
      </c>
      <c r="O66">
        <v>0</v>
      </c>
      <c r="P66">
        <v>0</v>
      </c>
      <c r="Q66">
        <v>2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-400</v>
      </c>
      <c r="Y66">
        <v>4</v>
      </c>
      <c r="Z66">
        <v>-400</v>
      </c>
      <c r="AA66">
        <v>4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28740</v>
      </c>
      <c r="AL66" t="str">
        <f t="shared" si="8"/>
        <v>0000000000000</v>
      </c>
      <c r="AN66" t="str">
        <f t="shared" si="17"/>
        <v>9791190142359</v>
      </c>
      <c r="AP66" t="str">
        <f t="shared" si="18"/>
        <v>BL 웹소설 &gt; 현대물</v>
      </c>
      <c r="AQ66" t="str">
        <f t="shared" si="19"/>
        <v>BL 웹소설 &gt; 판타지물</v>
      </c>
    </row>
    <row r="67" spans="1:43" x14ac:dyDescent="0.4">
      <c r="A67" t="s">
        <v>43</v>
      </c>
      <c r="B67">
        <v>3822000323</v>
      </c>
      <c r="C67">
        <v>3822001140</v>
      </c>
      <c r="D67" t="str">
        <f>T("[연재]네크로맨서 생존기 175화")</f>
        <v>[연재]네크로맨서 생존기 175화</v>
      </c>
      <c r="E67" t="str">
        <f>T("175")</f>
        <v>175</v>
      </c>
      <c r="F67" t="str">
        <f t="shared" si="15"/>
        <v>키마님</v>
      </c>
      <c r="I67" t="str">
        <f t="shared" si="9"/>
        <v>딥블렌드</v>
      </c>
      <c r="J67" t="str">
        <f t="shared" si="16"/>
        <v>[연재]네크로맨서 생존기</v>
      </c>
      <c r="K67">
        <v>100</v>
      </c>
      <c r="L67">
        <v>48200</v>
      </c>
      <c r="M67">
        <v>482</v>
      </c>
      <c r="N67">
        <v>0</v>
      </c>
      <c r="O67">
        <v>0</v>
      </c>
      <c r="P67">
        <v>0</v>
      </c>
      <c r="Q67">
        <v>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-200</v>
      </c>
      <c r="Y67">
        <v>2</v>
      </c>
      <c r="Z67">
        <v>-200</v>
      </c>
      <c r="AA67">
        <v>2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28800</v>
      </c>
      <c r="AL67" t="str">
        <f t="shared" si="8"/>
        <v>0000000000000</v>
      </c>
      <c r="AN67" t="str">
        <f t="shared" si="17"/>
        <v>9791190142359</v>
      </c>
      <c r="AP67" t="str">
        <f t="shared" si="18"/>
        <v>BL 웹소설 &gt; 현대물</v>
      </c>
      <c r="AQ67" t="str">
        <f t="shared" si="19"/>
        <v>BL 웹소설 &gt; 판타지물</v>
      </c>
    </row>
    <row r="68" spans="1:43" x14ac:dyDescent="0.4">
      <c r="A68" t="s">
        <v>43</v>
      </c>
      <c r="B68">
        <v>3822000323</v>
      </c>
      <c r="C68">
        <v>3822001141</v>
      </c>
      <c r="D68" t="str">
        <f>T("[연재]네크로맨서 생존기 176화")</f>
        <v>[연재]네크로맨서 생존기 176화</v>
      </c>
      <c r="E68" t="str">
        <f>T("176")</f>
        <v>176</v>
      </c>
      <c r="F68" t="str">
        <f t="shared" si="15"/>
        <v>키마님</v>
      </c>
      <c r="I68" t="str">
        <f t="shared" si="9"/>
        <v>딥블렌드</v>
      </c>
      <c r="J68" t="str">
        <f t="shared" si="16"/>
        <v>[연재]네크로맨서 생존기</v>
      </c>
      <c r="K68">
        <v>100</v>
      </c>
      <c r="L68">
        <v>48100</v>
      </c>
      <c r="M68">
        <v>481</v>
      </c>
      <c r="N68">
        <v>0</v>
      </c>
      <c r="O68">
        <v>0</v>
      </c>
      <c r="P68">
        <v>0</v>
      </c>
      <c r="Q68">
        <v>4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-200</v>
      </c>
      <c r="Y68">
        <v>2</v>
      </c>
      <c r="Z68">
        <v>-200</v>
      </c>
      <c r="AA68">
        <v>2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28740</v>
      </c>
      <c r="AL68" t="str">
        <f t="shared" si="8"/>
        <v>0000000000000</v>
      </c>
      <c r="AN68" t="str">
        <f t="shared" si="17"/>
        <v>9791190142359</v>
      </c>
      <c r="AP68" t="str">
        <f t="shared" si="18"/>
        <v>BL 웹소설 &gt; 현대물</v>
      </c>
      <c r="AQ68" t="str">
        <f t="shared" si="19"/>
        <v>BL 웹소설 &gt; 판타지물</v>
      </c>
    </row>
    <row r="69" spans="1:43" x14ac:dyDescent="0.4">
      <c r="A69" t="s">
        <v>43</v>
      </c>
      <c r="B69">
        <v>3822000323</v>
      </c>
      <c r="C69">
        <v>3822001138</v>
      </c>
      <c r="D69" t="str">
        <f>T("[연재]네크로맨서 생존기 174화")</f>
        <v>[연재]네크로맨서 생존기 174화</v>
      </c>
      <c r="E69" t="str">
        <f>T("174")</f>
        <v>174</v>
      </c>
      <c r="F69" t="str">
        <f t="shared" si="15"/>
        <v>키마님</v>
      </c>
      <c r="I69" t="str">
        <f t="shared" si="9"/>
        <v>딥블렌드</v>
      </c>
      <c r="J69" t="str">
        <f t="shared" si="16"/>
        <v>[연재]네크로맨서 생존기</v>
      </c>
      <c r="K69">
        <v>100</v>
      </c>
      <c r="L69">
        <v>47300</v>
      </c>
      <c r="M69">
        <v>473</v>
      </c>
      <c r="N69">
        <v>0</v>
      </c>
      <c r="O69">
        <v>0</v>
      </c>
      <c r="P69">
        <v>0</v>
      </c>
      <c r="Q69">
        <v>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-200</v>
      </c>
      <c r="Y69">
        <v>2</v>
      </c>
      <c r="Z69">
        <v>-200</v>
      </c>
      <c r="AA69">
        <v>2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28260</v>
      </c>
      <c r="AL69" t="str">
        <f t="shared" si="8"/>
        <v>0000000000000</v>
      </c>
      <c r="AN69" t="str">
        <f t="shared" si="17"/>
        <v>9791190142359</v>
      </c>
      <c r="AP69" t="str">
        <f t="shared" si="18"/>
        <v>BL 웹소설 &gt; 현대물</v>
      </c>
      <c r="AQ69" t="str">
        <f t="shared" si="19"/>
        <v>BL 웹소설 &gt; 판타지물</v>
      </c>
    </row>
    <row r="70" spans="1:43" x14ac:dyDescent="0.4">
      <c r="A70" t="s">
        <v>43</v>
      </c>
      <c r="B70">
        <v>3822000323</v>
      </c>
      <c r="C70">
        <v>3822001128</v>
      </c>
      <c r="D70" t="str">
        <f>T("[연재]네크로맨서 생존기 173화")</f>
        <v>[연재]네크로맨서 생존기 173화</v>
      </c>
      <c r="E70" t="str">
        <f>T("173")</f>
        <v>173</v>
      </c>
      <c r="F70" t="str">
        <f t="shared" si="15"/>
        <v>키마님</v>
      </c>
      <c r="I70" t="str">
        <f t="shared" si="9"/>
        <v>딥블렌드</v>
      </c>
      <c r="J70" t="str">
        <f t="shared" si="16"/>
        <v>[연재]네크로맨서 생존기</v>
      </c>
      <c r="K70">
        <v>100</v>
      </c>
      <c r="L70">
        <v>47000</v>
      </c>
      <c r="M70">
        <v>470</v>
      </c>
      <c r="N70">
        <v>0</v>
      </c>
      <c r="O70">
        <v>0</v>
      </c>
      <c r="P70">
        <v>0</v>
      </c>
      <c r="Q70">
        <v>7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-200</v>
      </c>
      <c r="Y70">
        <v>2</v>
      </c>
      <c r="Z70">
        <v>-200</v>
      </c>
      <c r="AA70">
        <v>2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28080</v>
      </c>
      <c r="AL70" t="str">
        <f t="shared" si="8"/>
        <v>0000000000000</v>
      </c>
      <c r="AN70" t="str">
        <f t="shared" si="17"/>
        <v>9791190142359</v>
      </c>
      <c r="AP70" t="str">
        <f t="shared" si="18"/>
        <v>BL 웹소설 &gt; 현대물</v>
      </c>
      <c r="AQ70" t="str">
        <f t="shared" si="19"/>
        <v>BL 웹소설 &gt; 판타지물</v>
      </c>
    </row>
    <row r="71" spans="1:43" x14ac:dyDescent="0.4">
      <c r="A71" t="s">
        <v>43</v>
      </c>
      <c r="B71">
        <v>3822000323</v>
      </c>
      <c r="C71">
        <v>3822001126</v>
      </c>
      <c r="D71" t="str">
        <f>T("[연재]네크로맨서 생존기 172화")</f>
        <v>[연재]네크로맨서 생존기 172화</v>
      </c>
      <c r="E71" t="str">
        <f>T("172")</f>
        <v>172</v>
      </c>
      <c r="F71" t="str">
        <f t="shared" si="15"/>
        <v>키마님</v>
      </c>
      <c r="I71" t="str">
        <f t="shared" si="9"/>
        <v>딥블렌드</v>
      </c>
      <c r="J71" t="str">
        <f t="shared" si="16"/>
        <v>[연재]네크로맨서 생존기</v>
      </c>
      <c r="K71">
        <v>100</v>
      </c>
      <c r="L71">
        <v>46400</v>
      </c>
      <c r="M71">
        <v>464</v>
      </c>
      <c r="N71">
        <v>0</v>
      </c>
      <c r="O71">
        <v>0</v>
      </c>
      <c r="P71">
        <v>0</v>
      </c>
      <c r="Q71">
        <v>2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-100</v>
      </c>
      <c r="Y71">
        <v>1</v>
      </c>
      <c r="Z71">
        <v>-100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27780</v>
      </c>
      <c r="AL71" t="str">
        <f t="shared" si="8"/>
        <v>0000000000000</v>
      </c>
      <c r="AN71" t="str">
        <f t="shared" si="17"/>
        <v>9791190142359</v>
      </c>
      <c r="AP71" t="str">
        <f t="shared" si="18"/>
        <v>BL 웹소설 &gt; 현대물</v>
      </c>
      <c r="AQ71" t="str">
        <f t="shared" si="19"/>
        <v>BL 웹소설 &gt; 판타지물</v>
      </c>
    </row>
    <row r="72" spans="1:43" x14ac:dyDescent="0.4">
      <c r="A72" t="s">
        <v>43</v>
      </c>
      <c r="B72">
        <v>3822000323</v>
      </c>
      <c r="C72">
        <v>3822001122</v>
      </c>
      <c r="D72" t="str">
        <f>T("[연재]네크로맨서 생존기 171화")</f>
        <v>[연재]네크로맨서 생존기 171화</v>
      </c>
      <c r="E72" t="str">
        <f>T("171")</f>
        <v>171</v>
      </c>
      <c r="F72" t="str">
        <f t="shared" si="15"/>
        <v>키마님</v>
      </c>
      <c r="I72" t="str">
        <f t="shared" si="9"/>
        <v>딥블렌드</v>
      </c>
      <c r="J72" t="str">
        <f t="shared" si="16"/>
        <v>[연재]네크로맨서 생존기</v>
      </c>
      <c r="K72">
        <v>100</v>
      </c>
      <c r="L72">
        <v>46200</v>
      </c>
      <c r="M72">
        <v>462</v>
      </c>
      <c r="N72">
        <v>0</v>
      </c>
      <c r="O72">
        <v>0</v>
      </c>
      <c r="P72">
        <v>0</v>
      </c>
      <c r="Q72">
        <v>4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-200</v>
      </c>
      <c r="Y72">
        <v>2</v>
      </c>
      <c r="Z72">
        <v>-200</v>
      </c>
      <c r="AA72">
        <v>2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27600</v>
      </c>
      <c r="AL72" t="str">
        <f t="shared" si="8"/>
        <v>0000000000000</v>
      </c>
      <c r="AN72" t="str">
        <f t="shared" si="17"/>
        <v>9791190142359</v>
      </c>
      <c r="AP72" t="str">
        <f t="shared" si="18"/>
        <v>BL 웹소설 &gt; 현대물</v>
      </c>
      <c r="AQ72" t="str">
        <f t="shared" si="19"/>
        <v>BL 웹소설 &gt; 판타지물</v>
      </c>
    </row>
    <row r="73" spans="1:43" x14ac:dyDescent="0.4">
      <c r="A73" t="s">
        <v>43</v>
      </c>
      <c r="B73">
        <v>3822000323</v>
      </c>
      <c r="C73">
        <v>3822001118</v>
      </c>
      <c r="D73" t="str">
        <f>T("[연재]네크로맨서 생존기 169화")</f>
        <v>[연재]네크로맨서 생존기 169화</v>
      </c>
      <c r="E73" t="str">
        <f>T("169")</f>
        <v>169</v>
      </c>
      <c r="F73" t="str">
        <f t="shared" si="15"/>
        <v>키마님</v>
      </c>
      <c r="I73" t="str">
        <f t="shared" si="9"/>
        <v>딥블렌드</v>
      </c>
      <c r="J73" t="str">
        <f t="shared" si="16"/>
        <v>[연재]네크로맨서 생존기</v>
      </c>
      <c r="K73">
        <v>100</v>
      </c>
      <c r="L73">
        <v>45200</v>
      </c>
      <c r="M73">
        <v>452</v>
      </c>
      <c r="N73">
        <v>0</v>
      </c>
      <c r="O73">
        <v>0</v>
      </c>
      <c r="P73">
        <v>0</v>
      </c>
      <c r="Q73">
        <v>5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-200</v>
      </c>
      <c r="Y73">
        <v>2</v>
      </c>
      <c r="Z73">
        <v>-200</v>
      </c>
      <c r="AA73">
        <v>2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27000</v>
      </c>
      <c r="AL73" t="str">
        <f t="shared" si="8"/>
        <v>0000000000000</v>
      </c>
      <c r="AN73" t="str">
        <f t="shared" si="17"/>
        <v>9791190142359</v>
      </c>
      <c r="AP73" t="str">
        <f t="shared" si="18"/>
        <v>BL 웹소설 &gt; 현대물</v>
      </c>
      <c r="AQ73" t="str">
        <f t="shared" si="19"/>
        <v>BL 웹소설 &gt; 판타지물</v>
      </c>
    </row>
    <row r="74" spans="1:43" x14ac:dyDescent="0.4">
      <c r="A74" t="s">
        <v>43</v>
      </c>
      <c r="B74">
        <v>3822000323</v>
      </c>
      <c r="C74">
        <v>3822001120</v>
      </c>
      <c r="D74" t="str">
        <f>T("[연재]네크로맨서 생존기 170화")</f>
        <v>[연재]네크로맨서 생존기 170화</v>
      </c>
      <c r="E74" t="str">
        <f>T("170")</f>
        <v>170</v>
      </c>
      <c r="F74" t="str">
        <f t="shared" si="15"/>
        <v>키마님</v>
      </c>
      <c r="I74" t="str">
        <f t="shared" si="9"/>
        <v>딥블렌드</v>
      </c>
      <c r="J74" t="str">
        <f t="shared" si="16"/>
        <v>[연재]네크로맨서 생존기</v>
      </c>
      <c r="K74">
        <v>100</v>
      </c>
      <c r="L74">
        <v>45200</v>
      </c>
      <c r="M74">
        <v>452</v>
      </c>
      <c r="N74">
        <v>0</v>
      </c>
      <c r="O74">
        <v>0</v>
      </c>
      <c r="P74">
        <v>0</v>
      </c>
      <c r="Q74">
        <v>4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-300</v>
      </c>
      <c r="Y74">
        <v>3</v>
      </c>
      <c r="Z74">
        <v>-300</v>
      </c>
      <c r="AA74">
        <v>3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26940</v>
      </c>
      <c r="AL74" t="str">
        <f t="shared" si="8"/>
        <v>0000000000000</v>
      </c>
      <c r="AN74" t="str">
        <f t="shared" si="17"/>
        <v>9791190142359</v>
      </c>
      <c r="AP74" t="str">
        <f t="shared" si="18"/>
        <v>BL 웹소설 &gt; 현대물</v>
      </c>
      <c r="AQ74" t="str">
        <f t="shared" si="19"/>
        <v>BL 웹소설 &gt; 판타지물</v>
      </c>
    </row>
    <row r="75" spans="1:43" x14ac:dyDescent="0.4">
      <c r="A75" t="s">
        <v>43</v>
      </c>
      <c r="B75">
        <v>3822000323</v>
      </c>
      <c r="C75">
        <v>3822001095</v>
      </c>
      <c r="D75" t="str">
        <f>T("[연재]네크로맨서 생존기 168화")</f>
        <v>[연재]네크로맨서 생존기 168화</v>
      </c>
      <c r="E75" t="str">
        <f>T("168")</f>
        <v>168</v>
      </c>
      <c r="F75" t="str">
        <f t="shared" si="15"/>
        <v>키마님</v>
      </c>
      <c r="I75" t="str">
        <f t="shared" si="9"/>
        <v>딥블렌드</v>
      </c>
      <c r="J75" t="str">
        <f t="shared" si="16"/>
        <v>[연재]네크로맨서 생존기</v>
      </c>
      <c r="K75">
        <v>100</v>
      </c>
      <c r="L75">
        <v>44200</v>
      </c>
      <c r="M75">
        <v>442</v>
      </c>
      <c r="N75">
        <v>0</v>
      </c>
      <c r="O75">
        <v>0</v>
      </c>
      <c r="P75">
        <v>0</v>
      </c>
      <c r="Q75">
        <v>3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-100</v>
      </c>
      <c r="Y75">
        <v>1</v>
      </c>
      <c r="Z75">
        <v>-100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26460</v>
      </c>
      <c r="AL75" t="str">
        <f t="shared" si="8"/>
        <v>0000000000000</v>
      </c>
      <c r="AN75" t="str">
        <f t="shared" si="17"/>
        <v>9791190142359</v>
      </c>
      <c r="AP75" t="str">
        <f t="shared" si="18"/>
        <v>BL 웹소설 &gt; 현대물</v>
      </c>
      <c r="AQ75" t="str">
        <f t="shared" si="19"/>
        <v>BL 웹소설 &gt; 판타지물</v>
      </c>
    </row>
    <row r="76" spans="1:43" x14ac:dyDescent="0.4">
      <c r="A76" t="s">
        <v>43</v>
      </c>
      <c r="B76">
        <v>3822000323</v>
      </c>
      <c r="C76">
        <v>3822001092</v>
      </c>
      <c r="D76" t="str">
        <f>T("[연재]네크로맨서 생존기 167화")</f>
        <v>[연재]네크로맨서 생존기 167화</v>
      </c>
      <c r="E76" t="str">
        <f>T("167")</f>
        <v>167</v>
      </c>
      <c r="F76" t="str">
        <f t="shared" si="15"/>
        <v>키마님</v>
      </c>
      <c r="I76" t="str">
        <f t="shared" si="9"/>
        <v>딥블렌드</v>
      </c>
      <c r="J76" t="str">
        <f t="shared" si="16"/>
        <v>[연재]네크로맨서 생존기</v>
      </c>
      <c r="K76">
        <v>100</v>
      </c>
      <c r="L76">
        <v>42700</v>
      </c>
      <c r="M76">
        <v>427</v>
      </c>
      <c r="N76">
        <v>0</v>
      </c>
      <c r="O76">
        <v>0</v>
      </c>
      <c r="P76">
        <v>0</v>
      </c>
      <c r="Q76">
        <v>5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-100</v>
      </c>
      <c r="Y76">
        <v>1</v>
      </c>
      <c r="Z76">
        <v>-100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25560</v>
      </c>
      <c r="AL76" t="str">
        <f t="shared" ref="AL76:AL95" si="20">T("0000000000000")</f>
        <v>0000000000000</v>
      </c>
      <c r="AN76" t="str">
        <f t="shared" si="17"/>
        <v>9791190142359</v>
      </c>
      <c r="AP76" t="str">
        <f t="shared" si="18"/>
        <v>BL 웹소설 &gt; 현대물</v>
      </c>
      <c r="AQ76" t="str">
        <f t="shared" si="19"/>
        <v>BL 웹소설 &gt; 판타지물</v>
      </c>
    </row>
    <row r="77" spans="1:43" x14ac:dyDescent="0.4">
      <c r="A77" t="s">
        <v>43</v>
      </c>
      <c r="B77">
        <v>3822000323</v>
      </c>
      <c r="C77">
        <v>3822001089</v>
      </c>
      <c r="D77" t="str">
        <f>T("[연재]네크로맨서 생존기 166화")</f>
        <v>[연재]네크로맨서 생존기 166화</v>
      </c>
      <c r="E77" t="str">
        <f>T("166")</f>
        <v>166</v>
      </c>
      <c r="F77" t="str">
        <f t="shared" si="15"/>
        <v>키마님</v>
      </c>
      <c r="I77" t="str">
        <f t="shared" si="9"/>
        <v>딥블렌드</v>
      </c>
      <c r="J77" t="str">
        <f t="shared" si="16"/>
        <v>[연재]네크로맨서 생존기</v>
      </c>
      <c r="K77">
        <v>100</v>
      </c>
      <c r="L77">
        <v>42600</v>
      </c>
      <c r="M77">
        <v>426</v>
      </c>
      <c r="N77">
        <v>0</v>
      </c>
      <c r="O77">
        <v>0</v>
      </c>
      <c r="P77">
        <v>0</v>
      </c>
      <c r="Q77">
        <v>4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25560</v>
      </c>
      <c r="AL77" t="str">
        <f t="shared" si="20"/>
        <v>0000000000000</v>
      </c>
      <c r="AN77" t="str">
        <f t="shared" si="17"/>
        <v>9791190142359</v>
      </c>
      <c r="AP77" t="str">
        <f t="shared" si="18"/>
        <v>BL 웹소설 &gt; 현대물</v>
      </c>
      <c r="AQ77" t="str">
        <f t="shared" si="19"/>
        <v>BL 웹소설 &gt; 판타지물</v>
      </c>
    </row>
    <row r="78" spans="1:43" x14ac:dyDescent="0.4">
      <c r="A78" t="s">
        <v>43</v>
      </c>
      <c r="B78">
        <v>3822000015</v>
      </c>
      <c r="C78">
        <v>3822000016</v>
      </c>
      <c r="D78" t="str">
        <f>T("낙원의 경계 2권 (완결)")</f>
        <v>낙원의 경계 2권 (완결)</v>
      </c>
      <c r="E78" t="str">
        <f>T("2")</f>
        <v>2</v>
      </c>
      <c r="F78" t="str">
        <f>T("나다")</f>
        <v>나다</v>
      </c>
      <c r="I78" t="str">
        <f t="shared" si="9"/>
        <v>딥블렌드</v>
      </c>
      <c r="J78" t="str">
        <f>T("낙원의 경계")</f>
        <v>낙원의 경계</v>
      </c>
      <c r="K78">
        <v>3500</v>
      </c>
      <c r="L78">
        <v>42000</v>
      </c>
      <c r="M78">
        <v>12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42000</v>
      </c>
      <c r="U78">
        <v>12</v>
      </c>
      <c r="V78">
        <v>127050</v>
      </c>
      <c r="W78">
        <v>77</v>
      </c>
      <c r="X78">
        <v>-3500</v>
      </c>
      <c r="Y78">
        <v>1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-3500</v>
      </c>
      <c r="AG78">
        <v>1</v>
      </c>
      <c r="AH78">
        <v>0</v>
      </c>
      <c r="AI78">
        <v>0</v>
      </c>
      <c r="AJ78">
        <v>145285</v>
      </c>
      <c r="AL78" t="str">
        <f t="shared" si="20"/>
        <v>0000000000000</v>
      </c>
      <c r="AN78" t="str">
        <f>T("9791190142113")</f>
        <v>9791190142113</v>
      </c>
      <c r="AP78" t="str">
        <f>T("BL 소설 e북 &gt; 현대물")</f>
        <v>BL 소설 e북 &gt; 현대물</v>
      </c>
      <c r="AQ78" t="str">
        <f>T("BL 소설 e북 &gt; 역사/시대물")</f>
        <v>BL 소설 e북 &gt; 역사/시대물</v>
      </c>
    </row>
    <row r="79" spans="1:43" x14ac:dyDescent="0.4">
      <c r="A79" t="s">
        <v>43</v>
      </c>
      <c r="B79">
        <v>3822000323</v>
      </c>
      <c r="C79">
        <v>3822001087</v>
      </c>
      <c r="D79" t="str">
        <f>T("[연재]네크로맨서 생존기 165화")</f>
        <v>[연재]네크로맨서 생존기 165화</v>
      </c>
      <c r="E79" t="str">
        <f>T("165")</f>
        <v>165</v>
      </c>
      <c r="F79" t="str">
        <f t="shared" ref="F79:F95" si="21">T("키마님")</f>
        <v>키마님</v>
      </c>
      <c r="I79" t="str">
        <f t="shared" si="9"/>
        <v>딥블렌드</v>
      </c>
      <c r="J79" t="str">
        <f t="shared" ref="J79:J95" si="22">T("[연재]네크로맨서 생존기")</f>
        <v>[연재]네크로맨서 생존기</v>
      </c>
      <c r="K79">
        <v>100</v>
      </c>
      <c r="L79">
        <v>41800</v>
      </c>
      <c r="M79">
        <v>418</v>
      </c>
      <c r="N79">
        <v>0</v>
      </c>
      <c r="O79">
        <v>0</v>
      </c>
      <c r="P79">
        <v>0</v>
      </c>
      <c r="Q79">
        <v>5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25080</v>
      </c>
      <c r="AL79" t="str">
        <f t="shared" si="20"/>
        <v>0000000000000</v>
      </c>
      <c r="AN79" t="str">
        <f t="shared" ref="AN79:AN95" si="23">T("9791190142359")</f>
        <v>9791190142359</v>
      </c>
      <c r="AP79" t="str">
        <f t="shared" ref="AP79:AP95" si="24">T("BL 웹소설 &gt; 현대물")</f>
        <v>BL 웹소설 &gt; 현대물</v>
      </c>
      <c r="AQ79" t="str">
        <f t="shared" ref="AQ79:AQ95" si="25">T("BL 웹소설 &gt; 판타지물")</f>
        <v>BL 웹소설 &gt; 판타지물</v>
      </c>
    </row>
    <row r="80" spans="1:43" x14ac:dyDescent="0.4">
      <c r="A80" t="s">
        <v>43</v>
      </c>
      <c r="B80">
        <v>3822000323</v>
      </c>
      <c r="C80">
        <v>3822001081</v>
      </c>
      <c r="D80" t="str">
        <f>T("[연재]네크로맨서 생존기 164화")</f>
        <v>[연재]네크로맨서 생존기 164화</v>
      </c>
      <c r="E80" t="str">
        <f>T("164")</f>
        <v>164</v>
      </c>
      <c r="F80" t="str">
        <f t="shared" si="21"/>
        <v>키마님</v>
      </c>
      <c r="I80" t="str">
        <f t="shared" ref="I80:I111" si="26">T("딥블렌드")</f>
        <v>딥블렌드</v>
      </c>
      <c r="J80" t="str">
        <f t="shared" si="22"/>
        <v>[연재]네크로맨서 생존기</v>
      </c>
      <c r="K80">
        <v>100</v>
      </c>
      <c r="L80">
        <v>41400</v>
      </c>
      <c r="M80">
        <v>414</v>
      </c>
      <c r="N80">
        <v>0</v>
      </c>
      <c r="O80">
        <v>0</v>
      </c>
      <c r="P80">
        <v>0</v>
      </c>
      <c r="Q80">
        <v>4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24840</v>
      </c>
      <c r="AL80" t="str">
        <f t="shared" si="20"/>
        <v>0000000000000</v>
      </c>
      <c r="AN80" t="str">
        <f t="shared" si="23"/>
        <v>9791190142359</v>
      </c>
      <c r="AP80" t="str">
        <f t="shared" si="24"/>
        <v>BL 웹소설 &gt; 현대물</v>
      </c>
      <c r="AQ80" t="str">
        <f t="shared" si="25"/>
        <v>BL 웹소설 &gt; 판타지물</v>
      </c>
    </row>
    <row r="81" spans="1:43" x14ac:dyDescent="0.4">
      <c r="A81" t="s">
        <v>43</v>
      </c>
      <c r="B81">
        <v>3822000323</v>
      </c>
      <c r="C81">
        <v>3822001056</v>
      </c>
      <c r="D81" t="str">
        <f>T("[연재]네크로맨서 생존기 163화")</f>
        <v>[연재]네크로맨서 생존기 163화</v>
      </c>
      <c r="E81" t="str">
        <f>T("163")</f>
        <v>163</v>
      </c>
      <c r="F81" t="str">
        <f t="shared" si="21"/>
        <v>키마님</v>
      </c>
      <c r="I81" t="str">
        <f t="shared" si="26"/>
        <v>딥블렌드</v>
      </c>
      <c r="J81" t="str">
        <f t="shared" si="22"/>
        <v>[연재]네크로맨서 생존기</v>
      </c>
      <c r="K81">
        <v>100</v>
      </c>
      <c r="L81">
        <v>41200</v>
      </c>
      <c r="M81">
        <v>412</v>
      </c>
      <c r="N81">
        <v>0</v>
      </c>
      <c r="O81">
        <v>0</v>
      </c>
      <c r="P81">
        <v>0</v>
      </c>
      <c r="Q81">
        <v>4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24720</v>
      </c>
      <c r="AL81" t="str">
        <f t="shared" si="20"/>
        <v>0000000000000</v>
      </c>
      <c r="AN81" t="str">
        <f t="shared" si="23"/>
        <v>9791190142359</v>
      </c>
      <c r="AP81" t="str">
        <f t="shared" si="24"/>
        <v>BL 웹소설 &gt; 현대물</v>
      </c>
      <c r="AQ81" t="str">
        <f t="shared" si="25"/>
        <v>BL 웹소설 &gt; 판타지물</v>
      </c>
    </row>
    <row r="82" spans="1:43" x14ac:dyDescent="0.4">
      <c r="A82" t="s">
        <v>43</v>
      </c>
      <c r="B82">
        <v>3822000323</v>
      </c>
      <c r="C82">
        <v>3822001052</v>
      </c>
      <c r="D82" t="str">
        <f>T("[연재]네크로맨서 생존기 161화")</f>
        <v>[연재]네크로맨서 생존기 161화</v>
      </c>
      <c r="E82" t="str">
        <f>T("161")</f>
        <v>161</v>
      </c>
      <c r="F82" t="str">
        <f t="shared" si="21"/>
        <v>키마님</v>
      </c>
      <c r="I82" t="str">
        <f t="shared" si="26"/>
        <v>딥블렌드</v>
      </c>
      <c r="J82" t="str">
        <f t="shared" si="22"/>
        <v>[연재]네크로맨서 생존기</v>
      </c>
      <c r="K82">
        <v>100</v>
      </c>
      <c r="L82">
        <v>40400</v>
      </c>
      <c r="M82">
        <v>404</v>
      </c>
      <c r="N82">
        <v>0</v>
      </c>
      <c r="O82">
        <v>0</v>
      </c>
      <c r="P82">
        <v>0</v>
      </c>
      <c r="Q82">
        <v>4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24240</v>
      </c>
      <c r="AL82" t="str">
        <f t="shared" si="20"/>
        <v>0000000000000</v>
      </c>
      <c r="AN82" t="str">
        <f t="shared" si="23"/>
        <v>9791190142359</v>
      </c>
      <c r="AP82" t="str">
        <f t="shared" si="24"/>
        <v>BL 웹소설 &gt; 현대물</v>
      </c>
      <c r="AQ82" t="str">
        <f t="shared" si="25"/>
        <v>BL 웹소설 &gt; 판타지물</v>
      </c>
    </row>
    <row r="83" spans="1:43" x14ac:dyDescent="0.4">
      <c r="A83" t="s">
        <v>43</v>
      </c>
      <c r="B83">
        <v>3822000323</v>
      </c>
      <c r="C83">
        <v>3822001055</v>
      </c>
      <c r="D83" t="str">
        <f>T("[연재]네크로맨서 생존기 162화")</f>
        <v>[연재]네크로맨서 생존기 162화</v>
      </c>
      <c r="E83" t="str">
        <f>T("162")</f>
        <v>162</v>
      </c>
      <c r="F83" t="str">
        <f t="shared" si="21"/>
        <v>키마님</v>
      </c>
      <c r="I83" t="str">
        <f t="shared" si="26"/>
        <v>딥블렌드</v>
      </c>
      <c r="J83" t="str">
        <f t="shared" si="22"/>
        <v>[연재]네크로맨서 생존기</v>
      </c>
      <c r="K83">
        <v>100</v>
      </c>
      <c r="L83">
        <v>40200</v>
      </c>
      <c r="M83">
        <v>402</v>
      </c>
      <c r="N83">
        <v>0</v>
      </c>
      <c r="O83">
        <v>0</v>
      </c>
      <c r="P83">
        <v>0</v>
      </c>
      <c r="Q83">
        <v>3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24120</v>
      </c>
      <c r="AL83" t="str">
        <f t="shared" si="20"/>
        <v>0000000000000</v>
      </c>
      <c r="AN83" t="str">
        <f t="shared" si="23"/>
        <v>9791190142359</v>
      </c>
      <c r="AP83" t="str">
        <f t="shared" si="24"/>
        <v>BL 웹소설 &gt; 현대물</v>
      </c>
      <c r="AQ83" t="str">
        <f t="shared" si="25"/>
        <v>BL 웹소설 &gt; 판타지물</v>
      </c>
    </row>
    <row r="84" spans="1:43" x14ac:dyDescent="0.4">
      <c r="A84" t="s">
        <v>43</v>
      </c>
      <c r="B84">
        <v>3822000323</v>
      </c>
      <c r="C84">
        <v>3822001048</v>
      </c>
      <c r="D84" t="str">
        <f>T("[연재]네크로맨서 생존기 160화")</f>
        <v>[연재]네크로맨서 생존기 160화</v>
      </c>
      <c r="E84" t="str">
        <f>T("160")</f>
        <v>160</v>
      </c>
      <c r="F84" t="str">
        <f t="shared" si="21"/>
        <v>키마님</v>
      </c>
      <c r="I84" t="str">
        <f t="shared" si="26"/>
        <v>딥블렌드</v>
      </c>
      <c r="J84" t="str">
        <f t="shared" si="22"/>
        <v>[연재]네크로맨서 생존기</v>
      </c>
      <c r="K84">
        <v>100</v>
      </c>
      <c r="L84">
        <v>39600</v>
      </c>
      <c r="M84">
        <v>396</v>
      </c>
      <c r="N84">
        <v>0</v>
      </c>
      <c r="O84">
        <v>0</v>
      </c>
      <c r="P84">
        <v>0</v>
      </c>
      <c r="Q84">
        <v>2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23760</v>
      </c>
      <c r="AL84" t="str">
        <f t="shared" si="20"/>
        <v>0000000000000</v>
      </c>
      <c r="AN84" t="str">
        <f t="shared" si="23"/>
        <v>9791190142359</v>
      </c>
      <c r="AP84" t="str">
        <f t="shared" si="24"/>
        <v>BL 웹소설 &gt; 현대물</v>
      </c>
      <c r="AQ84" t="str">
        <f t="shared" si="25"/>
        <v>BL 웹소설 &gt; 판타지물</v>
      </c>
    </row>
    <row r="85" spans="1:43" x14ac:dyDescent="0.4">
      <c r="A85" t="s">
        <v>43</v>
      </c>
      <c r="B85">
        <v>3822000323</v>
      </c>
      <c r="C85">
        <v>3822001046</v>
      </c>
      <c r="D85" t="str">
        <f>T("[연재]네크로맨서 생존기 159화")</f>
        <v>[연재]네크로맨서 생존기 159화</v>
      </c>
      <c r="E85" t="str">
        <f>T("159")</f>
        <v>159</v>
      </c>
      <c r="F85" t="str">
        <f t="shared" si="21"/>
        <v>키마님</v>
      </c>
      <c r="I85" t="str">
        <f t="shared" si="26"/>
        <v>딥블렌드</v>
      </c>
      <c r="J85" t="str">
        <f t="shared" si="22"/>
        <v>[연재]네크로맨서 생존기</v>
      </c>
      <c r="K85">
        <v>100</v>
      </c>
      <c r="L85">
        <v>39200</v>
      </c>
      <c r="M85">
        <v>392</v>
      </c>
      <c r="N85">
        <v>0</v>
      </c>
      <c r="O85">
        <v>0</v>
      </c>
      <c r="P85">
        <v>0</v>
      </c>
      <c r="Q85">
        <v>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23520</v>
      </c>
      <c r="AL85" t="str">
        <f t="shared" si="20"/>
        <v>0000000000000</v>
      </c>
      <c r="AN85" t="str">
        <f t="shared" si="23"/>
        <v>9791190142359</v>
      </c>
      <c r="AP85" t="str">
        <f t="shared" si="24"/>
        <v>BL 웹소설 &gt; 현대물</v>
      </c>
      <c r="AQ85" t="str">
        <f t="shared" si="25"/>
        <v>BL 웹소설 &gt; 판타지물</v>
      </c>
    </row>
    <row r="86" spans="1:43" x14ac:dyDescent="0.4">
      <c r="A86" t="s">
        <v>43</v>
      </c>
      <c r="B86">
        <v>3822000323</v>
      </c>
      <c r="C86">
        <v>3822000991</v>
      </c>
      <c r="D86" t="str">
        <f>T("[연재]네크로맨서 생존기 157화")</f>
        <v>[연재]네크로맨서 생존기 157화</v>
      </c>
      <c r="E86" t="str">
        <f>T("157")</f>
        <v>157</v>
      </c>
      <c r="F86" t="str">
        <f t="shared" si="21"/>
        <v>키마님</v>
      </c>
      <c r="I86" t="str">
        <f t="shared" si="26"/>
        <v>딥블렌드</v>
      </c>
      <c r="J86" t="str">
        <f t="shared" si="22"/>
        <v>[연재]네크로맨서 생존기</v>
      </c>
      <c r="K86">
        <v>100</v>
      </c>
      <c r="L86">
        <v>37900</v>
      </c>
      <c r="M86">
        <v>379</v>
      </c>
      <c r="N86">
        <v>0</v>
      </c>
      <c r="O86">
        <v>0</v>
      </c>
      <c r="P86">
        <v>0</v>
      </c>
      <c r="Q86">
        <v>3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-300</v>
      </c>
      <c r="Y86">
        <v>3</v>
      </c>
      <c r="Z86">
        <v>-300</v>
      </c>
      <c r="AA86">
        <v>3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22560</v>
      </c>
      <c r="AL86" t="str">
        <f t="shared" si="20"/>
        <v>0000000000000</v>
      </c>
      <c r="AN86" t="str">
        <f t="shared" si="23"/>
        <v>9791190142359</v>
      </c>
      <c r="AP86" t="str">
        <f t="shared" si="24"/>
        <v>BL 웹소설 &gt; 현대물</v>
      </c>
      <c r="AQ86" t="str">
        <f t="shared" si="25"/>
        <v>BL 웹소설 &gt; 판타지물</v>
      </c>
    </row>
    <row r="87" spans="1:43" x14ac:dyDescent="0.4">
      <c r="A87" t="s">
        <v>43</v>
      </c>
      <c r="B87">
        <v>3822000323</v>
      </c>
      <c r="C87">
        <v>3822000980</v>
      </c>
      <c r="D87" t="str">
        <f>T("[연재]네크로맨서 생존기 155화")</f>
        <v>[연재]네크로맨서 생존기 155화</v>
      </c>
      <c r="E87" t="str">
        <f>T("155")</f>
        <v>155</v>
      </c>
      <c r="F87" t="str">
        <f t="shared" si="21"/>
        <v>키마님</v>
      </c>
      <c r="I87" t="str">
        <f t="shared" si="26"/>
        <v>딥블렌드</v>
      </c>
      <c r="J87" t="str">
        <f t="shared" si="22"/>
        <v>[연재]네크로맨서 생존기</v>
      </c>
      <c r="K87">
        <v>100</v>
      </c>
      <c r="L87">
        <v>37900</v>
      </c>
      <c r="M87">
        <v>379</v>
      </c>
      <c r="N87">
        <v>0</v>
      </c>
      <c r="O87">
        <v>0</v>
      </c>
      <c r="P87">
        <v>0</v>
      </c>
      <c r="Q87">
        <v>5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-400</v>
      </c>
      <c r="Y87">
        <v>4</v>
      </c>
      <c r="Z87">
        <v>-400</v>
      </c>
      <c r="AA87">
        <v>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22500</v>
      </c>
      <c r="AL87" t="str">
        <f t="shared" si="20"/>
        <v>0000000000000</v>
      </c>
      <c r="AN87" t="str">
        <f t="shared" si="23"/>
        <v>9791190142359</v>
      </c>
      <c r="AP87" t="str">
        <f t="shared" si="24"/>
        <v>BL 웹소설 &gt; 현대물</v>
      </c>
      <c r="AQ87" t="str">
        <f t="shared" si="25"/>
        <v>BL 웹소설 &gt; 판타지물</v>
      </c>
    </row>
    <row r="88" spans="1:43" x14ac:dyDescent="0.4">
      <c r="A88" t="s">
        <v>43</v>
      </c>
      <c r="B88">
        <v>3822000323</v>
      </c>
      <c r="C88">
        <v>3822000993</v>
      </c>
      <c r="D88" t="str">
        <f>T("[연재]네크로맨서 생존기 158화")</f>
        <v>[연재]네크로맨서 생존기 158화</v>
      </c>
      <c r="E88" t="str">
        <f>T("158")</f>
        <v>158</v>
      </c>
      <c r="F88" t="str">
        <f t="shared" si="21"/>
        <v>키마님</v>
      </c>
      <c r="I88" t="str">
        <f t="shared" si="26"/>
        <v>딥블렌드</v>
      </c>
      <c r="J88" t="str">
        <f t="shared" si="22"/>
        <v>[연재]네크로맨서 생존기</v>
      </c>
      <c r="K88">
        <v>100</v>
      </c>
      <c r="L88">
        <v>37700</v>
      </c>
      <c r="M88">
        <v>377</v>
      </c>
      <c r="N88">
        <v>0</v>
      </c>
      <c r="O88">
        <v>0</v>
      </c>
      <c r="P88">
        <v>0</v>
      </c>
      <c r="Q88">
        <v>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22620</v>
      </c>
      <c r="AL88" t="str">
        <f t="shared" si="20"/>
        <v>0000000000000</v>
      </c>
      <c r="AN88" t="str">
        <f t="shared" si="23"/>
        <v>9791190142359</v>
      </c>
      <c r="AP88" t="str">
        <f t="shared" si="24"/>
        <v>BL 웹소설 &gt; 현대물</v>
      </c>
      <c r="AQ88" t="str">
        <f t="shared" si="25"/>
        <v>BL 웹소설 &gt; 판타지물</v>
      </c>
    </row>
    <row r="89" spans="1:43" x14ac:dyDescent="0.4">
      <c r="A89" t="s">
        <v>43</v>
      </c>
      <c r="B89">
        <v>3822000323</v>
      </c>
      <c r="C89">
        <v>3822000984</v>
      </c>
      <c r="D89" t="str">
        <f>T("[연재]네크로맨서 생존기 156화")</f>
        <v>[연재]네크로맨서 생존기 156화</v>
      </c>
      <c r="E89" t="str">
        <f>T("156")</f>
        <v>156</v>
      </c>
      <c r="F89" t="str">
        <f t="shared" si="21"/>
        <v>키마님</v>
      </c>
      <c r="I89" t="str">
        <f t="shared" si="26"/>
        <v>딥블렌드</v>
      </c>
      <c r="J89" t="str">
        <f t="shared" si="22"/>
        <v>[연재]네크로맨서 생존기</v>
      </c>
      <c r="K89">
        <v>100</v>
      </c>
      <c r="L89">
        <v>37600</v>
      </c>
      <c r="M89">
        <v>376</v>
      </c>
      <c r="N89">
        <v>0</v>
      </c>
      <c r="O89">
        <v>0</v>
      </c>
      <c r="P89">
        <v>0</v>
      </c>
      <c r="Q89">
        <v>4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-400</v>
      </c>
      <c r="Y89">
        <v>4</v>
      </c>
      <c r="Z89">
        <v>-400</v>
      </c>
      <c r="AA89">
        <v>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22320</v>
      </c>
      <c r="AL89" t="str">
        <f t="shared" si="20"/>
        <v>0000000000000</v>
      </c>
      <c r="AN89" t="str">
        <f t="shared" si="23"/>
        <v>9791190142359</v>
      </c>
      <c r="AP89" t="str">
        <f t="shared" si="24"/>
        <v>BL 웹소설 &gt; 현대물</v>
      </c>
      <c r="AQ89" t="str">
        <f t="shared" si="25"/>
        <v>BL 웹소설 &gt; 판타지물</v>
      </c>
    </row>
    <row r="90" spans="1:43" x14ac:dyDescent="0.4">
      <c r="A90" t="s">
        <v>43</v>
      </c>
      <c r="B90">
        <v>3822000323</v>
      </c>
      <c r="C90">
        <v>3822000975</v>
      </c>
      <c r="D90" t="str">
        <f>T("[연재]네크로맨서 생존기 154화")</f>
        <v>[연재]네크로맨서 생존기 154화</v>
      </c>
      <c r="E90" t="str">
        <f>T("154")</f>
        <v>154</v>
      </c>
      <c r="F90" t="str">
        <f t="shared" si="21"/>
        <v>키마님</v>
      </c>
      <c r="I90" t="str">
        <f t="shared" si="26"/>
        <v>딥블렌드</v>
      </c>
      <c r="J90" t="str">
        <f t="shared" si="22"/>
        <v>[연재]네크로맨서 생존기</v>
      </c>
      <c r="K90">
        <v>100</v>
      </c>
      <c r="L90">
        <v>37500</v>
      </c>
      <c r="M90">
        <v>375</v>
      </c>
      <c r="N90">
        <v>0</v>
      </c>
      <c r="O90">
        <v>0</v>
      </c>
      <c r="P90">
        <v>0</v>
      </c>
      <c r="Q90">
        <v>4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-400</v>
      </c>
      <c r="Y90">
        <v>4</v>
      </c>
      <c r="Z90">
        <v>-400</v>
      </c>
      <c r="AA90">
        <v>4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22260</v>
      </c>
      <c r="AL90" t="str">
        <f t="shared" si="20"/>
        <v>0000000000000</v>
      </c>
      <c r="AN90" t="str">
        <f t="shared" si="23"/>
        <v>9791190142359</v>
      </c>
      <c r="AP90" t="str">
        <f t="shared" si="24"/>
        <v>BL 웹소설 &gt; 현대물</v>
      </c>
      <c r="AQ90" t="str">
        <f t="shared" si="25"/>
        <v>BL 웹소설 &gt; 판타지물</v>
      </c>
    </row>
    <row r="91" spans="1:43" x14ac:dyDescent="0.4">
      <c r="A91" t="s">
        <v>43</v>
      </c>
      <c r="B91">
        <v>3822000323</v>
      </c>
      <c r="C91">
        <v>3822000953</v>
      </c>
      <c r="D91" t="str">
        <f>T("[연재]네크로맨서 생존기 149화")</f>
        <v>[연재]네크로맨서 생존기 149화</v>
      </c>
      <c r="E91" t="str">
        <f>T("149")</f>
        <v>149</v>
      </c>
      <c r="F91" t="str">
        <f t="shared" si="21"/>
        <v>키마님</v>
      </c>
      <c r="I91" t="str">
        <f t="shared" si="26"/>
        <v>딥블렌드</v>
      </c>
      <c r="J91" t="str">
        <f t="shared" si="22"/>
        <v>[연재]네크로맨서 생존기</v>
      </c>
      <c r="K91">
        <v>100</v>
      </c>
      <c r="L91">
        <v>37300</v>
      </c>
      <c r="M91">
        <v>373</v>
      </c>
      <c r="N91">
        <v>0</v>
      </c>
      <c r="O91">
        <v>0</v>
      </c>
      <c r="P91">
        <v>0</v>
      </c>
      <c r="Q91">
        <v>5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-400</v>
      </c>
      <c r="Y91">
        <v>4</v>
      </c>
      <c r="Z91">
        <v>-400</v>
      </c>
      <c r="AA91">
        <v>4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22140</v>
      </c>
      <c r="AL91" t="str">
        <f t="shared" si="20"/>
        <v>0000000000000</v>
      </c>
      <c r="AN91" t="str">
        <f t="shared" si="23"/>
        <v>9791190142359</v>
      </c>
      <c r="AP91" t="str">
        <f t="shared" si="24"/>
        <v>BL 웹소설 &gt; 현대물</v>
      </c>
      <c r="AQ91" t="str">
        <f t="shared" si="25"/>
        <v>BL 웹소설 &gt; 판타지물</v>
      </c>
    </row>
    <row r="92" spans="1:43" x14ac:dyDescent="0.4">
      <c r="A92" t="s">
        <v>43</v>
      </c>
      <c r="B92">
        <v>3822000323</v>
      </c>
      <c r="C92">
        <v>3822000967</v>
      </c>
      <c r="D92" t="str">
        <f>T("[연재]네크로맨서 생존기 153화")</f>
        <v>[연재]네크로맨서 생존기 153화</v>
      </c>
      <c r="E92" t="str">
        <f>T("153")</f>
        <v>153</v>
      </c>
      <c r="F92" t="str">
        <f t="shared" si="21"/>
        <v>키마님</v>
      </c>
      <c r="I92" t="str">
        <f t="shared" si="26"/>
        <v>딥블렌드</v>
      </c>
      <c r="J92" t="str">
        <f t="shared" si="22"/>
        <v>[연재]네크로맨서 생존기</v>
      </c>
      <c r="K92">
        <v>100</v>
      </c>
      <c r="L92">
        <v>37200</v>
      </c>
      <c r="M92">
        <v>372</v>
      </c>
      <c r="N92">
        <v>0</v>
      </c>
      <c r="O92">
        <v>0</v>
      </c>
      <c r="P92">
        <v>0</v>
      </c>
      <c r="Q92">
        <v>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-400</v>
      </c>
      <c r="Y92">
        <v>4</v>
      </c>
      <c r="Z92">
        <v>-400</v>
      </c>
      <c r="AA92">
        <v>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22080</v>
      </c>
      <c r="AL92" t="str">
        <f t="shared" si="20"/>
        <v>0000000000000</v>
      </c>
      <c r="AN92" t="str">
        <f t="shared" si="23"/>
        <v>9791190142359</v>
      </c>
      <c r="AP92" t="str">
        <f t="shared" si="24"/>
        <v>BL 웹소설 &gt; 현대물</v>
      </c>
      <c r="AQ92" t="str">
        <f t="shared" si="25"/>
        <v>BL 웹소설 &gt; 판타지물</v>
      </c>
    </row>
    <row r="93" spans="1:43" x14ac:dyDescent="0.4">
      <c r="A93" t="s">
        <v>43</v>
      </c>
      <c r="B93">
        <v>3822000323</v>
      </c>
      <c r="C93">
        <v>3822000958</v>
      </c>
      <c r="D93" t="str">
        <f>T("[연재]네크로맨서 생존기 150화")</f>
        <v>[연재]네크로맨서 생존기 150화</v>
      </c>
      <c r="E93" t="str">
        <f>T("150")</f>
        <v>150</v>
      </c>
      <c r="F93" t="str">
        <f t="shared" si="21"/>
        <v>키마님</v>
      </c>
      <c r="I93" t="str">
        <f t="shared" si="26"/>
        <v>딥블렌드</v>
      </c>
      <c r="J93" t="str">
        <f t="shared" si="22"/>
        <v>[연재]네크로맨서 생존기</v>
      </c>
      <c r="K93">
        <v>100</v>
      </c>
      <c r="L93">
        <v>37100</v>
      </c>
      <c r="M93">
        <v>371</v>
      </c>
      <c r="N93">
        <v>0</v>
      </c>
      <c r="O93">
        <v>0</v>
      </c>
      <c r="P93">
        <v>0</v>
      </c>
      <c r="Q93">
        <v>4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-400</v>
      </c>
      <c r="Y93">
        <v>4</v>
      </c>
      <c r="Z93">
        <v>-400</v>
      </c>
      <c r="AA93">
        <v>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22020</v>
      </c>
      <c r="AL93" t="str">
        <f t="shared" si="20"/>
        <v>0000000000000</v>
      </c>
      <c r="AN93" t="str">
        <f t="shared" si="23"/>
        <v>9791190142359</v>
      </c>
      <c r="AP93" t="str">
        <f t="shared" si="24"/>
        <v>BL 웹소설 &gt; 현대물</v>
      </c>
      <c r="AQ93" t="str">
        <f t="shared" si="25"/>
        <v>BL 웹소설 &gt; 판타지물</v>
      </c>
    </row>
    <row r="94" spans="1:43" x14ac:dyDescent="0.4">
      <c r="A94" t="s">
        <v>43</v>
      </c>
      <c r="B94">
        <v>3822000323</v>
      </c>
      <c r="C94">
        <v>3822000944</v>
      </c>
      <c r="D94" t="str">
        <f>T("[연재]네크로맨서 생존기 147화")</f>
        <v>[연재]네크로맨서 생존기 147화</v>
      </c>
      <c r="E94" t="str">
        <f>T("147")</f>
        <v>147</v>
      </c>
      <c r="F94" t="str">
        <f t="shared" si="21"/>
        <v>키마님</v>
      </c>
      <c r="I94" t="str">
        <f t="shared" si="26"/>
        <v>딥블렌드</v>
      </c>
      <c r="J94" t="str">
        <f t="shared" si="22"/>
        <v>[연재]네크로맨서 생존기</v>
      </c>
      <c r="K94">
        <v>100</v>
      </c>
      <c r="L94">
        <v>37100</v>
      </c>
      <c r="M94">
        <v>371</v>
      </c>
      <c r="N94">
        <v>0</v>
      </c>
      <c r="O94">
        <v>0</v>
      </c>
      <c r="P94">
        <v>0</v>
      </c>
      <c r="Q94">
        <v>3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-400</v>
      </c>
      <c r="Y94">
        <v>4</v>
      </c>
      <c r="Z94">
        <v>-400</v>
      </c>
      <c r="AA94">
        <v>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22020</v>
      </c>
      <c r="AL94" t="str">
        <f t="shared" si="20"/>
        <v>0000000000000</v>
      </c>
      <c r="AN94" t="str">
        <f t="shared" si="23"/>
        <v>9791190142359</v>
      </c>
      <c r="AP94" t="str">
        <f t="shared" si="24"/>
        <v>BL 웹소설 &gt; 현대물</v>
      </c>
      <c r="AQ94" t="str">
        <f t="shared" si="25"/>
        <v>BL 웹소설 &gt; 판타지물</v>
      </c>
    </row>
    <row r="95" spans="1:43" x14ac:dyDescent="0.4">
      <c r="A95" t="s">
        <v>43</v>
      </c>
      <c r="B95">
        <v>3822000323</v>
      </c>
      <c r="C95">
        <v>3822000966</v>
      </c>
      <c r="D95" t="str">
        <f>T("[연재]네크로맨서 생존기 152화")</f>
        <v>[연재]네크로맨서 생존기 152화</v>
      </c>
      <c r="E95" t="str">
        <f>T("152")</f>
        <v>152</v>
      </c>
      <c r="F95" t="str">
        <f t="shared" si="21"/>
        <v>키마님</v>
      </c>
      <c r="I95" t="str">
        <f t="shared" si="26"/>
        <v>딥블렌드</v>
      </c>
      <c r="J95" t="str">
        <f t="shared" si="22"/>
        <v>[연재]네크로맨서 생존기</v>
      </c>
      <c r="K95">
        <v>100</v>
      </c>
      <c r="L95">
        <v>37100</v>
      </c>
      <c r="M95">
        <v>371</v>
      </c>
      <c r="N95">
        <v>0</v>
      </c>
      <c r="O95">
        <v>0</v>
      </c>
      <c r="P95">
        <v>0</v>
      </c>
      <c r="Q95">
        <v>2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-400</v>
      </c>
      <c r="Y95">
        <v>4</v>
      </c>
      <c r="Z95">
        <v>-400</v>
      </c>
      <c r="AA95">
        <v>4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22020</v>
      </c>
      <c r="AL95" t="str">
        <f t="shared" si="20"/>
        <v>0000000000000</v>
      </c>
      <c r="AN95" t="str">
        <f t="shared" si="23"/>
        <v>9791190142359</v>
      </c>
      <c r="AP95" t="str">
        <f t="shared" si="24"/>
        <v>BL 웹소설 &gt; 현대물</v>
      </c>
      <c r="AQ95" t="str">
        <f t="shared" si="25"/>
        <v>BL 웹소설 &gt; 판타지물</v>
      </c>
    </row>
    <row r="96" spans="1:43" x14ac:dyDescent="0.4">
      <c r="A96" t="s">
        <v>43</v>
      </c>
      <c r="B96">
        <v>3822001082</v>
      </c>
      <c r="C96">
        <v>3822001086</v>
      </c>
      <c r="D96" t="str">
        <f>T("어비스(Abyss) (외전)")</f>
        <v>어비스(Abyss) (외전)</v>
      </c>
      <c r="E96" t="str">
        <f>T("5")</f>
        <v>5</v>
      </c>
      <c r="F96" t="str">
        <f>T("퀸에이")</f>
        <v>퀸에이</v>
      </c>
      <c r="I96" t="str">
        <f t="shared" si="26"/>
        <v>딥블렌드</v>
      </c>
      <c r="J96" t="str">
        <f>T("어비스(Abyss)")</f>
        <v>어비스(Abyss)</v>
      </c>
      <c r="K96">
        <v>1000</v>
      </c>
      <c r="L96">
        <v>37000</v>
      </c>
      <c r="M96">
        <v>37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22200</v>
      </c>
      <c r="AN96" t="str">
        <f>T("9791190876025")</f>
        <v>9791190876025</v>
      </c>
      <c r="AP96" t="str">
        <f>T("BL 소설 e북 &gt; 현대물")</f>
        <v>BL 소설 e북 &gt; 현대물</v>
      </c>
      <c r="AQ96" t="str">
        <f>T("BL 소설 e북 &gt; 판타지물")</f>
        <v>BL 소설 e북 &gt; 판타지물</v>
      </c>
    </row>
    <row r="97" spans="1:43" x14ac:dyDescent="0.4">
      <c r="A97" t="s">
        <v>43</v>
      </c>
      <c r="B97">
        <v>3822000323</v>
      </c>
      <c r="C97">
        <v>3822000942</v>
      </c>
      <c r="D97" t="str">
        <f>T("[연재]네크로맨서 생존기 145화")</f>
        <v>[연재]네크로맨서 생존기 145화</v>
      </c>
      <c r="E97" t="str">
        <f>T("145")</f>
        <v>145</v>
      </c>
      <c r="F97" t="str">
        <f t="shared" ref="F97:F114" si="27">T("키마님")</f>
        <v>키마님</v>
      </c>
      <c r="I97" t="str">
        <f t="shared" si="26"/>
        <v>딥블렌드</v>
      </c>
      <c r="J97" t="str">
        <f t="shared" ref="J97:J114" si="28">T("[연재]네크로맨서 생존기")</f>
        <v>[연재]네크로맨서 생존기</v>
      </c>
      <c r="K97">
        <v>100</v>
      </c>
      <c r="L97">
        <v>37000</v>
      </c>
      <c r="M97">
        <v>370</v>
      </c>
      <c r="N97">
        <v>0</v>
      </c>
      <c r="O97">
        <v>0</v>
      </c>
      <c r="P97">
        <v>0</v>
      </c>
      <c r="Q97">
        <v>2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-400</v>
      </c>
      <c r="Y97">
        <v>4</v>
      </c>
      <c r="Z97">
        <v>-400</v>
      </c>
      <c r="AA97">
        <v>4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21960</v>
      </c>
      <c r="AL97" t="str">
        <f t="shared" ref="AL97:AL114" si="29">T("0000000000000")</f>
        <v>0000000000000</v>
      </c>
      <c r="AN97" t="str">
        <f t="shared" ref="AN97:AN114" si="30">T("9791190142359")</f>
        <v>9791190142359</v>
      </c>
      <c r="AP97" t="str">
        <f t="shared" ref="AP97:AP114" si="31">T("BL 웹소설 &gt; 현대물")</f>
        <v>BL 웹소설 &gt; 현대물</v>
      </c>
      <c r="AQ97" t="str">
        <f t="shared" ref="AQ97:AQ114" si="32">T("BL 웹소설 &gt; 판타지물")</f>
        <v>BL 웹소설 &gt; 판타지물</v>
      </c>
    </row>
    <row r="98" spans="1:43" x14ac:dyDescent="0.4">
      <c r="A98" t="s">
        <v>43</v>
      </c>
      <c r="B98">
        <v>3822000323</v>
      </c>
      <c r="C98">
        <v>3822000964</v>
      </c>
      <c r="D98" t="str">
        <f>T("[연재]네크로맨서 생존기 151화")</f>
        <v>[연재]네크로맨서 생존기 151화</v>
      </c>
      <c r="E98" t="str">
        <f>T("151")</f>
        <v>151</v>
      </c>
      <c r="F98" t="str">
        <f t="shared" si="27"/>
        <v>키마님</v>
      </c>
      <c r="I98" t="str">
        <f t="shared" si="26"/>
        <v>딥블렌드</v>
      </c>
      <c r="J98" t="str">
        <f t="shared" si="28"/>
        <v>[연재]네크로맨서 생존기</v>
      </c>
      <c r="K98">
        <v>100</v>
      </c>
      <c r="L98">
        <v>36800</v>
      </c>
      <c r="M98">
        <v>368</v>
      </c>
      <c r="N98">
        <v>0</v>
      </c>
      <c r="O98">
        <v>0</v>
      </c>
      <c r="P98">
        <v>0</v>
      </c>
      <c r="Q98">
        <v>2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-400</v>
      </c>
      <c r="Y98">
        <v>4</v>
      </c>
      <c r="Z98">
        <v>-400</v>
      </c>
      <c r="AA98">
        <v>4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21840</v>
      </c>
      <c r="AL98" t="str">
        <f t="shared" si="29"/>
        <v>0000000000000</v>
      </c>
      <c r="AN98" t="str">
        <f t="shared" si="30"/>
        <v>9791190142359</v>
      </c>
      <c r="AP98" t="str">
        <f t="shared" si="31"/>
        <v>BL 웹소설 &gt; 현대물</v>
      </c>
      <c r="AQ98" t="str">
        <f t="shared" si="32"/>
        <v>BL 웹소설 &gt; 판타지물</v>
      </c>
    </row>
    <row r="99" spans="1:43" x14ac:dyDescent="0.4">
      <c r="A99" t="s">
        <v>43</v>
      </c>
      <c r="B99">
        <v>3822000323</v>
      </c>
      <c r="C99">
        <v>3822000951</v>
      </c>
      <c r="D99" t="str">
        <f>T("[연재]네크로맨서 생존기 148화")</f>
        <v>[연재]네크로맨서 생존기 148화</v>
      </c>
      <c r="E99" t="str">
        <f>T("148")</f>
        <v>148</v>
      </c>
      <c r="F99" t="str">
        <f t="shared" si="27"/>
        <v>키마님</v>
      </c>
      <c r="I99" t="str">
        <f t="shared" si="26"/>
        <v>딥블렌드</v>
      </c>
      <c r="J99" t="str">
        <f t="shared" si="28"/>
        <v>[연재]네크로맨서 생존기</v>
      </c>
      <c r="K99">
        <v>100</v>
      </c>
      <c r="L99">
        <v>36600</v>
      </c>
      <c r="M99">
        <v>366</v>
      </c>
      <c r="N99">
        <v>0</v>
      </c>
      <c r="O99">
        <v>0</v>
      </c>
      <c r="P99">
        <v>0</v>
      </c>
      <c r="Q99">
        <v>5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-400</v>
      </c>
      <c r="Y99">
        <v>4</v>
      </c>
      <c r="Z99">
        <v>-400</v>
      </c>
      <c r="AA99">
        <v>4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21720</v>
      </c>
      <c r="AL99" t="str">
        <f t="shared" si="29"/>
        <v>0000000000000</v>
      </c>
      <c r="AN99" t="str">
        <f t="shared" si="30"/>
        <v>9791190142359</v>
      </c>
      <c r="AP99" t="str">
        <f t="shared" si="31"/>
        <v>BL 웹소설 &gt; 현대물</v>
      </c>
      <c r="AQ99" t="str">
        <f t="shared" si="32"/>
        <v>BL 웹소설 &gt; 판타지물</v>
      </c>
    </row>
    <row r="100" spans="1:43" x14ac:dyDescent="0.4">
      <c r="A100" t="s">
        <v>43</v>
      </c>
      <c r="B100">
        <v>3822000323</v>
      </c>
      <c r="C100">
        <v>3822000943</v>
      </c>
      <c r="D100" t="str">
        <f>T("[연재]네크로맨서 생존기 146화")</f>
        <v>[연재]네크로맨서 생존기 146화</v>
      </c>
      <c r="E100" t="str">
        <f>T("146")</f>
        <v>146</v>
      </c>
      <c r="F100" t="str">
        <f t="shared" si="27"/>
        <v>키마님</v>
      </c>
      <c r="I100" t="str">
        <f t="shared" si="26"/>
        <v>딥블렌드</v>
      </c>
      <c r="J100" t="str">
        <f t="shared" si="28"/>
        <v>[연재]네크로맨서 생존기</v>
      </c>
      <c r="K100">
        <v>100</v>
      </c>
      <c r="L100">
        <v>36400</v>
      </c>
      <c r="M100">
        <v>364</v>
      </c>
      <c r="N100">
        <v>0</v>
      </c>
      <c r="O100">
        <v>0</v>
      </c>
      <c r="P100">
        <v>0</v>
      </c>
      <c r="Q100">
        <v>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-400</v>
      </c>
      <c r="Y100">
        <v>4</v>
      </c>
      <c r="Z100">
        <v>-400</v>
      </c>
      <c r="AA100">
        <v>4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21600</v>
      </c>
      <c r="AL100" t="str">
        <f t="shared" si="29"/>
        <v>0000000000000</v>
      </c>
      <c r="AN100" t="str">
        <f t="shared" si="30"/>
        <v>9791190142359</v>
      </c>
      <c r="AP100" t="str">
        <f t="shared" si="31"/>
        <v>BL 웹소설 &gt; 현대물</v>
      </c>
      <c r="AQ100" t="str">
        <f t="shared" si="32"/>
        <v>BL 웹소설 &gt; 판타지물</v>
      </c>
    </row>
    <row r="101" spans="1:43" x14ac:dyDescent="0.4">
      <c r="A101" t="s">
        <v>43</v>
      </c>
      <c r="B101">
        <v>3822000323</v>
      </c>
      <c r="C101">
        <v>3822001276</v>
      </c>
      <c r="D101" t="str">
        <f>T("[연재]네크로맨서 생존기 216화")</f>
        <v>[연재]네크로맨서 생존기 216화</v>
      </c>
      <c r="E101" t="str">
        <f>T("216")</f>
        <v>216</v>
      </c>
      <c r="F101" t="str">
        <f t="shared" si="27"/>
        <v>키마님</v>
      </c>
      <c r="I101" t="str">
        <f t="shared" si="26"/>
        <v>딥블렌드</v>
      </c>
      <c r="J101" t="str">
        <f t="shared" si="28"/>
        <v>[연재]네크로맨서 생존기</v>
      </c>
      <c r="K101">
        <v>100</v>
      </c>
      <c r="L101">
        <v>36200</v>
      </c>
      <c r="M101">
        <v>362</v>
      </c>
      <c r="N101">
        <v>0</v>
      </c>
      <c r="O101">
        <v>0</v>
      </c>
      <c r="P101">
        <v>0</v>
      </c>
      <c r="Q101">
        <v>4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21720</v>
      </c>
      <c r="AL101" t="str">
        <f t="shared" si="29"/>
        <v>0000000000000</v>
      </c>
      <c r="AN101" t="str">
        <f t="shared" si="30"/>
        <v>9791190142359</v>
      </c>
      <c r="AP101" t="str">
        <f t="shared" si="31"/>
        <v>BL 웹소설 &gt; 현대물</v>
      </c>
      <c r="AQ101" t="str">
        <f t="shared" si="32"/>
        <v>BL 웹소설 &gt; 판타지물</v>
      </c>
    </row>
    <row r="102" spans="1:43" x14ac:dyDescent="0.4">
      <c r="A102" t="s">
        <v>43</v>
      </c>
      <c r="B102">
        <v>3822000323</v>
      </c>
      <c r="C102">
        <v>3822000374</v>
      </c>
      <c r="D102" t="str">
        <f>T("[연재]네크로맨서 생존기 43화")</f>
        <v>[연재]네크로맨서 생존기 43화</v>
      </c>
      <c r="E102" t="str">
        <f>T("43")</f>
        <v>43</v>
      </c>
      <c r="F102" t="str">
        <f t="shared" si="27"/>
        <v>키마님</v>
      </c>
      <c r="I102" t="str">
        <f t="shared" si="26"/>
        <v>딥블렌드</v>
      </c>
      <c r="J102" t="str">
        <f t="shared" si="28"/>
        <v>[연재]네크로맨서 생존기</v>
      </c>
      <c r="K102">
        <v>100</v>
      </c>
      <c r="L102">
        <v>36100</v>
      </c>
      <c r="M102">
        <v>361</v>
      </c>
      <c r="N102">
        <v>0</v>
      </c>
      <c r="O102">
        <v>0</v>
      </c>
      <c r="P102">
        <v>0</v>
      </c>
      <c r="Q102">
        <v>8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-300</v>
      </c>
      <c r="Y102">
        <v>3</v>
      </c>
      <c r="Z102">
        <v>-300</v>
      </c>
      <c r="AA102">
        <v>3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21480</v>
      </c>
      <c r="AL102" t="str">
        <f t="shared" si="29"/>
        <v>0000000000000</v>
      </c>
      <c r="AN102" t="str">
        <f t="shared" si="30"/>
        <v>9791190142359</v>
      </c>
      <c r="AP102" t="str">
        <f t="shared" si="31"/>
        <v>BL 웹소설 &gt; 현대물</v>
      </c>
      <c r="AQ102" t="str">
        <f t="shared" si="32"/>
        <v>BL 웹소설 &gt; 판타지물</v>
      </c>
    </row>
    <row r="103" spans="1:43" x14ac:dyDescent="0.4">
      <c r="A103" t="s">
        <v>43</v>
      </c>
      <c r="B103">
        <v>3822000323</v>
      </c>
      <c r="C103">
        <v>3822000913</v>
      </c>
      <c r="D103" t="str">
        <f>T("[연재]네크로맨서 생존기 138화")</f>
        <v>[연재]네크로맨서 생존기 138화</v>
      </c>
      <c r="E103" t="str">
        <f>T("138")</f>
        <v>138</v>
      </c>
      <c r="F103" t="str">
        <f t="shared" si="27"/>
        <v>키마님</v>
      </c>
      <c r="I103" t="str">
        <f t="shared" si="26"/>
        <v>딥블렌드</v>
      </c>
      <c r="J103" t="str">
        <f t="shared" si="28"/>
        <v>[연재]네크로맨서 생존기</v>
      </c>
      <c r="K103">
        <v>100</v>
      </c>
      <c r="L103">
        <v>36000</v>
      </c>
      <c r="M103">
        <v>360</v>
      </c>
      <c r="N103">
        <v>0</v>
      </c>
      <c r="O103">
        <v>0</v>
      </c>
      <c r="P103">
        <v>0</v>
      </c>
      <c r="Q103">
        <v>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-200</v>
      </c>
      <c r="Y103">
        <v>2</v>
      </c>
      <c r="Z103">
        <v>-200</v>
      </c>
      <c r="AA103">
        <v>2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21480</v>
      </c>
      <c r="AL103" t="str">
        <f t="shared" si="29"/>
        <v>0000000000000</v>
      </c>
      <c r="AN103" t="str">
        <f t="shared" si="30"/>
        <v>9791190142359</v>
      </c>
      <c r="AP103" t="str">
        <f t="shared" si="31"/>
        <v>BL 웹소설 &gt; 현대물</v>
      </c>
      <c r="AQ103" t="str">
        <f t="shared" si="32"/>
        <v>BL 웹소설 &gt; 판타지물</v>
      </c>
    </row>
    <row r="104" spans="1:43" x14ac:dyDescent="0.4">
      <c r="A104" t="s">
        <v>43</v>
      </c>
      <c r="B104">
        <v>3822000323</v>
      </c>
      <c r="C104">
        <v>3822000372</v>
      </c>
      <c r="D104" t="str">
        <f>T("[연재]네크로맨서 생존기 42화")</f>
        <v>[연재]네크로맨서 생존기 42화</v>
      </c>
      <c r="E104" t="str">
        <f>T("42")</f>
        <v>42</v>
      </c>
      <c r="F104" t="str">
        <f t="shared" si="27"/>
        <v>키마님</v>
      </c>
      <c r="I104" t="str">
        <f t="shared" si="26"/>
        <v>딥블렌드</v>
      </c>
      <c r="J104" t="str">
        <f t="shared" si="28"/>
        <v>[연재]네크로맨서 생존기</v>
      </c>
      <c r="K104">
        <v>100</v>
      </c>
      <c r="L104">
        <v>35900</v>
      </c>
      <c r="M104">
        <v>359</v>
      </c>
      <c r="N104">
        <v>0</v>
      </c>
      <c r="O104">
        <v>0</v>
      </c>
      <c r="P104">
        <v>0</v>
      </c>
      <c r="Q104">
        <v>8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-300</v>
      </c>
      <c r="Y104">
        <v>3</v>
      </c>
      <c r="Z104">
        <v>-300</v>
      </c>
      <c r="AA104">
        <v>3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21360</v>
      </c>
      <c r="AL104" t="str">
        <f t="shared" si="29"/>
        <v>0000000000000</v>
      </c>
      <c r="AN104" t="str">
        <f t="shared" si="30"/>
        <v>9791190142359</v>
      </c>
      <c r="AP104" t="str">
        <f t="shared" si="31"/>
        <v>BL 웹소설 &gt; 현대물</v>
      </c>
      <c r="AQ104" t="str">
        <f t="shared" si="32"/>
        <v>BL 웹소설 &gt; 판타지물</v>
      </c>
    </row>
    <row r="105" spans="1:43" x14ac:dyDescent="0.4">
      <c r="A105" t="s">
        <v>43</v>
      </c>
      <c r="B105">
        <v>3822000323</v>
      </c>
      <c r="C105">
        <v>3822000940</v>
      </c>
      <c r="D105" t="str">
        <f>T("[연재]네크로맨서 생존기 143화")</f>
        <v>[연재]네크로맨서 생존기 143화</v>
      </c>
      <c r="E105" t="str">
        <f>T("143")</f>
        <v>143</v>
      </c>
      <c r="F105" t="str">
        <f t="shared" si="27"/>
        <v>키마님</v>
      </c>
      <c r="I105" t="str">
        <f t="shared" si="26"/>
        <v>딥블렌드</v>
      </c>
      <c r="J105" t="str">
        <f t="shared" si="28"/>
        <v>[연재]네크로맨서 생존기</v>
      </c>
      <c r="K105">
        <v>100</v>
      </c>
      <c r="L105">
        <v>35900</v>
      </c>
      <c r="M105">
        <v>359</v>
      </c>
      <c r="N105">
        <v>0</v>
      </c>
      <c r="O105">
        <v>0</v>
      </c>
      <c r="P105">
        <v>0</v>
      </c>
      <c r="Q105">
        <v>4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-200</v>
      </c>
      <c r="Y105">
        <v>2</v>
      </c>
      <c r="Z105">
        <v>-200</v>
      </c>
      <c r="AA105">
        <v>2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21420</v>
      </c>
      <c r="AL105" t="str">
        <f t="shared" si="29"/>
        <v>0000000000000</v>
      </c>
      <c r="AN105" t="str">
        <f t="shared" si="30"/>
        <v>9791190142359</v>
      </c>
      <c r="AP105" t="str">
        <f t="shared" si="31"/>
        <v>BL 웹소설 &gt; 현대물</v>
      </c>
      <c r="AQ105" t="str">
        <f t="shared" si="32"/>
        <v>BL 웹소설 &gt; 판타지물</v>
      </c>
    </row>
    <row r="106" spans="1:43" x14ac:dyDescent="0.4">
      <c r="A106" t="s">
        <v>43</v>
      </c>
      <c r="B106">
        <v>3822000323</v>
      </c>
      <c r="C106">
        <v>3822000941</v>
      </c>
      <c r="D106" t="str">
        <f>T("[연재]네크로맨서 생존기 144화")</f>
        <v>[연재]네크로맨서 생존기 144화</v>
      </c>
      <c r="E106" t="str">
        <f>T("144")</f>
        <v>144</v>
      </c>
      <c r="F106" t="str">
        <f t="shared" si="27"/>
        <v>키마님</v>
      </c>
      <c r="I106" t="str">
        <f t="shared" si="26"/>
        <v>딥블렌드</v>
      </c>
      <c r="J106" t="str">
        <f t="shared" si="28"/>
        <v>[연재]네크로맨서 생존기</v>
      </c>
      <c r="K106">
        <v>100</v>
      </c>
      <c r="L106">
        <v>35900</v>
      </c>
      <c r="M106">
        <v>359</v>
      </c>
      <c r="N106">
        <v>0</v>
      </c>
      <c r="O106">
        <v>0</v>
      </c>
      <c r="P106">
        <v>0</v>
      </c>
      <c r="Q106">
        <v>2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-100</v>
      </c>
      <c r="Y106">
        <v>1</v>
      </c>
      <c r="Z106">
        <v>-100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21480</v>
      </c>
      <c r="AL106" t="str">
        <f t="shared" si="29"/>
        <v>0000000000000</v>
      </c>
      <c r="AN106" t="str">
        <f t="shared" si="30"/>
        <v>9791190142359</v>
      </c>
      <c r="AP106" t="str">
        <f t="shared" si="31"/>
        <v>BL 웹소설 &gt; 현대물</v>
      </c>
      <c r="AQ106" t="str">
        <f t="shared" si="32"/>
        <v>BL 웹소설 &gt; 판타지물</v>
      </c>
    </row>
    <row r="107" spans="1:43" x14ac:dyDescent="0.4">
      <c r="A107" t="s">
        <v>43</v>
      </c>
      <c r="B107">
        <v>3822000323</v>
      </c>
      <c r="C107">
        <v>3822000904</v>
      </c>
      <c r="D107" t="str">
        <f>T("[연재]네크로맨서 생존기 131화")</f>
        <v>[연재]네크로맨서 생존기 131화</v>
      </c>
      <c r="E107" t="str">
        <f>T("131")</f>
        <v>131</v>
      </c>
      <c r="F107" t="str">
        <f t="shared" si="27"/>
        <v>키마님</v>
      </c>
      <c r="I107" t="str">
        <f t="shared" si="26"/>
        <v>딥블렌드</v>
      </c>
      <c r="J107" t="str">
        <f t="shared" si="28"/>
        <v>[연재]네크로맨서 생존기</v>
      </c>
      <c r="K107">
        <v>100</v>
      </c>
      <c r="L107">
        <v>35700</v>
      </c>
      <c r="M107">
        <v>357</v>
      </c>
      <c r="N107">
        <v>0</v>
      </c>
      <c r="O107">
        <v>0</v>
      </c>
      <c r="P107">
        <v>0</v>
      </c>
      <c r="Q107">
        <v>4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-100</v>
      </c>
      <c r="Y107">
        <v>1</v>
      </c>
      <c r="Z107">
        <v>-100</v>
      </c>
      <c r="AA107">
        <v>1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21360</v>
      </c>
      <c r="AL107" t="str">
        <f t="shared" si="29"/>
        <v>0000000000000</v>
      </c>
      <c r="AN107" t="str">
        <f t="shared" si="30"/>
        <v>9791190142359</v>
      </c>
      <c r="AP107" t="str">
        <f t="shared" si="31"/>
        <v>BL 웹소설 &gt; 현대물</v>
      </c>
      <c r="AQ107" t="str">
        <f t="shared" si="32"/>
        <v>BL 웹소설 &gt; 판타지물</v>
      </c>
    </row>
    <row r="108" spans="1:43" x14ac:dyDescent="0.4">
      <c r="A108" t="s">
        <v>43</v>
      </c>
      <c r="B108">
        <v>3822000323</v>
      </c>
      <c r="C108">
        <v>3822000936</v>
      </c>
      <c r="D108" t="str">
        <f>T("[연재]네크로맨서 생존기 141화")</f>
        <v>[연재]네크로맨서 생존기 141화</v>
      </c>
      <c r="E108" t="str">
        <f>T("141")</f>
        <v>141</v>
      </c>
      <c r="F108" t="str">
        <f t="shared" si="27"/>
        <v>키마님</v>
      </c>
      <c r="I108" t="str">
        <f t="shared" si="26"/>
        <v>딥블렌드</v>
      </c>
      <c r="J108" t="str">
        <f t="shared" si="28"/>
        <v>[연재]네크로맨서 생존기</v>
      </c>
      <c r="K108">
        <v>100</v>
      </c>
      <c r="L108">
        <v>35700</v>
      </c>
      <c r="M108">
        <v>357</v>
      </c>
      <c r="N108">
        <v>0</v>
      </c>
      <c r="O108">
        <v>0</v>
      </c>
      <c r="P108">
        <v>0</v>
      </c>
      <c r="Q108">
        <v>3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-200</v>
      </c>
      <c r="Y108">
        <v>2</v>
      </c>
      <c r="Z108">
        <v>-200</v>
      </c>
      <c r="AA108">
        <v>2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21300</v>
      </c>
      <c r="AL108" t="str">
        <f t="shared" si="29"/>
        <v>0000000000000</v>
      </c>
      <c r="AN108" t="str">
        <f t="shared" si="30"/>
        <v>9791190142359</v>
      </c>
      <c r="AP108" t="str">
        <f t="shared" si="31"/>
        <v>BL 웹소설 &gt; 현대물</v>
      </c>
      <c r="AQ108" t="str">
        <f t="shared" si="32"/>
        <v>BL 웹소설 &gt; 판타지물</v>
      </c>
    </row>
    <row r="109" spans="1:43" x14ac:dyDescent="0.4">
      <c r="A109" t="s">
        <v>43</v>
      </c>
      <c r="B109">
        <v>3822000323</v>
      </c>
      <c r="C109">
        <v>3822000922</v>
      </c>
      <c r="D109" t="str">
        <f>T("[연재]네크로맨서 생존기 140화")</f>
        <v>[연재]네크로맨서 생존기 140화</v>
      </c>
      <c r="E109" t="str">
        <f>T("140")</f>
        <v>140</v>
      </c>
      <c r="F109" t="str">
        <f t="shared" si="27"/>
        <v>키마님</v>
      </c>
      <c r="I109" t="str">
        <f t="shared" si="26"/>
        <v>딥블렌드</v>
      </c>
      <c r="J109" t="str">
        <f t="shared" si="28"/>
        <v>[연재]네크로맨서 생존기</v>
      </c>
      <c r="K109">
        <v>100</v>
      </c>
      <c r="L109">
        <v>35700</v>
      </c>
      <c r="M109">
        <v>357</v>
      </c>
      <c r="N109">
        <v>0</v>
      </c>
      <c r="O109">
        <v>0</v>
      </c>
      <c r="P109">
        <v>0</v>
      </c>
      <c r="Q109">
        <v>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-200</v>
      </c>
      <c r="Y109">
        <v>2</v>
      </c>
      <c r="Z109">
        <v>-200</v>
      </c>
      <c r="AA109">
        <v>2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21300</v>
      </c>
      <c r="AL109" t="str">
        <f t="shared" si="29"/>
        <v>0000000000000</v>
      </c>
      <c r="AN109" t="str">
        <f t="shared" si="30"/>
        <v>9791190142359</v>
      </c>
      <c r="AP109" t="str">
        <f t="shared" si="31"/>
        <v>BL 웹소설 &gt; 현대물</v>
      </c>
      <c r="AQ109" t="str">
        <f t="shared" si="32"/>
        <v>BL 웹소설 &gt; 판타지물</v>
      </c>
    </row>
    <row r="110" spans="1:43" x14ac:dyDescent="0.4">
      <c r="A110" t="s">
        <v>43</v>
      </c>
      <c r="B110">
        <v>3822000323</v>
      </c>
      <c r="C110">
        <v>3822000938</v>
      </c>
      <c r="D110" t="str">
        <f>T("[연재]네크로맨서 생존기 142화")</f>
        <v>[연재]네크로맨서 생존기 142화</v>
      </c>
      <c r="E110" t="str">
        <f>T("142")</f>
        <v>142</v>
      </c>
      <c r="F110" t="str">
        <f t="shared" si="27"/>
        <v>키마님</v>
      </c>
      <c r="I110" t="str">
        <f t="shared" si="26"/>
        <v>딥블렌드</v>
      </c>
      <c r="J110" t="str">
        <f t="shared" si="28"/>
        <v>[연재]네크로맨서 생존기</v>
      </c>
      <c r="K110">
        <v>100</v>
      </c>
      <c r="L110">
        <v>35600</v>
      </c>
      <c r="M110">
        <v>356</v>
      </c>
      <c r="N110">
        <v>0</v>
      </c>
      <c r="O110">
        <v>0</v>
      </c>
      <c r="P110">
        <v>0</v>
      </c>
      <c r="Q110">
        <v>3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-200</v>
      </c>
      <c r="Y110">
        <v>2</v>
      </c>
      <c r="Z110">
        <v>-200</v>
      </c>
      <c r="AA110">
        <v>2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21240</v>
      </c>
      <c r="AL110" t="str">
        <f t="shared" si="29"/>
        <v>0000000000000</v>
      </c>
      <c r="AN110" t="str">
        <f t="shared" si="30"/>
        <v>9791190142359</v>
      </c>
      <c r="AP110" t="str">
        <f t="shared" si="31"/>
        <v>BL 웹소설 &gt; 현대물</v>
      </c>
      <c r="AQ110" t="str">
        <f t="shared" si="32"/>
        <v>BL 웹소설 &gt; 판타지물</v>
      </c>
    </row>
    <row r="111" spans="1:43" x14ac:dyDescent="0.4">
      <c r="A111" t="s">
        <v>43</v>
      </c>
      <c r="B111">
        <v>3822000323</v>
      </c>
      <c r="C111">
        <v>3822000920</v>
      </c>
      <c r="D111" t="str">
        <f>T("[연재]네크로맨서 생존기 139화")</f>
        <v>[연재]네크로맨서 생존기 139화</v>
      </c>
      <c r="E111" t="str">
        <f>T("139")</f>
        <v>139</v>
      </c>
      <c r="F111" t="str">
        <f t="shared" si="27"/>
        <v>키마님</v>
      </c>
      <c r="I111" t="str">
        <f t="shared" si="26"/>
        <v>딥블렌드</v>
      </c>
      <c r="J111" t="str">
        <f t="shared" si="28"/>
        <v>[연재]네크로맨서 생존기</v>
      </c>
      <c r="K111">
        <v>100</v>
      </c>
      <c r="L111">
        <v>35500</v>
      </c>
      <c r="M111">
        <v>355</v>
      </c>
      <c r="N111">
        <v>0</v>
      </c>
      <c r="O111">
        <v>0</v>
      </c>
      <c r="P111">
        <v>0</v>
      </c>
      <c r="Q111">
        <v>2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-100</v>
      </c>
      <c r="Y111">
        <v>1</v>
      </c>
      <c r="Z111">
        <v>-100</v>
      </c>
      <c r="AA111">
        <v>1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21240</v>
      </c>
      <c r="AL111" t="str">
        <f t="shared" si="29"/>
        <v>0000000000000</v>
      </c>
      <c r="AN111" t="str">
        <f t="shared" si="30"/>
        <v>9791190142359</v>
      </c>
      <c r="AP111" t="str">
        <f t="shared" si="31"/>
        <v>BL 웹소설 &gt; 현대물</v>
      </c>
      <c r="AQ111" t="str">
        <f t="shared" si="32"/>
        <v>BL 웹소설 &gt; 판타지물</v>
      </c>
    </row>
    <row r="112" spans="1:43" x14ac:dyDescent="0.4">
      <c r="A112" t="s">
        <v>43</v>
      </c>
      <c r="B112">
        <v>3822000323</v>
      </c>
      <c r="C112">
        <v>3822000907</v>
      </c>
      <c r="D112" t="str">
        <f>T("[연재]네크로맨서 생존기 132화")</f>
        <v>[연재]네크로맨서 생존기 132화</v>
      </c>
      <c r="E112" t="str">
        <f>T("132")</f>
        <v>132</v>
      </c>
      <c r="F112" t="str">
        <f t="shared" si="27"/>
        <v>키마님</v>
      </c>
      <c r="I112" t="str">
        <f t="shared" ref="I112:I143" si="33">T("딥블렌드")</f>
        <v>딥블렌드</v>
      </c>
      <c r="J112" t="str">
        <f t="shared" si="28"/>
        <v>[연재]네크로맨서 생존기</v>
      </c>
      <c r="K112">
        <v>100</v>
      </c>
      <c r="L112">
        <v>35500</v>
      </c>
      <c r="M112">
        <v>355</v>
      </c>
      <c r="N112">
        <v>0</v>
      </c>
      <c r="O112">
        <v>0</v>
      </c>
      <c r="P112">
        <v>0</v>
      </c>
      <c r="Q112">
        <v>7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-100</v>
      </c>
      <c r="Y112">
        <v>1</v>
      </c>
      <c r="Z112">
        <v>-100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21240</v>
      </c>
      <c r="AL112" t="str">
        <f t="shared" si="29"/>
        <v>0000000000000</v>
      </c>
      <c r="AN112" t="str">
        <f t="shared" si="30"/>
        <v>9791190142359</v>
      </c>
      <c r="AP112" t="str">
        <f t="shared" si="31"/>
        <v>BL 웹소설 &gt; 현대물</v>
      </c>
      <c r="AQ112" t="str">
        <f t="shared" si="32"/>
        <v>BL 웹소설 &gt; 판타지물</v>
      </c>
    </row>
    <row r="113" spans="1:43" x14ac:dyDescent="0.4">
      <c r="A113" t="s">
        <v>43</v>
      </c>
      <c r="B113">
        <v>3822000323</v>
      </c>
      <c r="C113">
        <v>3822000377</v>
      </c>
      <c r="D113" t="str">
        <f>T("[연재]네크로맨서 생존기 44화")</f>
        <v>[연재]네크로맨서 생존기 44화</v>
      </c>
      <c r="E113" t="str">
        <f>T("44")</f>
        <v>44</v>
      </c>
      <c r="F113" t="str">
        <f t="shared" si="27"/>
        <v>키마님</v>
      </c>
      <c r="I113" t="str">
        <f t="shared" si="33"/>
        <v>딥블렌드</v>
      </c>
      <c r="J113" t="str">
        <f t="shared" si="28"/>
        <v>[연재]네크로맨서 생존기</v>
      </c>
      <c r="K113">
        <v>100</v>
      </c>
      <c r="L113">
        <v>35500</v>
      </c>
      <c r="M113">
        <v>355</v>
      </c>
      <c r="N113">
        <v>0</v>
      </c>
      <c r="O113">
        <v>0</v>
      </c>
      <c r="P113">
        <v>0</v>
      </c>
      <c r="Q113">
        <v>11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-300</v>
      </c>
      <c r="Y113">
        <v>3</v>
      </c>
      <c r="Z113">
        <v>-300</v>
      </c>
      <c r="AA113">
        <v>3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21120</v>
      </c>
      <c r="AL113" t="str">
        <f t="shared" si="29"/>
        <v>0000000000000</v>
      </c>
      <c r="AN113" t="str">
        <f t="shared" si="30"/>
        <v>9791190142359</v>
      </c>
      <c r="AP113" t="str">
        <f t="shared" si="31"/>
        <v>BL 웹소설 &gt; 현대물</v>
      </c>
      <c r="AQ113" t="str">
        <f t="shared" si="32"/>
        <v>BL 웹소설 &gt; 판타지물</v>
      </c>
    </row>
    <row r="114" spans="1:43" x14ac:dyDescent="0.4">
      <c r="A114" t="s">
        <v>43</v>
      </c>
      <c r="B114">
        <v>3822000323</v>
      </c>
      <c r="C114">
        <v>3822000903</v>
      </c>
      <c r="D114" t="str">
        <f>T("[연재]네크로맨서 생존기 130화")</f>
        <v>[연재]네크로맨서 생존기 130화</v>
      </c>
      <c r="E114" t="str">
        <f>T("130")</f>
        <v>130</v>
      </c>
      <c r="F114" t="str">
        <f t="shared" si="27"/>
        <v>키마님</v>
      </c>
      <c r="I114" t="str">
        <f t="shared" si="33"/>
        <v>딥블렌드</v>
      </c>
      <c r="J114" t="str">
        <f t="shared" si="28"/>
        <v>[연재]네크로맨서 생존기</v>
      </c>
      <c r="K114">
        <v>100</v>
      </c>
      <c r="L114">
        <v>35300</v>
      </c>
      <c r="M114">
        <v>353</v>
      </c>
      <c r="N114">
        <v>0</v>
      </c>
      <c r="O114">
        <v>0</v>
      </c>
      <c r="P114">
        <v>0</v>
      </c>
      <c r="Q114">
        <v>5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-100</v>
      </c>
      <c r="Y114">
        <v>1</v>
      </c>
      <c r="Z114">
        <v>-100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21120</v>
      </c>
      <c r="AL114" t="str">
        <f t="shared" si="29"/>
        <v>0000000000000</v>
      </c>
      <c r="AN114" t="str">
        <f t="shared" si="30"/>
        <v>9791190142359</v>
      </c>
      <c r="AP114" t="str">
        <f t="shared" si="31"/>
        <v>BL 웹소설 &gt; 현대물</v>
      </c>
      <c r="AQ114" t="str">
        <f t="shared" si="32"/>
        <v>BL 웹소설 &gt; 판타지물</v>
      </c>
    </row>
    <row r="115" spans="1:43" x14ac:dyDescent="0.4">
      <c r="A115" t="s">
        <v>43</v>
      </c>
      <c r="C115">
        <v>3822001195</v>
      </c>
      <c r="D115" t="str">
        <f>T("내일을 향하여(For tomorrow)")</f>
        <v>내일을 향하여(For tomorrow)</v>
      </c>
      <c r="F115" t="str">
        <f>T("예리에나")</f>
        <v>예리에나</v>
      </c>
      <c r="I115" t="str">
        <f t="shared" si="33"/>
        <v>딥블렌드</v>
      </c>
      <c r="K115">
        <v>2300</v>
      </c>
      <c r="L115">
        <v>35190</v>
      </c>
      <c r="M115">
        <v>16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-4370</v>
      </c>
      <c r="Y115">
        <v>2</v>
      </c>
      <c r="Z115">
        <v>-4370</v>
      </c>
      <c r="AA115">
        <v>2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21574</v>
      </c>
      <c r="AN115" t="str">
        <f>T("9791190876261")</f>
        <v>9791190876261</v>
      </c>
      <c r="AP115" t="str">
        <f>T("BL 소설 e북 &gt; 현대물")</f>
        <v>BL 소설 e북 &gt; 현대물</v>
      </c>
    </row>
    <row r="116" spans="1:43" x14ac:dyDescent="0.4">
      <c r="A116" t="s">
        <v>43</v>
      </c>
      <c r="B116">
        <v>3822000323</v>
      </c>
      <c r="C116">
        <v>3822000353</v>
      </c>
      <c r="D116" t="str">
        <f>T("[연재]네크로맨서 생존기 29화")</f>
        <v>[연재]네크로맨서 생존기 29화</v>
      </c>
      <c r="E116" t="str">
        <f>T("29")</f>
        <v>29</v>
      </c>
      <c r="F116" t="str">
        <f t="shared" ref="F116:F152" si="34">T("키마님")</f>
        <v>키마님</v>
      </c>
      <c r="I116" t="str">
        <f t="shared" si="33"/>
        <v>딥블렌드</v>
      </c>
      <c r="J116" t="str">
        <f t="shared" ref="J116:J152" si="35">T("[연재]네크로맨서 생존기")</f>
        <v>[연재]네크로맨서 생존기</v>
      </c>
      <c r="K116">
        <v>100</v>
      </c>
      <c r="L116">
        <v>35100</v>
      </c>
      <c r="M116">
        <v>351</v>
      </c>
      <c r="N116">
        <v>0</v>
      </c>
      <c r="O116">
        <v>0</v>
      </c>
      <c r="P116">
        <v>0</v>
      </c>
      <c r="Q116">
        <v>10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-200</v>
      </c>
      <c r="Y116">
        <v>2</v>
      </c>
      <c r="Z116">
        <v>-200</v>
      </c>
      <c r="AA116">
        <v>2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20940</v>
      </c>
      <c r="AL116" t="str">
        <f t="shared" ref="AL116:AL152" si="36">T("0000000000000")</f>
        <v>0000000000000</v>
      </c>
      <c r="AN116" t="str">
        <f t="shared" ref="AN116:AN152" si="37">T("9791190142359")</f>
        <v>9791190142359</v>
      </c>
      <c r="AP116" t="str">
        <f t="shared" ref="AP116:AP152" si="38">T("BL 웹소설 &gt; 현대물")</f>
        <v>BL 웹소설 &gt; 현대물</v>
      </c>
      <c r="AQ116" t="str">
        <f t="shared" ref="AQ116:AQ152" si="39">T("BL 웹소설 &gt; 판타지물")</f>
        <v>BL 웹소설 &gt; 판타지물</v>
      </c>
    </row>
    <row r="117" spans="1:43" x14ac:dyDescent="0.4">
      <c r="A117" t="s">
        <v>43</v>
      </c>
      <c r="B117">
        <v>3822000323</v>
      </c>
      <c r="C117">
        <v>3822000371</v>
      </c>
      <c r="D117" t="str">
        <f>T("[연재]네크로맨서 생존기 41화")</f>
        <v>[연재]네크로맨서 생존기 41화</v>
      </c>
      <c r="E117" t="str">
        <f>T("41")</f>
        <v>41</v>
      </c>
      <c r="F117" t="str">
        <f t="shared" si="34"/>
        <v>키마님</v>
      </c>
      <c r="I117" t="str">
        <f t="shared" si="33"/>
        <v>딥블렌드</v>
      </c>
      <c r="J117" t="str">
        <f t="shared" si="35"/>
        <v>[연재]네크로맨서 생존기</v>
      </c>
      <c r="K117">
        <v>100</v>
      </c>
      <c r="L117">
        <v>35100</v>
      </c>
      <c r="M117">
        <v>351</v>
      </c>
      <c r="N117">
        <v>0</v>
      </c>
      <c r="O117">
        <v>0</v>
      </c>
      <c r="P117">
        <v>0</v>
      </c>
      <c r="Q117">
        <v>7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-300</v>
      </c>
      <c r="Y117">
        <v>3</v>
      </c>
      <c r="Z117">
        <v>-300</v>
      </c>
      <c r="AA117">
        <v>3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20880</v>
      </c>
      <c r="AL117" t="str">
        <f t="shared" si="36"/>
        <v>0000000000000</v>
      </c>
      <c r="AN117" t="str">
        <f t="shared" si="37"/>
        <v>9791190142359</v>
      </c>
      <c r="AP117" t="str">
        <f t="shared" si="38"/>
        <v>BL 웹소설 &gt; 현대물</v>
      </c>
      <c r="AQ117" t="str">
        <f t="shared" si="39"/>
        <v>BL 웹소설 &gt; 판타지물</v>
      </c>
    </row>
    <row r="118" spans="1:43" x14ac:dyDescent="0.4">
      <c r="A118" t="s">
        <v>43</v>
      </c>
      <c r="B118">
        <v>3822000323</v>
      </c>
      <c r="C118">
        <v>3822000910</v>
      </c>
      <c r="D118" t="str">
        <f>T("[연재]네크로맨서 생존기 135화")</f>
        <v>[연재]네크로맨서 생존기 135화</v>
      </c>
      <c r="E118" t="str">
        <f>T("135")</f>
        <v>135</v>
      </c>
      <c r="F118" t="str">
        <f t="shared" si="34"/>
        <v>키마님</v>
      </c>
      <c r="I118" t="str">
        <f t="shared" si="33"/>
        <v>딥블렌드</v>
      </c>
      <c r="J118" t="str">
        <f t="shared" si="35"/>
        <v>[연재]네크로맨서 생존기</v>
      </c>
      <c r="K118">
        <v>100</v>
      </c>
      <c r="L118">
        <v>35100</v>
      </c>
      <c r="M118">
        <v>351</v>
      </c>
      <c r="N118">
        <v>0</v>
      </c>
      <c r="O118">
        <v>0</v>
      </c>
      <c r="P118">
        <v>0</v>
      </c>
      <c r="Q118">
        <v>3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-100</v>
      </c>
      <c r="Y118">
        <v>1</v>
      </c>
      <c r="Z118">
        <v>-100</v>
      </c>
      <c r="AA118">
        <v>1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21000</v>
      </c>
      <c r="AL118" t="str">
        <f t="shared" si="36"/>
        <v>0000000000000</v>
      </c>
      <c r="AN118" t="str">
        <f t="shared" si="37"/>
        <v>9791190142359</v>
      </c>
      <c r="AP118" t="str">
        <f t="shared" si="38"/>
        <v>BL 웹소설 &gt; 현대물</v>
      </c>
      <c r="AQ118" t="str">
        <f t="shared" si="39"/>
        <v>BL 웹소설 &gt; 판타지물</v>
      </c>
    </row>
    <row r="119" spans="1:43" x14ac:dyDescent="0.4">
      <c r="A119" t="s">
        <v>43</v>
      </c>
      <c r="B119">
        <v>3822000323</v>
      </c>
      <c r="C119">
        <v>3822000912</v>
      </c>
      <c r="D119" t="str">
        <f>T("[연재]네크로맨서 생존기 137화")</f>
        <v>[연재]네크로맨서 생존기 137화</v>
      </c>
      <c r="E119" t="str">
        <f>T("137")</f>
        <v>137</v>
      </c>
      <c r="F119" t="str">
        <f t="shared" si="34"/>
        <v>키마님</v>
      </c>
      <c r="I119" t="str">
        <f t="shared" si="33"/>
        <v>딥블렌드</v>
      </c>
      <c r="J119" t="str">
        <f t="shared" si="35"/>
        <v>[연재]네크로맨서 생존기</v>
      </c>
      <c r="K119">
        <v>100</v>
      </c>
      <c r="L119">
        <v>35100</v>
      </c>
      <c r="M119">
        <v>351</v>
      </c>
      <c r="N119">
        <v>0</v>
      </c>
      <c r="O119">
        <v>0</v>
      </c>
      <c r="P119">
        <v>0</v>
      </c>
      <c r="Q119">
        <v>3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-200</v>
      </c>
      <c r="Y119">
        <v>2</v>
      </c>
      <c r="Z119">
        <v>-200</v>
      </c>
      <c r="AA119">
        <v>2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20940</v>
      </c>
      <c r="AL119" t="str">
        <f t="shared" si="36"/>
        <v>0000000000000</v>
      </c>
      <c r="AN119" t="str">
        <f t="shared" si="37"/>
        <v>9791190142359</v>
      </c>
      <c r="AP119" t="str">
        <f t="shared" si="38"/>
        <v>BL 웹소설 &gt; 현대물</v>
      </c>
      <c r="AQ119" t="str">
        <f t="shared" si="39"/>
        <v>BL 웹소설 &gt; 판타지물</v>
      </c>
    </row>
    <row r="120" spans="1:43" x14ac:dyDescent="0.4">
      <c r="A120" t="s">
        <v>43</v>
      </c>
      <c r="B120">
        <v>3822000323</v>
      </c>
      <c r="C120">
        <v>3822000368</v>
      </c>
      <c r="D120" t="str">
        <f>T("[연재]네크로맨서 생존기 39화")</f>
        <v>[연재]네크로맨서 생존기 39화</v>
      </c>
      <c r="E120" t="str">
        <f>T("39")</f>
        <v>39</v>
      </c>
      <c r="F120" t="str">
        <f t="shared" si="34"/>
        <v>키마님</v>
      </c>
      <c r="I120" t="str">
        <f t="shared" si="33"/>
        <v>딥블렌드</v>
      </c>
      <c r="J120" t="str">
        <f t="shared" si="35"/>
        <v>[연재]네크로맨서 생존기</v>
      </c>
      <c r="K120">
        <v>100</v>
      </c>
      <c r="L120">
        <v>35000</v>
      </c>
      <c r="M120">
        <v>350</v>
      </c>
      <c r="N120">
        <v>0</v>
      </c>
      <c r="O120">
        <v>0</v>
      </c>
      <c r="P120">
        <v>0</v>
      </c>
      <c r="Q120">
        <v>7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-200</v>
      </c>
      <c r="Y120">
        <v>2</v>
      </c>
      <c r="Z120">
        <v>-200</v>
      </c>
      <c r="AA120">
        <v>2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20880</v>
      </c>
      <c r="AL120" t="str">
        <f t="shared" si="36"/>
        <v>0000000000000</v>
      </c>
      <c r="AN120" t="str">
        <f t="shared" si="37"/>
        <v>9791190142359</v>
      </c>
      <c r="AP120" t="str">
        <f t="shared" si="38"/>
        <v>BL 웹소설 &gt; 현대물</v>
      </c>
      <c r="AQ120" t="str">
        <f t="shared" si="39"/>
        <v>BL 웹소설 &gt; 판타지물</v>
      </c>
    </row>
    <row r="121" spans="1:43" x14ac:dyDescent="0.4">
      <c r="A121" t="s">
        <v>43</v>
      </c>
      <c r="B121">
        <v>3822000323</v>
      </c>
      <c r="C121">
        <v>3822000343</v>
      </c>
      <c r="D121" t="str">
        <f>T("[연재]네크로맨서 생존기 20화")</f>
        <v>[연재]네크로맨서 생존기 20화</v>
      </c>
      <c r="E121" t="str">
        <f>T("20")</f>
        <v>20</v>
      </c>
      <c r="F121" t="str">
        <f t="shared" si="34"/>
        <v>키마님</v>
      </c>
      <c r="I121" t="str">
        <f t="shared" si="33"/>
        <v>딥블렌드</v>
      </c>
      <c r="J121" t="str">
        <f t="shared" si="35"/>
        <v>[연재]네크로맨서 생존기</v>
      </c>
      <c r="K121">
        <v>100</v>
      </c>
      <c r="L121">
        <v>35000</v>
      </c>
      <c r="M121">
        <v>350</v>
      </c>
      <c r="N121">
        <v>0</v>
      </c>
      <c r="O121">
        <v>0</v>
      </c>
      <c r="P121">
        <v>0</v>
      </c>
      <c r="Q121">
        <v>15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-300</v>
      </c>
      <c r="Y121">
        <v>3</v>
      </c>
      <c r="Z121">
        <v>-300</v>
      </c>
      <c r="AA121">
        <v>3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20820</v>
      </c>
      <c r="AL121" t="str">
        <f t="shared" si="36"/>
        <v>0000000000000</v>
      </c>
      <c r="AN121" t="str">
        <f t="shared" si="37"/>
        <v>9791190142359</v>
      </c>
      <c r="AP121" t="str">
        <f t="shared" si="38"/>
        <v>BL 웹소설 &gt; 현대물</v>
      </c>
      <c r="AQ121" t="str">
        <f t="shared" si="39"/>
        <v>BL 웹소설 &gt; 판타지물</v>
      </c>
    </row>
    <row r="122" spans="1:43" x14ac:dyDescent="0.4">
      <c r="A122" t="s">
        <v>43</v>
      </c>
      <c r="B122">
        <v>3822000323</v>
      </c>
      <c r="C122">
        <v>3822000908</v>
      </c>
      <c r="D122" t="str">
        <f>T("[연재]네크로맨서 생존기 133화")</f>
        <v>[연재]네크로맨서 생존기 133화</v>
      </c>
      <c r="E122" t="str">
        <f>T("133")</f>
        <v>133</v>
      </c>
      <c r="F122" t="str">
        <f t="shared" si="34"/>
        <v>키마님</v>
      </c>
      <c r="I122" t="str">
        <f t="shared" si="33"/>
        <v>딥블렌드</v>
      </c>
      <c r="J122" t="str">
        <f t="shared" si="35"/>
        <v>[연재]네크로맨서 생존기</v>
      </c>
      <c r="K122">
        <v>100</v>
      </c>
      <c r="L122">
        <v>35000</v>
      </c>
      <c r="M122">
        <v>350</v>
      </c>
      <c r="N122">
        <v>0</v>
      </c>
      <c r="O122">
        <v>0</v>
      </c>
      <c r="P122">
        <v>0</v>
      </c>
      <c r="Q122">
        <v>3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-100</v>
      </c>
      <c r="Y122">
        <v>1</v>
      </c>
      <c r="Z122">
        <v>-100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20940</v>
      </c>
      <c r="AL122" t="str">
        <f t="shared" si="36"/>
        <v>0000000000000</v>
      </c>
      <c r="AN122" t="str">
        <f t="shared" si="37"/>
        <v>9791190142359</v>
      </c>
      <c r="AP122" t="str">
        <f t="shared" si="38"/>
        <v>BL 웹소설 &gt; 현대물</v>
      </c>
      <c r="AQ122" t="str">
        <f t="shared" si="39"/>
        <v>BL 웹소설 &gt; 판타지물</v>
      </c>
    </row>
    <row r="123" spans="1:43" x14ac:dyDescent="0.4">
      <c r="A123" t="s">
        <v>43</v>
      </c>
      <c r="B123">
        <v>3822000323</v>
      </c>
      <c r="C123">
        <v>3822000909</v>
      </c>
      <c r="D123" t="str">
        <f>T("[연재]네크로맨서 생존기 134화")</f>
        <v>[연재]네크로맨서 생존기 134화</v>
      </c>
      <c r="E123" t="str">
        <f>T("134")</f>
        <v>134</v>
      </c>
      <c r="F123" t="str">
        <f t="shared" si="34"/>
        <v>키마님</v>
      </c>
      <c r="I123" t="str">
        <f t="shared" si="33"/>
        <v>딥블렌드</v>
      </c>
      <c r="J123" t="str">
        <f t="shared" si="35"/>
        <v>[연재]네크로맨서 생존기</v>
      </c>
      <c r="K123">
        <v>100</v>
      </c>
      <c r="L123">
        <v>35000</v>
      </c>
      <c r="M123">
        <v>350</v>
      </c>
      <c r="N123">
        <v>0</v>
      </c>
      <c r="O123">
        <v>0</v>
      </c>
      <c r="P123">
        <v>0</v>
      </c>
      <c r="Q123">
        <v>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-100</v>
      </c>
      <c r="Y123">
        <v>1</v>
      </c>
      <c r="Z123">
        <v>-100</v>
      </c>
      <c r="AA123">
        <v>1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20940</v>
      </c>
      <c r="AL123" t="str">
        <f t="shared" si="36"/>
        <v>0000000000000</v>
      </c>
      <c r="AN123" t="str">
        <f t="shared" si="37"/>
        <v>9791190142359</v>
      </c>
      <c r="AP123" t="str">
        <f t="shared" si="38"/>
        <v>BL 웹소설 &gt; 현대물</v>
      </c>
      <c r="AQ123" t="str">
        <f t="shared" si="39"/>
        <v>BL 웹소설 &gt; 판타지물</v>
      </c>
    </row>
    <row r="124" spans="1:43" x14ac:dyDescent="0.4">
      <c r="A124" t="s">
        <v>43</v>
      </c>
      <c r="B124">
        <v>3822000323</v>
      </c>
      <c r="C124">
        <v>3822000911</v>
      </c>
      <c r="D124" t="str">
        <f>T("[연재]네크로맨서 생존기 136화")</f>
        <v>[연재]네크로맨서 생존기 136화</v>
      </c>
      <c r="E124" t="str">
        <f>T("136")</f>
        <v>136</v>
      </c>
      <c r="F124" t="str">
        <f t="shared" si="34"/>
        <v>키마님</v>
      </c>
      <c r="I124" t="str">
        <f t="shared" si="33"/>
        <v>딥블렌드</v>
      </c>
      <c r="J124" t="str">
        <f t="shared" si="35"/>
        <v>[연재]네크로맨서 생존기</v>
      </c>
      <c r="K124">
        <v>100</v>
      </c>
      <c r="L124">
        <v>35000</v>
      </c>
      <c r="M124">
        <v>350</v>
      </c>
      <c r="N124">
        <v>0</v>
      </c>
      <c r="O124">
        <v>0</v>
      </c>
      <c r="P124">
        <v>0</v>
      </c>
      <c r="Q124">
        <v>3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-200</v>
      </c>
      <c r="Y124">
        <v>2</v>
      </c>
      <c r="Z124">
        <v>-200</v>
      </c>
      <c r="AA124">
        <v>2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20880</v>
      </c>
      <c r="AL124" t="str">
        <f t="shared" si="36"/>
        <v>0000000000000</v>
      </c>
      <c r="AN124" t="str">
        <f t="shared" si="37"/>
        <v>9791190142359</v>
      </c>
      <c r="AP124" t="str">
        <f t="shared" si="38"/>
        <v>BL 웹소설 &gt; 현대물</v>
      </c>
      <c r="AQ124" t="str">
        <f t="shared" si="39"/>
        <v>BL 웹소설 &gt; 판타지물</v>
      </c>
    </row>
    <row r="125" spans="1:43" x14ac:dyDescent="0.4">
      <c r="A125" t="s">
        <v>43</v>
      </c>
      <c r="B125">
        <v>3822000323</v>
      </c>
      <c r="C125">
        <v>3822000345</v>
      </c>
      <c r="D125" t="str">
        <f>T("[연재]네크로맨서 생존기 22화")</f>
        <v>[연재]네크로맨서 생존기 22화</v>
      </c>
      <c r="E125" t="str">
        <f>T("22")</f>
        <v>22</v>
      </c>
      <c r="F125" t="str">
        <f t="shared" si="34"/>
        <v>키마님</v>
      </c>
      <c r="I125" t="str">
        <f t="shared" si="33"/>
        <v>딥블렌드</v>
      </c>
      <c r="J125" t="str">
        <f t="shared" si="35"/>
        <v>[연재]네크로맨서 생존기</v>
      </c>
      <c r="K125">
        <v>100</v>
      </c>
      <c r="L125">
        <v>34900</v>
      </c>
      <c r="M125">
        <v>349</v>
      </c>
      <c r="N125">
        <v>0</v>
      </c>
      <c r="O125">
        <v>0</v>
      </c>
      <c r="P125">
        <v>0</v>
      </c>
      <c r="Q125">
        <v>14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-300</v>
      </c>
      <c r="Y125">
        <v>3</v>
      </c>
      <c r="Z125">
        <v>-300</v>
      </c>
      <c r="AA125">
        <v>3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20760</v>
      </c>
      <c r="AL125" t="str">
        <f t="shared" si="36"/>
        <v>0000000000000</v>
      </c>
      <c r="AN125" t="str">
        <f t="shared" si="37"/>
        <v>9791190142359</v>
      </c>
      <c r="AP125" t="str">
        <f t="shared" si="38"/>
        <v>BL 웹소설 &gt; 현대물</v>
      </c>
      <c r="AQ125" t="str">
        <f t="shared" si="39"/>
        <v>BL 웹소설 &gt; 판타지물</v>
      </c>
    </row>
    <row r="126" spans="1:43" x14ac:dyDescent="0.4">
      <c r="A126" t="s">
        <v>43</v>
      </c>
      <c r="B126">
        <v>3822000323</v>
      </c>
      <c r="C126">
        <v>3822000382</v>
      </c>
      <c r="D126" t="str">
        <f>T("[연재]네크로맨서 생존기 47화")</f>
        <v>[연재]네크로맨서 생존기 47화</v>
      </c>
      <c r="E126" t="str">
        <f>T("47")</f>
        <v>47</v>
      </c>
      <c r="F126" t="str">
        <f t="shared" si="34"/>
        <v>키마님</v>
      </c>
      <c r="I126" t="str">
        <f t="shared" si="33"/>
        <v>딥블렌드</v>
      </c>
      <c r="J126" t="str">
        <f t="shared" si="35"/>
        <v>[연재]네크로맨서 생존기</v>
      </c>
      <c r="K126">
        <v>100</v>
      </c>
      <c r="L126">
        <v>34800</v>
      </c>
      <c r="M126">
        <v>348</v>
      </c>
      <c r="N126">
        <v>0</v>
      </c>
      <c r="O126">
        <v>0</v>
      </c>
      <c r="P126">
        <v>0</v>
      </c>
      <c r="Q126">
        <v>8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-200</v>
      </c>
      <c r="Y126">
        <v>2</v>
      </c>
      <c r="Z126">
        <v>-200</v>
      </c>
      <c r="AA126">
        <v>2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20760</v>
      </c>
      <c r="AL126" t="str">
        <f t="shared" si="36"/>
        <v>0000000000000</v>
      </c>
      <c r="AN126" t="str">
        <f t="shared" si="37"/>
        <v>9791190142359</v>
      </c>
      <c r="AP126" t="str">
        <f t="shared" si="38"/>
        <v>BL 웹소설 &gt; 현대물</v>
      </c>
      <c r="AQ126" t="str">
        <f t="shared" si="39"/>
        <v>BL 웹소설 &gt; 판타지물</v>
      </c>
    </row>
    <row r="127" spans="1:43" x14ac:dyDescent="0.4">
      <c r="A127" t="s">
        <v>43</v>
      </c>
      <c r="B127">
        <v>3822000323</v>
      </c>
      <c r="C127">
        <v>3822000397</v>
      </c>
      <c r="D127" t="str">
        <f>T("[연재]네크로맨서 생존기 52화")</f>
        <v>[연재]네크로맨서 생존기 52화</v>
      </c>
      <c r="E127" t="str">
        <f>T("52")</f>
        <v>52</v>
      </c>
      <c r="F127" t="str">
        <f t="shared" si="34"/>
        <v>키마님</v>
      </c>
      <c r="I127" t="str">
        <f t="shared" si="33"/>
        <v>딥블렌드</v>
      </c>
      <c r="J127" t="str">
        <f t="shared" si="35"/>
        <v>[연재]네크로맨서 생존기</v>
      </c>
      <c r="K127">
        <v>100</v>
      </c>
      <c r="L127">
        <v>34800</v>
      </c>
      <c r="M127">
        <v>348</v>
      </c>
      <c r="N127">
        <v>0</v>
      </c>
      <c r="O127">
        <v>0</v>
      </c>
      <c r="P127">
        <v>0</v>
      </c>
      <c r="Q127">
        <v>7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-100</v>
      </c>
      <c r="Y127">
        <v>1</v>
      </c>
      <c r="Z127">
        <v>-100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20820</v>
      </c>
      <c r="AL127" t="str">
        <f t="shared" si="36"/>
        <v>0000000000000</v>
      </c>
      <c r="AN127" t="str">
        <f t="shared" si="37"/>
        <v>9791190142359</v>
      </c>
      <c r="AP127" t="str">
        <f t="shared" si="38"/>
        <v>BL 웹소설 &gt; 현대물</v>
      </c>
      <c r="AQ127" t="str">
        <f t="shared" si="39"/>
        <v>BL 웹소설 &gt; 판타지물</v>
      </c>
    </row>
    <row r="128" spans="1:43" x14ac:dyDescent="0.4">
      <c r="A128" t="s">
        <v>43</v>
      </c>
      <c r="B128">
        <v>3822000323</v>
      </c>
      <c r="C128">
        <v>3822000369</v>
      </c>
      <c r="D128" t="str">
        <f>T("[연재]네크로맨서 생존기 40화")</f>
        <v>[연재]네크로맨서 생존기 40화</v>
      </c>
      <c r="E128" t="str">
        <f>T("40")</f>
        <v>40</v>
      </c>
      <c r="F128" t="str">
        <f t="shared" si="34"/>
        <v>키마님</v>
      </c>
      <c r="I128" t="str">
        <f t="shared" si="33"/>
        <v>딥블렌드</v>
      </c>
      <c r="J128" t="str">
        <f t="shared" si="35"/>
        <v>[연재]네크로맨서 생존기</v>
      </c>
      <c r="K128">
        <v>100</v>
      </c>
      <c r="L128">
        <v>34800</v>
      </c>
      <c r="M128">
        <v>348</v>
      </c>
      <c r="N128">
        <v>0</v>
      </c>
      <c r="O128">
        <v>0</v>
      </c>
      <c r="P128">
        <v>0</v>
      </c>
      <c r="Q128">
        <v>8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-200</v>
      </c>
      <c r="Y128">
        <v>2</v>
      </c>
      <c r="Z128">
        <v>-200</v>
      </c>
      <c r="AA128">
        <v>2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20760</v>
      </c>
      <c r="AL128" t="str">
        <f t="shared" si="36"/>
        <v>0000000000000</v>
      </c>
      <c r="AN128" t="str">
        <f t="shared" si="37"/>
        <v>9791190142359</v>
      </c>
      <c r="AP128" t="str">
        <f t="shared" si="38"/>
        <v>BL 웹소설 &gt; 현대물</v>
      </c>
      <c r="AQ128" t="str">
        <f t="shared" si="39"/>
        <v>BL 웹소설 &gt; 판타지물</v>
      </c>
    </row>
    <row r="129" spans="1:43" x14ac:dyDescent="0.4">
      <c r="A129" t="s">
        <v>43</v>
      </c>
      <c r="B129">
        <v>3822000323</v>
      </c>
      <c r="C129">
        <v>3822000342</v>
      </c>
      <c r="D129" t="str">
        <f>T("[연재]네크로맨서 생존기 19화")</f>
        <v>[연재]네크로맨서 생존기 19화</v>
      </c>
      <c r="E129" t="str">
        <f>T("19")</f>
        <v>19</v>
      </c>
      <c r="F129" t="str">
        <f t="shared" si="34"/>
        <v>키마님</v>
      </c>
      <c r="I129" t="str">
        <f t="shared" si="33"/>
        <v>딥블렌드</v>
      </c>
      <c r="J129" t="str">
        <f t="shared" si="35"/>
        <v>[연재]네크로맨서 생존기</v>
      </c>
      <c r="K129">
        <v>100</v>
      </c>
      <c r="L129">
        <v>34800</v>
      </c>
      <c r="M129">
        <v>348</v>
      </c>
      <c r="N129">
        <v>0</v>
      </c>
      <c r="O129">
        <v>0</v>
      </c>
      <c r="P129">
        <v>0</v>
      </c>
      <c r="Q129">
        <v>11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-300</v>
      </c>
      <c r="Y129">
        <v>3</v>
      </c>
      <c r="Z129">
        <v>-300</v>
      </c>
      <c r="AA129">
        <v>3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20700</v>
      </c>
      <c r="AL129" t="str">
        <f t="shared" si="36"/>
        <v>0000000000000</v>
      </c>
      <c r="AN129" t="str">
        <f t="shared" si="37"/>
        <v>9791190142359</v>
      </c>
      <c r="AP129" t="str">
        <f t="shared" si="38"/>
        <v>BL 웹소설 &gt; 현대물</v>
      </c>
      <c r="AQ129" t="str">
        <f t="shared" si="39"/>
        <v>BL 웹소설 &gt; 판타지물</v>
      </c>
    </row>
    <row r="130" spans="1:43" x14ac:dyDescent="0.4">
      <c r="A130" t="s">
        <v>43</v>
      </c>
      <c r="B130">
        <v>3822000323</v>
      </c>
      <c r="C130">
        <v>3822000344</v>
      </c>
      <c r="D130" t="str">
        <f>T("[연재]네크로맨서 생존기 21화")</f>
        <v>[연재]네크로맨서 생존기 21화</v>
      </c>
      <c r="E130" t="str">
        <f>T("21")</f>
        <v>21</v>
      </c>
      <c r="F130" t="str">
        <f t="shared" si="34"/>
        <v>키마님</v>
      </c>
      <c r="I130" t="str">
        <f t="shared" si="33"/>
        <v>딥블렌드</v>
      </c>
      <c r="J130" t="str">
        <f t="shared" si="35"/>
        <v>[연재]네크로맨서 생존기</v>
      </c>
      <c r="K130">
        <v>100</v>
      </c>
      <c r="L130">
        <v>34800</v>
      </c>
      <c r="M130">
        <v>348</v>
      </c>
      <c r="N130">
        <v>0</v>
      </c>
      <c r="O130">
        <v>0</v>
      </c>
      <c r="P130">
        <v>0</v>
      </c>
      <c r="Q130">
        <v>15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-300</v>
      </c>
      <c r="Y130">
        <v>3</v>
      </c>
      <c r="Z130">
        <v>-300</v>
      </c>
      <c r="AA130">
        <v>3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20700</v>
      </c>
      <c r="AL130" t="str">
        <f t="shared" si="36"/>
        <v>0000000000000</v>
      </c>
      <c r="AN130" t="str">
        <f t="shared" si="37"/>
        <v>9791190142359</v>
      </c>
      <c r="AP130" t="str">
        <f t="shared" si="38"/>
        <v>BL 웹소설 &gt; 현대물</v>
      </c>
      <c r="AQ130" t="str">
        <f t="shared" si="39"/>
        <v>BL 웹소설 &gt; 판타지물</v>
      </c>
    </row>
    <row r="131" spans="1:43" x14ac:dyDescent="0.4">
      <c r="A131" t="s">
        <v>43</v>
      </c>
      <c r="B131">
        <v>3822000323</v>
      </c>
      <c r="C131">
        <v>3822000346</v>
      </c>
      <c r="D131" t="str">
        <f>T("[연재]네크로맨서 생존기 23화")</f>
        <v>[연재]네크로맨서 생존기 23화</v>
      </c>
      <c r="E131" t="str">
        <f>T("23")</f>
        <v>23</v>
      </c>
      <c r="F131" t="str">
        <f t="shared" si="34"/>
        <v>키마님</v>
      </c>
      <c r="I131" t="str">
        <f t="shared" si="33"/>
        <v>딥블렌드</v>
      </c>
      <c r="J131" t="str">
        <f t="shared" si="35"/>
        <v>[연재]네크로맨서 생존기</v>
      </c>
      <c r="K131">
        <v>100</v>
      </c>
      <c r="L131">
        <v>34800</v>
      </c>
      <c r="M131">
        <v>348</v>
      </c>
      <c r="N131">
        <v>0</v>
      </c>
      <c r="O131">
        <v>0</v>
      </c>
      <c r="P131">
        <v>0</v>
      </c>
      <c r="Q131">
        <v>18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-200</v>
      </c>
      <c r="Y131">
        <v>2</v>
      </c>
      <c r="Z131">
        <v>-200</v>
      </c>
      <c r="AA131">
        <v>2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20760</v>
      </c>
      <c r="AL131" t="str">
        <f t="shared" si="36"/>
        <v>0000000000000</v>
      </c>
      <c r="AN131" t="str">
        <f t="shared" si="37"/>
        <v>9791190142359</v>
      </c>
      <c r="AP131" t="str">
        <f t="shared" si="38"/>
        <v>BL 웹소설 &gt; 현대물</v>
      </c>
      <c r="AQ131" t="str">
        <f t="shared" si="39"/>
        <v>BL 웹소설 &gt; 판타지물</v>
      </c>
    </row>
    <row r="132" spans="1:43" x14ac:dyDescent="0.4">
      <c r="A132" t="s">
        <v>43</v>
      </c>
      <c r="B132">
        <v>3822000323</v>
      </c>
      <c r="C132">
        <v>3822000406</v>
      </c>
      <c r="D132" t="str">
        <f>T("[연재]네크로맨서 생존기 55화")</f>
        <v>[연재]네크로맨서 생존기 55화</v>
      </c>
      <c r="E132" t="str">
        <f>T("55")</f>
        <v>55</v>
      </c>
      <c r="F132" t="str">
        <f t="shared" si="34"/>
        <v>키마님</v>
      </c>
      <c r="I132" t="str">
        <f t="shared" si="33"/>
        <v>딥블렌드</v>
      </c>
      <c r="J132" t="str">
        <f t="shared" si="35"/>
        <v>[연재]네크로맨서 생존기</v>
      </c>
      <c r="K132">
        <v>100</v>
      </c>
      <c r="L132">
        <v>34800</v>
      </c>
      <c r="M132">
        <v>348</v>
      </c>
      <c r="N132">
        <v>0</v>
      </c>
      <c r="O132">
        <v>0</v>
      </c>
      <c r="P132">
        <v>0</v>
      </c>
      <c r="Q132">
        <v>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-100</v>
      </c>
      <c r="Y132">
        <v>1</v>
      </c>
      <c r="Z132">
        <v>-100</v>
      </c>
      <c r="AA132">
        <v>1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20820</v>
      </c>
      <c r="AL132" t="str">
        <f t="shared" si="36"/>
        <v>0000000000000</v>
      </c>
      <c r="AN132" t="str">
        <f t="shared" si="37"/>
        <v>9791190142359</v>
      </c>
      <c r="AP132" t="str">
        <f t="shared" si="38"/>
        <v>BL 웹소설 &gt; 현대물</v>
      </c>
      <c r="AQ132" t="str">
        <f t="shared" si="39"/>
        <v>BL 웹소설 &gt; 판타지물</v>
      </c>
    </row>
    <row r="133" spans="1:43" x14ac:dyDescent="0.4">
      <c r="A133" t="s">
        <v>43</v>
      </c>
      <c r="B133">
        <v>3822000323</v>
      </c>
      <c r="C133">
        <v>3822000378</v>
      </c>
      <c r="D133" t="str">
        <f>T("[연재]네크로맨서 생존기 45화")</f>
        <v>[연재]네크로맨서 생존기 45화</v>
      </c>
      <c r="E133" t="str">
        <f>T("45")</f>
        <v>45</v>
      </c>
      <c r="F133" t="str">
        <f t="shared" si="34"/>
        <v>키마님</v>
      </c>
      <c r="I133" t="str">
        <f t="shared" si="33"/>
        <v>딥블렌드</v>
      </c>
      <c r="J133" t="str">
        <f t="shared" si="35"/>
        <v>[연재]네크로맨서 생존기</v>
      </c>
      <c r="K133">
        <v>100</v>
      </c>
      <c r="L133">
        <v>34800</v>
      </c>
      <c r="M133">
        <v>348</v>
      </c>
      <c r="N133">
        <v>0</v>
      </c>
      <c r="O133">
        <v>0</v>
      </c>
      <c r="P133">
        <v>0</v>
      </c>
      <c r="Q133">
        <v>10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-200</v>
      </c>
      <c r="Y133">
        <v>2</v>
      </c>
      <c r="Z133">
        <v>-200</v>
      </c>
      <c r="AA133">
        <v>2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20760</v>
      </c>
      <c r="AL133" t="str">
        <f t="shared" si="36"/>
        <v>0000000000000</v>
      </c>
      <c r="AN133" t="str">
        <f t="shared" si="37"/>
        <v>9791190142359</v>
      </c>
      <c r="AP133" t="str">
        <f t="shared" si="38"/>
        <v>BL 웹소설 &gt; 현대물</v>
      </c>
      <c r="AQ133" t="str">
        <f t="shared" si="39"/>
        <v>BL 웹소설 &gt; 판타지물</v>
      </c>
    </row>
    <row r="134" spans="1:43" x14ac:dyDescent="0.4">
      <c r="A134" t="s">
        <v>43</v>
      </c>
      <c r="B134">
        <v>3822000323</v>
      </c>
      <c r="C134">
        <v>3822000900</v>
      </c>
      <c r="D134" t="str">
        <f>T("[연재]네크로맨서 생존기 129화")</f>
        <v>[연재]네크로맨서 생존기 129화</v>
      </c>
      <c r="E134" t="str">
        <f>T("129")</f>
        <v>129</v>
      </c>
      <c r="F134" t="str">
        <f t="shared" si="34"/>
        <v>키마님</v>
      </c>
      <c r="I134" t="str">
        <f t="shared" si="33"/>
        <v>딥블렌드</v>
      </c>
      <c r="J134" t="str">
        <f t="shared" si="35"/>
        <v>[연재]네크로맨서 생존기</v>
      </c>
      <c r="K134">
        <v>100</v>
      </c>
      <c r="L134">
        <v>34800</v>
      </c>
      <c r="M134">
        <v>348</v>
      </c>
      <c r="N134">
        <v>0</v>
      </c>
      <c r="O134">
        <v>0</v>
      </c>
      <c r="P134">
        <v>0</v>
      </c>
      <c r="Q134">
        <v>9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-100</v>
      </c>
      <c r="Y134">
        <v>1</v>
      </c>
      <c r="Z134">
        <v>-100</v>
      </c>
      <c r="AA134">
        <v>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20820</v>
      </c>
      <c r="AL134" t="str">
        <f t="shared" si="36"/>
        <v>0000000000000</v>
      </c>
      <c r="AN134" t="str">
        <f t="shared" si="37"/>
        <v>9791190142359</v>
      </c>
      <c r="AP134" t="str">
        <f t="shared" si="38"/>
        <v>BL 웹소설 &gt; 현대물</v>
      </c>
      <c r="AQ134" t="str">
        <f t="shared" si="39"/>
        <v>BL 웹소설 &gt; 판타지물</v>
      </c>
    </row>
    <row r="135" spans="1:43" x14ac:dyDescent="0.4">
      <c r="A135" t="s">
        <v>43</v>
      </c>
      <c r="B135">
        <v>3822000323</v>
      </c>
      <c r="C135">
        <v>3822000396</v>
      </c>
      <c r="D135" t="str">
        <f>T("[연재]네크로맨서 생존기 51화")</f>
        <v>[연재]네크로맨서 생존기 51화</v>
      </c>
      <c r="E135" t="str">
        <f>T("51")</f>
        <v>51</v>
      </c>
      <c r="F135" t="str">
        <f t="shared" si="34"/>
        <v>키마님</v>
      </c>
      <c r="I135" t="str">
        <f t="shared" si="33"/>
        <v>딥블렌드</v>
      </c>
      <c r="J135" t="str">
        <f t="shared" si="35"/>
        <v>[연재]네크로맨서 생존기</v>
      </c>
      <c r="K135">
        <v>100</v>
      </c>
      <c r="L135">
        <v>34700</v>
      </c>
      <c r="M135">
        <v>347</v>
      </c>
      <c r="N135">
        <v>0</v>
      </c>
      <c r="O135">
        <v>0</v>
      </c>
      <c r="P135">
        <v>0</v>
      </c>
      <c r="Q135">
        <v>12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-100</v>
      </c>
      <c r="Y135">
        <v>1</v>
      </c>
      <c r="Z135">
        <v>-100</v>
      </c>
      <c r="AA135">
        <v>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20760</v>
      </c>
      <c r="AL135" t="str">
        <f t="shared" si="36"/>
        <v>0000000000000</v>
      </c>
      <c r="AN135" t="str">
        <f t="shared" si="37"/>
        <v>9791190142359</v>
      </c>
      <c r="AP135" t="str">
        <f t="shared" si="38"/>
        <v>BL 웹소설 &gt; 현대물</v>
      </c>
      <c r="AQ135" t="str">
        <f t="shared" si="39"/>
        <v>BL 웹소설 &gt; 판타지물</v>
      </c>
    </row>
    <row r="136" spans="1:43" x14ac:dyDescent="0.4">
      <c r="A136" t="s">
        <v>43</v>
      </c>
      <c r="B136">
        <v>3822000323</v>
      </c>
      <c r="C136">
        <v>3822000351</v>
      </c>
      <c r="D136" t="str">
        <f>T("[연재]네크로맨서 생존기 27화")</f>
        <v>[연재]네크로맨서 생존기 27화</v>
      </c>
      <c r="E136" t="str">
        <f>T("27")</f>
        <v>27</v>
      </c>
      <c r="F136" t="str">
        <f t="shared" si="34"/>
        <v>키마님</v>
      </c>
      <c r="I136" t="str">
        <f t="shared" si="33"/>
        <v>딥블렌드</v>
      </c>
      <c r="J136" t="str">
        <f t="shared" si="35"/>
        <v>[연재]네크로맨서 생존기</v>
      </c>
      <c r="K136">
        <v>100</v>
      </c>
      <c r="L136">
        <v>34700</v>
      </c>
      <c r="M136">
        <v>347</v>
      </c>
      <c r="N136">
        <v>0</v>
      </c>
      <c r="O136">
        <v>0</v>
      </c>
      <c r="P136">
        <v>0</v>
      </c>
      <c r="Q136">
        <v>9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-200</v>
      </c>
      <c r="Y136">
        <v>2</v>
      </c>
      <c r="Z136">
        <v>-200</v>
      </c>
      <c r="AA136">
        <v>2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20700</v>
      </c>
      <c r="AL136" t="str">
        <f t="shared" si="36"/>
        <v>0000000000000</v>
      </c>
      <c r="AN136" t="str">
        <f t="shared" si="37"/>
        <v>9791190142359</v>
      </c>
      <c r="AP136" t="str">
        <f t="shared" si="38"/>
        <v>BL 웹소설 &gt; 현대물</v>
      </c>
      <c r="AQ136" t="str">
        <f t="shared" si="39"/>
        <v>BL 웹소설 &gt; 판타지물</v>
      </c>
    </row>
    <row r="137" spans="1:43" x14ac:dyDescent="0.4">
      <c r="A137" t="s">
        <v>43</v>
      </c>
      <c r="B137">
        <v>3822000323</v>
      </c>
      <c r="C137">
        <v>3822000403</v>
      </c>
      <c r="D137" t="str">
        <f>T("[연재]네크로맨서 생존기 53화")</f>
        <v>[연재]네크로맨서 생존기 53화</v>
      </c>
      <c r="E137" t="str">
        <f>T("53")</f>
        <v>53</v>
      </c>
      <c r="F137" t="str">
        <f t="shared" si="34"/>
        <v>키마님</v>
      </c>
      <c r="I137" t="str">
        <f t="shared" si="33"/>
        <v>딥블렌드</v>
      </c>
      <c r="J137" t="str">
        <f t="shared" si="35"/>
        <v>[연재]네크로맨서 생존기</v>
      </c>
      <c r="K137">
        <v>100</v>
      </c>
      <c r="L137">
        <v>34600</v>
      </c>
      <c r="M137">
        <v>346</v>
      </c>
      <c r="N137">
        <v>0</v>
      </c>
      <c r="O137">
        <v>0</v>
      </c>
      <c r="P137">
        <v>0</v>
      </c>
      <c r="Q137">
        <v>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-100</v>
      </c>
      <c r="Y137">
        <v>1</v>
      </c>
      <c r="Z137">
        <v>-100</v>
      </c>
      <c r="AA137">
        <v>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20700</v>
      </c>
      <c r="AL137" t="str">
        <f t="shared" si="36"/>
        <v>0000000000000</v>
      </c>
      <c r="AN137" t="str">
        <f t="shared" si="37"/>
        <v>9791190142359</v>
      </c>
      <c r="AP137" t="str">
        <f t="shared" si="38"/>
        <v>BL 웹소설 &gt; 현대물</v>
      </c>
      <c r="AQ137" t="str">
        <f t="shared" si="39"/>
        <v>BL 웹소설 &gt; 판타지물</v>
      </c>
    </row>
    <row r="138" spans="1:43" x14ac:dyDescent="0.4">
      <c r="A138" t="s">
        <v>43</v>
      </c>
      <c r="B138">
        <v>3822000323</v>
      </c>
      <c r="C138">
        <v>3822000347</v>
      </c>
      <c r="D138" t="str">
        <f>T("[연재]네크로맨서 생존기 24화")</f>
        <v>[연재]네크로맨서 생존기 24화</v>
      </c>
      <c r="E138" t="str">
        <f>T("24")</f>
        <v>24</v>
      </c>
      <c r="F138" t="str">
        <f t="shared" si="34"/>
        <v>키마님</v>
      </c>
      <c r="I138" t="str">
        <f t="shared" si="33"/>
        <v>딥블렌드</v>
      </c>
      <c r="J138" t="str">
        <f t="shared" si="35"/>
        <v>[연재]네크로맨서 생존기</v>
      </c>
      <c r="K138">
        <v>100</v>
      </c>
      <c r="L138">
        <v>34600</v>
      </c>
      <c r="M138">
        <v>346</v>
      </c>
      <c r="N138">
        <v>0</v>
      </c>
      <c r="O138">
        <v>0</v>
      </c>
      <c r="P138">
        <v>0</v>
      </c>
      <c r="Q138">
        <v>16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-200</v>
      </c>
      <c r="Y138">
        <v>2</v>
      </c>
      <c r="Z138">
        <v>-200</v>
      </c>
      <c r="AA138">
        <v>2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20640</v>
      </c>
      <c r="AL138" t="str">
        <f t="shared" si="36"/>
        <v>0000000000000</v>
      </c>
      <c r="AN138" t="str">
        <f t="shared" si="37"/>
        <v>9791190142359</v>
      </c>
      <c r="AP138" t="str">
        <f t="shared" si="38"/>
        <v>BL 웹소설 &gt; 현대물</v>
      </c>
      <c r="AQ138" t="str">
        <f t="shared" si="39"/>
        <v>BL 웹소설 &gt; 판타지물</v>
      </c>
    </row>
    <row r="139" spans="1:43" x14ac:dyDescent="0.4">
      <c r="A139" t="s">
        <v>43</v>
      </c>
      <c r="B139">
        <v>3822000323</v>
      </c>
      <c r="C139">
        <v>3822000404</v>
      </c>
      <c r="D139" t="str">
        <f>T("[연재]네크로맨서 생존기 54화")</f>
        <v>[연재]네크로맨서 생존기 54화</v>
      </c>
      <c r="E139" t="str">
        <f>T("54")</f>
        <v>54</v>
      </c>
      <c r="F139" t="str">
        <f t="shared" si="34"/>
        <v>키마님</v>
      </c>
      <c r="I139" t="str">
        <f t="shared" si="33"/>
        <v>딥블렌드</v>
      </c>
      <c r="J139" t="str">
        <f t="shared" si="35"/>
        <v>[연재]네크로맨서 생존기</v>
      </c>
      <c r="K139">
        <v>100</v>
      </c>
      <c r="L139">
        <v>34600</v>
      </c>
      <c r="M139">
        <v>346</v>
      </c>
      <c r="N139">
        <v>0</v>
      </c>
      <c r="O139">
        <v>0</v>
      </c>
      <c r="P139">
        <v>0</v>
      </c>
      <c r="Q139">
        <v>8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-100</v>
      </c>
      <c r="Y139">
        <v>1</v>
      </c>
      <c r="Z139">
        <v>-100</v>
      </c>
      <c r="AA139">
        <v>1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20700</v>
      </c>
      <c r="AL139" t="str">
        <f t="shared" si="36"/>
        <v>0000000000000</v>
      </c>
      <c r="AN139" t="str">
        <f t="shared" si="37"/>
        <v>9791190142359</v>
      </c>
      <c r="AP139" t="str">
        <f t="shared" si="38"/>
        <v>BL 웹소설 &gt; 현대물</v>
      </c>
      <c r="AQ139" t="str">
        <f t="shared" si="39"/>
        <v>BL 웹소설 &gt; 판타지물</v>
      </c>
    </row>
    <row r="140" spans="1:43" x14ac:dyDescent="0.4">
      <c r="A140" t="s">
        <v>43</v>
      </c>
      <c r="B140">
        <v>3822000323</v>
      </c>
      <c r="C140">
        <v>3822000348</v>
      </c>
      <c r="D140" t="str">
        <f>T("[연재]네크로맨서 생존기 25화")</f>
        <v>[연재]네크로맨서 생존기 25화</v>
      </c>
      <c r="E140" t="str">
        <f>T("25")</f>
        <v>25</v>
      </c>
      <c r="F140" t="str">
        <f t="shared" si="34"/>
        <v>키마님</v>
      </c>
      <c r="I140" t="str">
        <f t="shared" si="33"/>
        <v>딥블렌드</v>
      </c>
      <c r="J140" t="str">
        <f t="shared" si="35"/>
        <v>[연재]네크로맨서 생존기</v>
      </c>
      <c r="K140">
        <v>100</v>
      </c>
      <c r="L140">
        <v>34600</v>
      </c>
      <c r="M140">
        <v>346</v>
      </c>
      <c r="N140">
        <v>0</v>
      </c>
      <c r="O140">
        <v>0</v>
      </c>
      <c r="P140">
        <v>0</v>
      </c>
      <c r="Q140">
        <v>11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-200</v>
      </c>
      <c r="Y140">
        <v>2</v>
      </c>
      <c r="Z140">
        <v>-200</v>
      </c>
      <c r="AA140">
        <v>2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20640</v>
      </c>
      <c r="AL140" t="str">
        <f t="shared" si="36"/>
        <v>0000000000000</v>
      </c>
      <c r="AN140" t="str">
        <f t="shared" si="37"/>
        <v>9791190142359</v>
      </c>
      <c r="AP140" t="str">
        <f t="shared" si="38"/>
        <v>BL 웹소설 &gt; 현대물</v>
      </c>
      <c r="AQ140" t="str">
        <f t="shared" si="39"/>
        <v>BL 웹소설 &gt; 판타지물</v>
      </c>
    </row>
    <row r="141" spans="1:43" x14ac:dyDescent="0.4">
      <c r="A141" t="s">
        <v>43</v>
      </c>
      <c r="B141">
        <v>3822000323</v>
      </c>
      <c r="C141">
        <v>3822000899</v>
      </c>
      <c r="D141" t="str">
        <f>T("[연재]네크로맨서 생존기 128화")</f>
        <v>[연재]네크로맨서 생존기 128화</v>
      </c>
      <c r="E141" t="str">
        <f>T("128")</f>
        <v>128</v>
      </c>
      <c r="F141" t="str">
        <f t="shared" si="34"/>
        <v>키마님</v>
      </c>
      <c r="I141" t="str">
        <f t="shared" si="33"/>
        <v>딥블렌드</v>
      </c>
      <c r="J141" t="str">
        <f t="shared" si="35"/>
        <v>[연재]네크로맨서 생존기</v>
      </c>
      <c r="K141">
        <v>100</v>
      </c>
      <c r="L141">
        <v>34600</v>
      </c>
      <c r="M141">
        <v>346</v>
      </c>
      <c r="N141">
        <v>0</v>
      </c>
      <c r="O141">
        <v>0</v>
      </c>
      <c r="P141">
        <v>0</v>
      </c>
      <c r="Q141">
        <v>7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-100</v>
      </c>
      <c r="Y141">
        <v>1</v>
      </c>
      <c r="Z141">
        <v>-100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20700</v>
      </c>
      <c r="AL141" t="str">
        <f t="shared" si="36"/>
        <v>0000000000000</v>
      </c>
      <c r="AN141" t="str">
        <f t="shared" si="37"/>
        <v>9791190142359</v>
      </c>
      <c r="AP141" t="str">
        <f t="shared" si="38"/>
        <v>BL 웹소설 &gt; 현대물</v>
      </c>
      <c r="AQ141" t="str">
        <f t="shared" si="39"/>
        <v>BL 웹소설 &gt; 판타지물</v>
      </c>
    </row>
    <row r="142" spans="1:43" x14ac:dyDescent="0.4">
      <c r="A142" t="s">
        <v>43</v>
      </c>
      <c r="B142">
        <v>3822000323</v>
      </c>
      <c r="C142">
        <v>3822000379</v>
      </c>
      <c r="D142" t="str">
        <f>T("[연재]네크로맨서 생존기 46화")</f>
        <v>[연재]네크로맨서 생존기 46화</v>
      </c>
      <c r="E142" t="str">
        <f>T("46")</f>
        <v>46</v>
      </c>
      <c r="F142" t="str">
        <f t="shared" si="34"/>
        <v>키마님</v>
      </c>
      <c r="I142" t="str">
        <f t="shared" si="33"/>
        <v>딥블렌드</v>
      </c>
      <c r="J142" t="str">
        <f t="shared" si="35"/>
        <v>[연재]네크로맨서 생존기</v>
      </c>
      <c r="K142">
        <v>100</v>
      </c>
      <c r="L142">
        <v>34600</v>
      </c>
      <c r="M142">
        <v>346</v>
      </c>
      <c r="N142">
        <v>0</v>
      </c>
      <c r="O142">
        <v>0</v>
      </c>
      <c r="P142">
        <v>0</v>
      </c>
      <c r="Q142">
        <v>9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-200</v>
      </c>
      <c r="Y142">
        <v>2</v>
      </c>
      <c r="Z142">
        <v>-200</v>
      </c>
      <c r="AA142">
        <v>2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20640</v>
      </c>
      <c r="AL142" t="str">
        <f t="shared" si="36"/>
        <v>0000000000000</v>
      </c>
      <c r="AN142" t="str">
        <f t="shared" si="37"/>
        <v>9791190142359</v>
      </c>
      <c r="AP142" t="str">
        <f t="shared" si="38"/>
        <v>BL 웹소설 &gt; 현대물</v>
      </c>
      <c r="AQ142" t="str">
        <f t="shared" si="39"/>
        <v>BL 웹소설 &gt; 판타지물</v>
      </c>
    </row>
    <row r="143" spans="1:43" x14ac:dyDescent="0.4">
      <c r="A143" t="s">
        <v>43</v>
      </c>
      <c r="B143">
        <v>3822000323</v>
      </c>
      <c r="C143">
        <v>3822000366</v>
      </c>
      <c r="D143" t="str">
        <f>T("[연재]네크로맨서 생존기 38화")</f>
        <v>[연재]네크로맨서 생존기 38화</v>
      </c>
      <c r="E143" t="str">
        <f>T("38")</f>
        <v>38</v>
      </c>
      <c r="F143" t="str">
        <f t="shared" si="34"/>
        <v>키마님</v>
      </c>
      <c r="I143" t="str">
        <f t="shared" si="33"/>
        <v>딥블렌드</v>
      </c>
      <c r="J143" t="str">
        <f t="shared" si="35"/>
        <v>[연재]네크로맨서 생존기</v>
      </c>
      <c r="K143">
        <v>100</v>
      </c>
      <c r="L143">
        <v>34600</v>
      </c>
      <c r="M143">
        <v>346</v>
      </c>
      <c r="N143">
        <v>0</v>
      </c>
      <c r="O143">
        <v>0</v>
      </c>
      <c r="P143">
        <v>0</v>
      </c>
      <c r="Q143">
        <v>8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-200</v>
      </c>
      <c r="Y143">
        <v>3</v>
      </c>
      <c r="Z143">
        <v>-200</v>
      </c>
      <c r="AA143">
        <v>2</v>
      </c>
      <c r="AB143">
        <v>0</v>
      </c>
      <c r="AC143">
        <v>1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20640</v>
      </c>
      <c r="AL143" t="str">
        <f t="shared" si="36"/>
        <v>0000000000000</v>
      </c>
      <c r="AN143" t="str">
        <f t="shared" si="37"/>
        <v>9791190142359</v>
      </c>
      <c r="AP143" t="str">
        <f t="shared" si="38"/>
        <v>BL 웹소설 &gt; 현대물</v>
      </c>
      <c r="AQ143" t="str">
        <f t="shared" si="39"/>
        <v>BL 웹소설 &gt; 판타지물</v>
      </c>
    </row>
    <row r="144" spans="1:43" x14ac:dyDescent="0.4">
      <c r="A144" t="s">
        <v>43</v>
      </c>
      <c r="B144">
        <v>3822000323</v>
      </c>
      <c r="C144">
        <v>3822000352</v>
      </c>
      <c r="D144" t="str">
        <f>T("[연재]네크로맨서 생존기 28화")</f>
        <v>[연재]네크로맨서 생존기 28화</v>
      </c>
      <c r="E144" t="str">
        <f>T("28")</f>
        <v>28</v>
      </c>
      <c r="F144" t="str">
        <f t="shared" si="34"/>
        <v>키마님</v>
      </c>
      <c r="I144" t="str">
        <f t="shared" ref="I144:I152" si="40">T("딥블렌드")</f>
        <v>딥블렌드</v>
      </c>
      <c r="J144" t="str">
        <f t="shared" si="35"/>
        <v>[연재]네크로맨서 생존기</v>
      </c>
      <c r="K144">
        <v>100</v>
      </c>
      <c r="L144">
        <v>34600</v>
      </c>
      <c r="M144">
        <v>346</v>
      </c>
      <c r="N144">
        <v>0</v>
      </c>
      <c r="O144">
        <v>0</v>
      </c>
      <c r="P144">
        <v>0</v>
      </c>
      <c r="Q144">
        <v>11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-200</v>
      </c>
      <c r="Y144">
        <v>2</v>
      </c>
      <c r="Z144">
        <v>-200</v>
      </c>
      <c r="AA144">
        <v>2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20640</v>
      </c>
      <c r="AL144" t="str">
        <f t="shared" si="36"/>
        <v>0000000000000</v>
      </c>
      <c r="AN144" t="str">
        <f t="shared" si="37"/>
        <v>9791190142359</v>
      </c>
      <c r="AP144" t="str">
        <f t="shared" si="38"/>
        <v>BL 웹소설 &gt; 현대물</v>
      </c>
      <c r="AQ144" t="str">
        <f t="shared" si="39"/>
        <v>BL 웹소설 &gt; 판타지물</v>
      </c>
    </row>
    <row r="145" spans="1:43" x14ac:dyDescent="0.4">
      <c r="A145" t="s">
        <v>43</v>
      </c>
      <c r="B145">
        <v>3822000323</v>
      </c>
      <c r="C145">
        <v>3822000357</v>
      </c>
      <c r="D145" t="str">
        <f>T("[연재]네크로맨서 생존기 30화")</f>
        <v>[연재]네크로맨서 생존기 30화</v>
      </c>
      <c r="E145" t="str">
        <f>T("30")</f>
        <v>30</v>
      </c>
      <c r="F145" t="str">
        <f t="shared" si="34"/>
        <v>키마님</v>
      </c>
      <c r="I145" t="str">
        <f t="shared" si="40"/>
        <v>딥블렌드</v>
      </c>
      <c r="J145" t="str">
        <f t="shared" si="35"/>
        <v>[연재]네크로맨서 생존기</v>
      </c>
      <c r="K145">
        <v>100</v>
      </c>
      <c r="L145">
        <v>34500</v>
      </c>
      <c r="M145">
        <v>345</v>
      </c>
      <c r="N145">
        <v>0</v>
      </c>
      <c r="O145">
        <v>0</v>
      </c>
      <c r="P145">
        <v>0</v>
      </c>
      <c r="Q145">
        <v>7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-200</v>
      </c>
      <c r="Y145">
        <v>2</v>
      </c>
      <c r="Z145">
        <v>-200</v>
      </c>
      <c r="AA145">
        <v>2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20580</v>
      </c>
      <c r="AL145" t="str">
        <f t="shared" si="36"/>
        <v>0000000000000</v>
      </c>
      <c r="AN145" t="str">
        <f t="shared" si="37"/>
        <v>9791190142359</v>
      </c>
      <c r="AP145" t="str">
        <f t="shared" si="38"/>
        <v>BL 웹소설 &gt; 현대물</v>
      </c>
      <c r="AQ145" t="str">
        <f t="shared" si="39"/>
        <v>BL 웹소설 &gt; 판타지물</v>
      </c>
    </row>
    <row r="146" spans="1:43" x14ac:dyDescent="0.4">
      <c r="A146" t="s">
        <v>43</v>
      </c>
      <c r="B146">
        <v>3822000323</v>
      </c>
      <c r="C146">
        <v>3822000890</v>
      </c>
      <c r="D146" t="str">
        <f>T("[연재]네크로맨서 생존기 126화")</f>
        <v>[연재]네크로맨서 생존기 126화</v>
      </c>
      <c r="E146" t="str">
        <f>T("126")</f>
        <v>126</v>
      </c>
      <c r="F146" t="str">
        <f t="shared" si="34"/>
        <v>키마님</v>
      </c>
      <c r="I146" t="str">
        <f t="shared" si="40"/>
        <v>딥블렌드</v>
      </c>
      <c r="J146" t="str">
        <f t="shared" si="35"/>
        <v>[연재]네크로맨서 생존기</v>
      </c>
      <c r="K146">
        <v>100</v>
      </c>
      <c r="L146">
        <v>34500</v>
      </c>
      <c r="M146">
        <v>345</v>
      </c>
      <c r="N146">
        <v>0</v>
      </c>
      <c r="O146">
        <v>0</v>
      </c>
      <c r="P146">
        <v>0</v>
      </c>
      <c r="Q146">
        <v>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-100</v>
      </c>
      <c r="Y146">
        <v>1</v>
      </c>
      <c r="Z146">
        <v>-100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20640</v>
      </c>
      <c r="AL146" t="str">
        <f t="shared" si="36"/>
        <v>0000000000000</v>
      </c>
      <c r="AN146" t="str">
        <f t="shared" si="37"/>
        <v>9791190142359</v>
      </c>
      <c r="AP146" t="str">
        <f t="shared" si="38"/>
        <v>BL 웹소설 &gt; 현대물</v>
      </c>
      <c r="AQ146" t="str">
        <f t="shared" si="39"/>
        <v>BL 웹소설 &gt; 판타지물</v>
      </c>
    </row>
    <row r="147" spans="1:43" x14ac:dyDescent="0.4">
      <c r="A147" t="s">
        <v>43</v>
      </c>
      <c r="B147">
        <v>3822000323</v>
      </c>
      <c r="C147">
        <v>3822000358</v>
      </c>
      <c r="D147" t="str">
        <f>T("[연재]네크로맨서 생존기 31화")</f>
        <v>[연재]네크로맨서 생존기 31화</v>
      </c>
      <c r="E147" t="str">
        <f>T("31")</f>
        <v>31</v>
      </c>
      <c r="F147" t="str">
        <f t="shared" si="34"/>
        <v>키마님</v>
      </c>
      <c r="I147" t="str">
        <f t="shared" si="40"/>
        <v>딥블렌드</v>
      </c>
      <c r="J147" t="str">
        <f t="shared" si="35"/>
        <v>[연재]네크로맨서 생존기</v>
      </c>
      <c r="K147">
        <v>100</v>
      </c>
      <c r="L147">
        <v>34500</v>
      </c>
      <c r="M147">
        <v>345</v>
      </c>
      <c r="N147">
        <v>0</v>
      </c>
      <c r="O147">
        <v>0</v>
      </c>
      <c r="P147">
        <v>0</v>
      </c>
      <c r="Q147">
        <v>5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-200</v>
      </c>
      <c r="Y147">
        <v>2</v>
      </c>
      <c r="Z147">
        <v>-200</v>
      </c>
      <c r="AA147">
        <v>2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20580</v>
      </c>
      <c r="AL147" t="str">
        <f t="shared" si="36"/>
        <v>0000000000000</v>
      </c>
      <c r="AN147" t="str">
        <f t="shared" si="37"/>
        <v>9791190142359</v>
      </c>
      <c r="AP147" t="str">
        <f t="shared" si="38"/>
        <v>BL 웹소설 &gt; 현대물</v>
      </c>
      <c r="AQ147" t="str">
        <f t="shared" si="39"/>
        <v>BL 웹소설 &gt; 판타지물</v>
      </c>
    </row>
    <row r="148" spans="1:43" x14ac:dyDescent="0.4">
      <c r="A148" t="s">
        <v>43</v>
      </c>
      <c r="B148">
        <v>3822000323</v>
      </c>
      <c r="C148">
        <v>3822000892</v>
      </c>
      <c r="D148" t="str">
        <f>T("[연재]네크로맨서 생존기 127화")</f>
        <v>[연재]네크로맨서 생존기 127화</v>
      </c>
      <c r="E148" t="str">
        <f>T("127")</f>
        <v>127</v>
      </c>
      <c r="F148" t="str">
        <f t="shared" si="34"/>
        <v>키마님</v>
      </c>
      <c r="I148" t="str">
        <f t="shared" si="40"/>
        <v>딥블렌드</v>
      </c>
      <c r="J148" t="str">
        <f t="shared" si="35"/>
        <v>[연재]네크로맨서 생존기</v>
      </c>
      <c r="K148">
        <v>100</v>
      </c>
      <c r="L148">
        <v>34500</v>
      </c>
      <c r="M148">
        <v>345</v>
      </c>
      <c r="N148">
        <v>0</v>
      </c>
      <c r="O148">
        <v>0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-100</v>
      </c>
      <c r="Y148">
        <v>1</v>
      </c>
      <c r="Z148">
        <v>-100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20640</v>
      </c>
      <c r="AL148" t="str">
        <f t="shared" si="36"/>
        <v>0000000000000</v>
      </c>
      <c r="AN148" t="str">
        <f t="shared" si="37"/>
        <v>9791190142359</v>
      </c>
      <c r="AP148" t="str">
        <f t="shared" si="38"/>
        <v>BL 웹소설 &gt; 현대물</v>
      </c>
      <c r="AQ148" t="str">
        <f t="shared" si="39"/>
        <v>BL 웹소설 &gt; 판타지물</v>
      </c>
    </row>
    <row r="149" spans="1:43" x14ac:dyDescent="0.4">
      <c r="A149" t="s">
        <v>43</v>
      </c>
      <c r="B149">
        <v>3822000323</v>
      </c>
      <c r="C149">
        <v>3822000349</v>
      </c>
      <c r="D149" t="str">
        <f>T("[연재]네크로맨서 생존기 26화")</f>
        <v>[연재]네크로맨서 생존기 26화</v>
      </c>
      <c r="E149" t="str">
        <f>T("26")</f>
        <v>26</v>
      </c>
      <c r="F149" t="str">
        <f t="shared" si="34"/>
        <v>키마님</v>
      </c>
      <c r="I149" t="str">
        <f t="shared" si="40"/>
        <v>딥블렌드</v>
      </c>
      <c r="J149" t="str">
        <f t="shared" si="35"/>
        <v>[연재]네크로맨서 생존기</v>
      </c>
      <c r="K149">
        <v>100</v>
      </c>
      <c r="L149">
        <v>34500</v>
      </c>
      <c r="M149">
        <v>345</v>
      </c>
      <c r="N149">
        <v>0</v>
      </c>
      <c r="O149">
        <v>0</v>
      </c>
      <c r="P149">
        <v>0</v>
      </c>
      <c r="Q149">
        <v>7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-200</v>
      </c>
      <c r="Y149">
        <v>2</v>
      </c>
      <c r="Z149">
        <v>-200</v>
      </c>
      <c r="AA149">
        <v>2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20580</v>
      </c>
      <c r="AL149" t="str">
        <f t="shared" si="36"/>
        <v>0000000000000</v>
      </c>
      <c r="AN149" t="str">
        <f t="shared" si="37"/>
        <v>9791190142359</v>
      </c>
      <c r="AP149" t="str">
        <f t="shared" si="38"/>
        <v>BL 웹소설 &gt; 현대물</v>
      </c>
      <c r="AQ149" t="str">
        <f t="shared" si="39"/>
        <v>BL 웹소설 &gt; 판타지물</v>
      </c>
    </row>
    <row r="150" spans="1:43" x14ac:dyDescent="0.4">
      <c r="A150" t="s">
        <v>43</v>
      </c>
      <c r="B150">
        <v>3822000323</v>
      </c>
      <c r="C150">
        <v>3822000395</v>
      </c>
      <c r="D150" t="str">
        <f>T("[연재]네크로맨서 생존기 50화")</f>
        <v>[연재]네크로맨서 생존기 50화</v>
      </c>
      <c r="E150" t="str">
        <f>T("50")</f>
        <v>50</v>
      </c>
      <c r="F150" t="str">
        <f t="shared" si="34"/>
        <v>키마님</v>
      </c>
      <c r="I150" t="str">
        <f t="shared" si="40"/>
        <v>딥블렌드</v>
      </c>
      <c r="J150" t="str">
        <f t="shared" si="35"/>
        <v>[연재]네크로맨서 생존기</v>
      </c>
      <c r="K150">
        <v>100</v>
      </c>
      <c r="L150">
        <v>34400</v>
      </c>
      <c r="M150">
        <v>344</v>
      </c>
      <c r="N150">
        <v>0</v>
      </c>
      <c r="O150">
        <v>0</v>
      </c>
      <c r="P150">
        <v>0</v>
      </c>
      <c r="Q150">
        <v>10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-100</v>
      </c>
      <c r="Y150">
        <v>1</v>
      </c>
      <c r="Z150">
        <v>-100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20580</v>
      </c>
      <c r="AL150" t="str">
        <f t="shared" si="36"/>
        <v>0000000000000</v>
      </c>
      <c r="AN150" t="str">
        <f t="shared" si="37"/>
        <v>9791190142359</v>
      </c>
      <c r="AP150" t="str">
        <f t="shared" si="38"/>
        <v>BL 웹소설 &gt; 현대물</v>
      </c>
      <c r="AQ150" t="str">
        <f t="shared" si="39"/>
        <v>BL 웹소설 &gt; 판타지물</v>
      </c>
    </row>
    <row r="151" spans="1:43" x14ac:dyDescent="0.4">
      <c r="A151" t="s">
        <v>43</v>
      </c>
      <c r="B151">
        <v>3822000323</v>
      </c>
      <c r="C151">
        <v>3822000419</v>
      </c>
      <c r="D151" t="str">
        <f>T("[연재]네크로맨서 생존기 61화")</f>
        <v>[연재]네크로맨서 생존기 61화</v>
      </c>
      <c r="E151" t="str">
        <f>T("61")</f>
        <v>61</v>
      </c>
      <c r="F151" t="str">
        <f t="shared" si="34"/>
        <v>키마님</v>
      </c>
      <c r="I151" t="str">
        <f t="shared" si="40"/>
        <v>딥블렌드</v>
      </c>
      <c r="J151" t="str">
        <f t="shared" si="35"/>
        <v>[연재]네크로맨서 생존기</v>
      </c>
      <c r="K151">
        <v>100</v>
      </c>
      <c r="L151">
        <v>34400</v>
      </c>
      <c r="M151">
        <v>344</v>
      </c>
      <c r="N151">
        <v>0</v>
      </c>
      <c r="O151">
        <v>0</v>
      </c>
      <c r="P151">
        <v>0</v>
      </c>
      <c r="Q151">
        <v>7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20640</v>
      </c>
      <c r="AL151" t="str">
        <f t="shared" si="36"/>
        <v>0000000000000</v>
      </c>
      <c r="AN151" t="str">
        <f t="shared" si="37"/>
        <v>9791190142359</v>
      </c>
      <c r="AP151" t="str">
        <f t="shared" si="38"/>
        <v>BL 웹소설 &gt; 현대물</v>
      </c>
      <c r="AQ151" t="str">
        <f t="shared" si="39"/>
        <v>BL 웹소설 &gt; 판타지물</v>
      </c>
    </row>
    <row r="152" spans="1:43" x14ac:dyDescent="0.4">
      <c r="A152" t="s">
        <v>43</v>
      </c>
      <c r="B152">
        <v>3822000323</v>
      </c>
      <c r="C152">
        <v>3822000854</v>
      </c>
      <c r="D152" t="str">
        <f>T("[연재]네크로맨서 생존기 120화")</f>
        <v>[연재]네크로맨서 생존기 120화</v>
      </c>
      <c r="E152" t="str">
        <f>T("120")</f>
        <v>120</v>
      </c>
      <c r="F152" t="str">
        <f t="shared" si="34"/>
        <v>키마님</v>
      </c>
      <c r="I152" t="str">
        <f t="shared" si="40"/>
        <v>딥블렌드</v>
      </c>
      <c r="J152" t="str">
        <f t="shared" si="35"/>
        <v>[연재]네크로맨서 생존기</v>
      </c>
      <c r="K152">
        <v>100</v>
      </c>
      <c r="L152">
        <v>34400</v>
      </c>
      <c r="M152">
        <v>344</v>
      </c>
      <c r="N152">
        <v>0</v>
      </c>
      <c r="O152">
        <v>0</v>
      </c>
      <c r="P152">
        <v>0</v>
      </c>
      <c r="Q152">
        <v>4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-100</v>
      </c>
      <c r="Y152">
        <v>1</v>
      </c>
      <c r="Z152">
        <v>-100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20580</v>
      </c>
      <c r="AL152" t="str">
        <f t="shared" si="36"/>
        <v>0000000000000</v>
      </c>
      <c r="AN152" t="str">
        <f t="shared" si="37"/>
        <v>9791190142359</v>
      </c>
      <c r="AP152" t="str">
        <f t="shared" si="38"/>
        <v>BL 웹소설 &gt; 현대물</v>
      </c>
      <c r="AQ152" t="str">
        <f t="shared" si="39"/>
        <v>BL 웹소설 &gt; 판타지물</v>
      </c>
    </row>
    <row r="153" spans="1:43" x14ac:dyDescent="0.4">
      <c r="A153" t="s">
        <v>43</v>
      </c>
      <c r="C153">
        <v>3822001041</v>
      </c>
      <c r="D153" t="str">
        <f>T("양 같은 늑대 (외전증보판)")</f>
        <v>양 같은 늑대 (외전증보판)</v>
      </c>
      <c r="F153" t="str">
        <f>T("서소요")</f>
        <v>서소요</v>
      </c>
      <c r="I153" t="str">
        <f>T("비포선셋")</f>
        <v>비포선셋</v>
      </c>
      <c r="K153">
        <v>4300</v>
      </c>
      <c r="L153">
        <v>34400</v>
      </c>
      <c r="M153">
        <v>8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24080</v>
      </c>
      <c r="AN153" t="str">
        <f>T("9791190142977")</f>
        <v>9791190142977</v>
      </c>
      <c r="AP153" t="str">
        <f>T("로맨스 e북 &gt; 현대물")</f>
        <v>로맨스 e북 &gt; 현대물</v>
      </c>
    </row>
    <row r="154" spans="1:43" x14ac:dyDescent="0.4">
      <c r="A154" t="s">
        <v>43</v>
      </c>
      <c r="B154">
        <v>3822000323</v>
      </c>
      <c r="C154">
        <v>3822000340</v>
      </c>
      <c r="D154" t="str">
        <f>T("[연재]네크로맨서 생존기 17화")</f>
        <v>[연재]네크로맨서 생존기 17화</v>
      </c>
      <c r="E154" t="str">
        <f>T("17")</f>
        <v>17</v>
      </c>
      <c r="F154" t="str">
        <f t="shared" ref="F154:F198" si="41">T("키마님")</f>
        <v>키마님</v>
      </c>
      <c r="I154" t="str">
        <f t="shared" ref="I154:I198" si="42">T("딥블렌드")</f>
        <v>딥블렌드</v>
      </c>
      <c r="J154" t="str">
        <f t="shared" ref="J154:J198" si="43">T("[연재]네크로맨서 생존기")</f>
        <v>[연재]네크로맨서 생존기</v>
      </c>
      <c r="K154">
        <v>100</v>
      </c>
      <c r="L154">
        <v>34300</v>
      </c>
      <c r="M154">
        <v>343</v>
      </c>
      <c r="N154">
        <v>0</v>
      </c>
      <c r="O154">
        <v>0</v>
      </c>
      <c r="P154">
        <v>0</v>
      </c>
      <c r="Q154">
        <v>30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-300</v>
      </c>
      <c r="Y154">
        <v>3</v>
      </c>
      <c r="Z154">
        <v>-300</v>
      </c>
      <c r="AA154">
        <v>3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20400</v>
      </c>
      <c r="AL154" t="str">
        <f t="shared" ref="AL154:AL185" si="44">T("0000000000000")</f>
        <v>0000000000000</v>
      </c>
      <c r="AN154" t="str">
        <f t="shared" ref="AN154:AN198" si="45">T("9791190142359")</f>
        <v>9791190142359</v>
      </c>
      <c r="AP154" t="str">
        <f t="shared" ref="AP154:AP198" si="46">T("BL 웹소설 &gt; 현대물")</f>
        <v>BL 웹소설 &gt; 현대물</v>
      </c>
      <c r="AQ154" t="str">
        <f t="shared" ref="AQ154:AQ198" si="47">T("BL 웹소설 &gt; 판타지물")</f>
        <v>BL 웹소설 &gt; 판타지물</v>
      </c>
    </row>
    <row r="155" spans="1:43" x14ac:dyDescent="0.4">
      <c r="A155" t="s">
        <v>43</v>
      </c>
      <c r="B155">
        <v>3822000323</v>
      </c>
      <c r="C155">
        <v>3822000383</v>
      </c>
      <c r="D155" t="str">
        <f>T("[연재]네크로맨서 생존기 48화")</f>
        <v>[연재]네크로맨서 생존기 48화</v>
      </c>
      <c r="E155" t="str">
        <f>T("48")</f>
        <v>48</v>
      </c>
      <c r="F155" t="str">
        <f t="shared" si="41"/>
        <v>키마님</v>
      </c>
      <c r="I155" t="str">
        <f t="shared" si="42"/>
        <v>딥블렌드</v>
      </c>
      <c r="J155" t="str">
        <f t="shared" si="43"/>
        <v>[연재]네크로맨서 생존기</v>
      </c>
      <c r="K155">
        <v>100</v>
      </c>
      <c r="L155">
        <v>34300</v>
      </c>
      <c r="M155">
        <v>343</v>
      </c>
      <c r="N155">
        <v>0</v>
      </c>
      <c r="O155">
        <v>0</v>
      </c>
      <c r="P155">
        <v>0</v>
      </c>
      <c r="Q155">
        <v>10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-200</v>
      </c>
      <c r="Y155">
        <v>3</v>
      </c>
      <c r="Z155">
        <v>-200</v>
      </c>
      <c r="AA155">
        <v>2</v>
      </c>
      <c r="AB155">
        <v>0</v>
      </c>
      <c r="AC155">
        <v>1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20460</v>
      </c>
      <c r="AL155" t="str">
        <f t="shared" si="44"/>
        <v>0000000000000</v>
      </c>
      <c r="AN155" t="str">
        <f t="shared" si="45"/>
        <v>9791190142359</v>
      </c>
      <c r="AP155" t="str">
        <f t="shared" si="46"/>
        <v>BL 웹소설 &gt; 현대물</v>
      </c>
      <c r="AQ155" t="str">
        <f t="shared" si="47"/>
        <v>BL 웹소설 &gt; 판타지물</v>
      </c>
    </row>
    <row r="156" spans="1:43" x14ac:dyDescent="0.4">
      <c r="A156" t="s">
        <v>43</v>
      </c>
      <c r="B156">
        <v>3822000323</v>
      </c>
      <c r="C156">
        <v>3822000360</v>
      </c>
      <c r="D156" t="str">
        <f>T("[연재]네크로맨서 생존기 33화")</f>
        <v>[연재]네크로맨서 생존기 33화</v>
      </c>
      <c r="E156" t="str">
        <f>T("33")</f>
        <v>33</v>
      </c>
      <c r="F156" t="str">
        <f t="shared" si="41"/>
        <v>키마님</v>
      </c>
      <c r="I156" t="str">
        <f t="shared" si="42"/>
        <v>딥블렌드</v>
      </c>
      <c r="J156" t="str">
        <f t="shared" si="43"/>
        <v>[연재]네크로맨서 생존기</v>
      </c>
      <c r="K156">
        <v>100</v>
      </c>
      <c r="L156">
        <v>34300</v>
      </c>
      <c r="M156">
        <v>343</v>
      </c>
      <c r="N156">
        <v>0</v>
      </c>
      <c r="O156">
        <v>0</v>
      </c>
      <c r="P156">
        <v>0</v>
      </c>
      <c r="Q156">
        <v>8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-200</v>
      </c>
      <c r="Y156">
        <v>2</v>
      </c>
      <c r="Z156">
        <v>-200</v>
      </c>
      <c r="AA156">
        <v>2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20460</v>
      </c>
      <c r="AL156" t="str">
        <f t="shared" si="44"/>
        <v>0000000000000</v>
      </c>
      <c r="AN156" t="str">
        <f t="shared" si="45"/>
        <v>9791190142359</v>
      </c>
      <c r="AP156" t="str">
        <f t="shared" si="46"/>
        <v>BL 웹소설 &gt; 현대물</v>
      </c>
      <c r="AQ156" t="str">
        <f t="shared" si="47"/>
        <v>BL 웹소설 &gt; 판타지물</v>
      </c>
    </row>
    <row r="157" spans="1:43" x14ac:dyDescent="0.4">
      <c r="A157" t="s">
        <v>43</v>
      </c>
      <c r="B157">
        <v>3822000323</v>
      </c>
      <c r="C157">
        <v>3822000365</v>
      </c>
      <c r="D157" t="str">
        <f>T("[연재]네크로맨서 생존기 37화")</f>
        <v>[연재]네크로맨서 생존기 37화</v>
      </c>
      <c r="E157" t="str">
        <f>T("37")</f>
        <v>37</v>
      </c>
      <c r="F157" t="str">
        <f t="shared" si="41"/>
        <v>키마님</v>
      </c>
      <c r="I157" t="str">
        <f t="shared" si="42"/>
        <v>딥블렌드</v>
      </c>
      <c r="J157" t="str">
        <f t="shared" si="43"/>
        <v>[연재]네크로맨서 생존기</v>
      </c>
      <c r="K157">
        <v>100</v>
      </c>
      <c r="L157">
        <v>34300</v>
      </c>
      <c r="M157">
        <v>343</v>
      </c>
      <c r="N157">
        <v>0</v>
      </c>
      <c r="O157">
        <v>0</v>
      </c>
      <c r="P157">
        <v>0</v>
      </c>
      <c r="Q157">
        <v>9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-200</v>
      </c>
      <c r="Y157">
        <v>2</v>
      </c>
      <c r="Z157">
        <v>-200</v>
      </c>
      <c r="AA157">
        <v>2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20460</v>
      </c>
      <c r="AL157" t="str">
        <f t="shared" si="44"/>
        <v>0000000000000</v>
      </c>
      <c r="AN157" t="str">
        <f t="shared" si="45"/>
        <v>9791190142359</v>
      </c>
      <c r="AP157" t="str">
        <f t="shared" si="46"/>
        <v>BL 웹소설 &gt; 현대물</v>
      </c>
      <c r="AQ157" t="str">
        <f t="shared" si="47"/>
        <v>BL 웹소설 &gt; 판타지물</v>
      </c>
    </row>
    <row r="158" spans="1:43" x14ac:dyDescent="0.4">
      <c r="A158" t="s">
        <v>43</v>
      </c>
      <c r="B158">
        <v>3822000323</v>
      </c>
      <c r="C158">
        <v>3822000415</v>
      </c>
      <c r="D158" t="str">
        <f>T("[연재]네크로맨서 생존기 59화")</f>
        <v>[연재]네크로맨서 생존기 59화</v>
      </c>
      <c r="E158" t="str">
        <f>T("59")</f>
        <v>59</v>
      </c>
      <c r="F158" t="str">
        <f t="shared" si="41"/>
        <v>키마님</v>
      </c>
      <c r="I158" t="str">
        <f t="shared" si="42"/>
        <v>딥블렌드</v>
      </c>
      <c r="J158" t="str">
        <f t="shared" si="43"/>
        <v>[연재]네크로맨서 생존기</v>
      </c>
      <c r="K158">
        <v>100</v>
      </c>
      <c r="L158">
        <v>34200</v>
      </c>
      <c r="M158">
        <v>342</v>
      </c>
      <c r="N158">
        <v>0</v>
      </c>
      <c r="O158">
        <v>0</v>
      </c>
      <c r="P158">
        <v>0</v>
      </c>
      <c r="Q158">
        <v>8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-100</v>
      </c>
      <c r="Y158">
        <v>1</v>
      </c>
      <c r="Z158">
        <v>-100</v>
      </c>
      <c r="AA158">
        <v>1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20460</v>
      </c>
      <c r="AL158" t="str">
        <f t="shared" si="44"/>
        <v>0000000000000</v>
      </c>
      <c r="AN158" t="str">
        <f t="shared" si="45"/>
        <v>9791190142359</v>
      </c>
      <c r="AP158" t="str">
        <f t="shared" si="46"/>
        <v>BL 웹소설 &gt; 현대물</v>
      </c>
      <c r="AQ158" t="str">
        <f t="shared" si="47"/>
        <v>BL 웹소설 &gt; 판타지물</v>
      </c>
    </row>
    <row r="159" spans="1:43" x14ac:dyDescent="0.4">
      <c r="A159" t="s">
        <v>43</v>
      </c>
      <c r="B159">
        <v>3822000323</v>
      </c>
      <c r="C159">
        <v>3822000359</v>
      </c>
      <c r="D159" t="str">
        <f>T("[연재]네크로맨서 생존기 32화")</f>
        <v>[연재]네크로맨서 생존기 32화</v>
      </c>
      <c r="E159" t="str">
        <f>T("32")</f>
        <v>32</v>
      </c>
      <c r="F159" t="str">
        <f t="shared" si="41"/>
        <v>키마님</v>
      </c>
      <c r="I159" t="str">
        <f t="shared" si="42"/>
        <v>딥블렌드</v>
      </c>
      <c r="J159" t="str">
        <f t="shared" si="43"/>
        <v>[연재]네크로맨서 생존기</v>
      </c>
      <c r="K159">
        <v>100</v>
      </c>
      <c r="L159">
        <v>34200</v>
      </c>
      <c r="M159">
        <v>342</v>
      </c>
      <c r="N159">
        <v>0</v>
      </c>
      <c r="O159">
        <v>0</v>
      </c>
      <c r="P159">
        <v>0</v>
      </c>
      <c r="Q159">
        <v>5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-200</v>
      </c>
      <c r="Y159">
        <v>2</v>
      </c>
      <c r="Z159">
        <v>-200</v>
      </c>
      <c r="AA159">
        <v>2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20400</v>
      </c>
      <c r="AL159" t="str">
        <f t="shared" si="44"/>
        <v>0000000000000</v>
      </c>
      <c r="AN159" t="str">
        <f t="shared" si="45"/>
        <v>9791190142359</v>
      </c>
      <c r="AP159" t="str">
        <f t="shared" si="46"/>
        <v>BL 웹소설 &gt; 현대물</v>
      </c>
      <c r="AQ159" t="str">
        <f t="shared" si="47"/>
        <v>BL 웹소설 &gt; 판타지물</v>
      </c>
    </row>
    <row r="160" spans="1:43" x14ac:dyDescent="0.4">
      <c r="A160" t="s">
        <v>43</v>
      </c>
      <c r="B160">
        <v>3822000323</v>
      </c>
      <c r="C160">
        <v>3822000882</v>
      </c>
      <c r="D160" t="str">
        <f>T("[연재]네크로맨서 생존기 123화")</f>
        <v>[연재]네크로맨서 생존기 123화</v>
      </c>
      <c r="E160" t="str">
        <f>T("123")</f>
        <v>123</v>
      </c>
      <c r="F160" t="str">
        <f t="shared" si="41"/>
        <v>키마님</v>
      </c>
      <c r="I160" t="str">
        <f t="shared" si="42"/>
        <v>딥블렌드</v>
      </c>
      <c r="J160" t="str">
        <f t="shared" si="43"/>
        <v>[연재]네크로맨서 생존기</v>
      </c>
      <c r="K160">
        <v>100</v>
      </c>
      <c r="L160">
        <v>34200</v>
      </c>
      <c r="M160">
        <v>342</v>
      </c>
      <c r="N160">
        <v>0</v>
      </c>
      <c r="O160">
        <v>0</v>
      </c>
      <c r="P160">
        <v>0</v>
      </c>
      <c r="Q160">
        <v>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-100</v>
      </c>
      <c r="Y160">
        <v>1</v>
      </c>
      <c r="Z160">
        <v>-100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20460</v>
      </c>
      <c r="AL160" t="str">
        <f t="shared" si="44"/>
        <v>0000000000000</v>
      </c>
      <c r="AN160" t="str">
        <f t="shared" si="45"/>
        <v>9791190142359</v>
      </c>
      <c r="AP160" t="str">
        <f t="shared" si="46"/>
        <v>BL 웹소설 &gt; 현대물</v>
      </c>
      <c r="AQ160" t="str">
        <f t="shared" si="47"/>
        <v>BL 웹소설 &gt; 판타지물</v>
      </c>
    </row>
    <row r="161" spans="1:43" x14ac:dyDescent="0.4">
      <c r="A161" t="s">
        <v>43</v>
      </c>
      <c r="B161">
        <v>3822000323</v>
      </c>
      <c r="C161">
        <v>3822000887</v>
      </c>
      <c r="D161" t="str">
        <f>T("[연재]네크로맨서 생존기 124화")</f>
        <v>[연재]네크로맨서 생존기 124화</v>
      </c>
      <c r="E161" t="str">
        <f>T("124")</f>
        <v>124</v>
      </c>
      <c r="F161" t="str">
        <f t="shared" si="41"/>
        <v>키마님</v>
      </c>
      <c r="I161" t="str">
        <f t="shared" si="42"/>
        <v>딥블렌드</v>
      </c>
      <c r="J161" t="str">
        <f t="shared" si="43"/>
        <v>[연재]네크로맨서 생존기</v>
      </c>
      <c r="K161">
        <v>100</v>
      </c>
      <c r="L161">
        <v>34100</v>
      </c>
      <c r="M161">
        <v>341</v>
      </c>
      <c r="N161">
        <v>0</v>
      </c>
      <c r="O161">
        <v>0</v>
      </c>
      <c r="P161">
        <v>0</v>
      </c>
      <c r="Q161">
        <v>7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-100</v>
      </c>
      <c r="Y161">
        <v>1</v>
      </c>
      <c r="Z161">
        <v>-100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20400</v>
      </c>
      <c r="AL161" t="str">
        <f t="shared" si="44"/>
        <v>0000000000000</v>
      </c>
      <c r="AN161" t="str">
        <f t="shared" si="45"/>
        <v>9791190142359</v>
      </c>
      <c r="AP161" t="str">
        <f t="shared" si="46"/>
        <v>BL 웹소설 &gt; 현대물</v>
      </c>
      <c r="AQ161" t="str">
        <f t="shared" si="47"/>
        <v>BL 웹소설 &gt; 판타지물</v>
      </c>
    </row>
    <row r="162" spans="1:43" x14ac:dyDescent="0.4">
      <c r="A162" t="s">
        <v>43</v>
      </c>
      <c r="B162">
        <v>3822000323</v>
      </c>
      <c r="C162">
        <v>3822000341</v>
      </c>
      <c r="D162" t="str">
        <f>T("[연재]네크로맨서 생존기 18화")</f>
        <v>[연재]네크로맨서 생존기 18화</v>
      </c>
      <c r="E162" t="str">
        <f>T("18")</f>
        <v>18</v>
      </c>
      <c r="F162" t="str">
        <f t="shared" si="41"/>
        <v>키마님</v>
      </c>
      <c r="I162" t="str">
        <f t="shared" si="42"/>
        <v>딥블렌드</v>
      </c>
      <c r="J162" t="str">
        <f t="shared" si="43"/>
        <v>[연재]네크로맨서 생존기</v>
      </c>
      <c r="K162">
        <v>100</v>
      </c>
      <c r="L162">
        <v>34100</v>
      </c>
      <c r="M162">
        <v>341</v>
      </c>
      <c r="N162">
        <v>0</v>
      </c>
      <c r="O162">
        <v>0</v>
      </c>
      <c r="P162">
        <v>0</v>
      </c>
      <c r="Q162">
        <v>16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-300</v>
      </c>
      <c r="Y162">
        <v>3</v>
      </c>
      <c r="Z162">
        <v>-300</v>
      </c>
      <c r="AA162">
        <v>3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20280</v>
      </c>
      <c r="AL162" t="str">
        <f t="shared" si="44"/>
        <v>0000000000000</v>
      </c>
      <c r="AN162" t="str">
        <f t="shared" si="45"/>
        <v>9791190142359</v>
      </c>
      <c r="AP162" t="str">
        <f t="shared" si="46"/>
        <v>BL 웹소설 &gt; 현대물</v>
      </c>
      <c r="AQ162" t="str">
        <f t="shared" si="47"/>
        <v>BL 웹소설 &gt; 판타지물</v>
      </c>
    </row>
    <row r="163" spans="1:43" x14ac:dyDescent="0.4">
      <c r="A163" t="s">
        <v>43</v>
      </c>
      <c r="B163">
        <v>3822000323</v>
      </c>
      <c r="C163">
        <v>3822000416</v>
      </c>
      <c r="D163" t="str">
        <f>T("[연재]네크로맨서 생존기 60화")</f>
        <v>[연재]네크로맨서 생존기 60화</v>
      </c>
      <c r="E163" t="str">
        <f>T("60")</f>
        <v>60</v>
      </c>
      <c r="F163" t="str">
        <f t="shared" si="41"/>
        <v>키마님</v>
      </c>
      <c r="I163" t="str">
        <f t="shared" si="42"/>
        <v>딥블렌드</v>
      </c>
      <c r="J163" t="str">
        <f t="shared" si="43"/>
        <v>[연재]네크로맨서 생존기</v>
      </c>
      <c r="K163">
        <v>100</v>
      </c>
      <c r="L163">
        <v>34100</v>
      </c>
      <c r="M163">
        <v>341</v>
      </c>
      <c r="N163">
        <v>0</v>
      </c>
      <c r="O163">
        <v>0</v>
      </c>
      <c r="P163">
        <v>0</v>
      </c>
      <c r="Q163">
        <v>9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-100</v>
      </c>
      <c r="Y163">
        <v>1</v>
      </c>
      <c r="Z163">
        <v>-100</v>
      </c>
      <c r="AA163">
        <v>1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20400</v>
      </c>
      <c r="AL163" t="str">
        <f t="shared" si="44"/>
        <v>0000000000000</v>
      </c>
      <c r="AN163" t="str">
        <f t="shared" si="45"/>
        <v>9791190142359</v>
      </c>
      <c r="AP163" t="str">
        <f t="shared" si="46"/>
        <v>BL 웹소설 &gt; 현대물</v>
      </c>
      <c r="AQ163" t="str">
        <f t="shared" si="47"/>
        <v>BL 웹소설 &gt; 판타지물</v>
      </c>
    </row>
    <row r="164" spans="1:43" x14ac:dyDescent="0.4">
      <c r="A164" t="s">
        <v>43</v>
      </c>
      <c r="B164">
        <v>3822000323</v>
      </c>
      <c r="C164">
        <v>3822000411</v>
      </c>
      <c r="D164" t="str">
        <f>T("[연재]네크로맨서 생존기 58화")</f>
        <v>[연재]네크로맨서 생존기 58화</v>
      </c>
      <c r="E164" t="str">
        <f>T("58")</f>
        <v>58</v>
      </c>
      <c r="F164" t="str">
        <f t="shared" si="41"/>
        <v>키마님</v>
      </c>
      <c r="I164" t="str">
        <f t="shared" si="42"/>
        <v>딥블렌드</v>
      </c>
      <c r="J164" t="str">
        <f t="shared" si="43"/>
        <v>[연재]네크로맨서 생존기</v>
      </c>
      <c r="K164">
        <v>100</v>
      </c>
      <c r="L164">
        <v>34000</v>
      </c>
      <c r="M164">
        <v>340</v>
      </c>
      <c r="N164">
        <v>0</v>
      </c>
      <c r="O164">
        <v>0</v>
      </c>
      <c r="P164">
        <v>0</v>
      </c>
      <c r="Q164">
        <v>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-100</v>
      </c>
      <c r="Y164">
        <v>1</v>
      </c>
      <c r="Z164">
        <v>-100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20340</v>
      </c>
      <c r="AL164" t="str">
        <f t="shared" si="44"/>
        <v>0000000000000</v>
      </c>
      <c r="AN164" t="str">
        <f t="shared" si="45"/>
        <v>9791190142359</v>
      </c>
      <c r="AP164" t="str">
        <f t="shared" si="46"/>
        <v>BL 웹소설 &gt; 현대물</v>
      </c>
      <c r="AQ164" t="str">
        <f t="shared" si="47"/>
        <v>BL 웹소설 &gt; 판타지물</v>
      </c>
    </row>
    <row r="165" spans="1:43" x14ac:dyDescent="0.4">
      <c r="A165" t="s">
        <v>43</v>
      </c>
      <c r="B165">
        <v>3822000323</v>
      </c>
      <c r="C165">
        <v>3822000364</v>
      </c>
      <c r="D165" t="str">
        <f>T("[연재]네크로맨서 생존기 36화")</f>
        <v>[연재]네크로맨서 생존기 36화</v>
      </c>
      <c r="E165" t="str">
        <f>T("36")</f>
        <v>36</v>
      </c>
      <c r="F165" t="str">
        <f t="shared" si="41"/>
        <v>키마님</v>
      </c>
      <c r="I165" t="str">
        <f t="shared" si="42"/>
        <v>딥블렌드</v>
      </c>
      <c r="J165" t="str">
        <f t="shared" si="43"/>
        <v>[연재]네크로맨서 생존기</v>
      </c>
      <c r="K165">
        <v>100</v>
      </c>
      <c r="L165">
        <v>34000</v>
      </c>
      <c r="M165">
        <v>340</v>
      </c>
      <c r="N165">
        <v>0</v>
      </c>
      <c r="O165">
        <v>0</v>
      </c>
      <c r="P165">
        <v>0</v>
      </c>
      <c r="Q165">
        <v>7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-200</v>
      </c>
      <c r="Y165">
        <v>2</v>
      </c>
      <c r="Z165">
        <v>-200</v>
      </c>
      <c r="AA165">
        <v>2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20280</v>
      </c>
      <c r="AL165" t="str">
        <f t="shared" si="44"/>
        <v>0000000000000</v>
      </c>
      <c r="AN165" t="str">
        <f t="shared" si="45"/>
        <v>9791190142359</v>
      </c>
      <c r="AP165" t="str">
        <f t="shared" si="46"/>
        <v>BL 웹소설 &gt; 현대물</v>
      </c>
      <c r="AQ165" t="str">
        <f t="shared" si="47"/>
        <v>BL 웹소설 &gt; 판타지물</v>
      </c>
    </row>
    <row r="166" spans="1:43" x14ac:dyDescent="0.4">
      <c r="A166" t="s">
        <v>43</v>
      </c>
      <c r="B166">
        <v>3822000323</v>
      </c>
      <c r="C166">
        <v>3822000409</v>
      </c>
      <c r="D166" t="str">
        <f>T("[연재]네크로맨서 생존기 57화")</f>
        <v>[연재]네크로맨서 생존기 57화</v>
      </c>
      <c r="E166" t="str">
        <f>T("57")</f>
        <v>57</v>
      </c>
      <c r="F166" t="str">
        <f t="shared" si="41"/>
        <v>키마님</v>
      </c>
      <c r="I166" t="str">
        <f t="shared" si="42"/>
        <v>딥블렌드</v>
      </c>
      <c r="J166" t="str">
        <f t="shared" si="43"/>
        <v>[연재]네크로맨서 생존기</v>
      </c>
      <c r="K166">
        <v>100</v>
      </c>
      <c r="L166">
        <v>34000</v>
      </c>
      <c r="M166">
        <v>340</v>
      </c>
      <c r="N166">
        <v>0</v>
      </c>
      <c r="O166">
        <v>0</v>
      </c>
      <c r="P166">
        <v>0</v>
      </c>
      <c r="Q166">
        <v>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-100</v>
      </c>
      <c r="Y166">
        <v>1</v>
      </c>
      <c r="Z166">
        <v>-100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20340</v>
      </c>
      <c r="AL166" t="str">
        <f t="shared" si="44"/>
        <v>0000000000000</v>
      </c>
      <c r="AN166" t="str">
        <f t="shared" si="45"/>
        <v>9791190142359</v>
      </c>
      <c r="AP166" t="str">
        <f t="shared" si="46"/>
        <v>BL 웹소설 &gt; 현대물</v>
      </c>
      <c r="AQ166" t="str">
        <f t="shared" si="47"/>
        <v>BL 웹소설 &gt; 판타지물</v>
      </c>
    </row>
    <row r="167" spans="1:43" x14ac:dyDescent="0.4">
      <c r="A167" t="s">
        <v>43</v>
      </c>
      <c r="B167">
        <v>3822000323</v>
      </c>
      <c r="C167">
        <v>3822000339</v>
      </c>
      <c r="D167" t="str">
        <f>T("[연재]네크로맨서 생존기 16화")</f>
        <v>[연재]네크로맨서 생존기 16화</v>
      </c>
      <c r="E167" t="str">
        <f>T("16")</f>
        <v>16</v>
      </c>
      <c r="F167" t="str">
        <f t="shared" si="41"/>
        <v>키마님</v>
      </c>
      <c r="I167" t="str">
        <f t="shared" si="42"/>
        <v>딥블렌드</v>
      </c>
      <c r="J167" t="str">
        <f t="shared" si="43"/>
        <v>[연재]네크로맨서 생존기</v>
      </c>
      <c r="K167">
        <v>100</v>
      </c>
      <c r="L167">
        <v>33900</v>
      </c>
      <c r="M167">
        <v>339</v>
      </c>
      <c r="N167">
        <v>0</v>
      </c>
      <c r="O167">
        <v>0</v>
      </c>
      <c r="P167">
        <v>0</v>
      </c>
      <c r="Q167">
        <v>39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-300</v>
      </c>
      <c r="Y167">
        <v>3</v>
      </c>
      <c r="Z167">
        <v>-300</v>
      </c>
      <c r="AA167">
        <v>3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20160</v>
      </c>
      <c r="AL167" t="str">
        <f t="shared" si="44"/>
        <v>0000000000000</v>
      </c>
      <c r="AN167" t="str">
        <f t="shared" si="45"/>
        <v>9791190142359</v>
      </c>
      <c r="AP167" t="str">
        <f t="shared" si="46"/>
        <v>BL 웹소설 &gt; 현대물</v>
      </c>
      <c r="AQ167" t="str">
        <f t="shared" si="47"/>
        <v>BL 웹소설 &gt; 판타지물</v>
      </c>
    </row>
    <row r="168" spans="1:43" x14ac:dyDescent="0.4">
      <c r="A168" t="s">
        <v>43</v>
      </c>
      <c r="B168">
        <v>3822000323</v>
      </c>
      <c r="C168">
        <v>3822000889</v>
      </c>
      <c r="D168" t="str">
        <f>T("[연재]네크로맨서 생존기 125화")</f>
        <v>[연재]네크로맨서 생존기 125화</v>
      </c>
      <c r="E168" t="str">
        <f>T("125")</f>
        <v>125</v>
      </c>
      <c r="F168" t="str">
        <f t="shared" si="41"/>
        <v>키마님</v>
      </c>
      <c r="I168" t="str">
        <f t="shared" si="42"/>
        <v>딥블렌드</v>
      </c>
      <c r="J168" t="str">
        <f t="shared" si="43"/>
        <v>[연재]네크로맨서 생존기</v>
      </c>
      <c r="K168">
        <v>100</v>
      </c>
      <c r="L168">
        <v>33900</v>
      </c>
      <c r="M168">
        <v>339</v>
      </c>
      <c r="N168">
        <v>0</v>
      </c>
      <c r="O168">
        <v>0</v>
      </c>
      <c r="P168">
        <v>0</v>
      </c>
      <c r="Q168">
        <v>5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-100</v>
      </c>
      <c r="Y168">
        <v>1</v>
      </c>
      <c r="Z168">
        <v>-100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20280</v>
      </c>
      <c r="AL168" t="str">
        <f t="shared" si="44"/>
        <v>0000000000000</v>
      </c>
      <c r="AN168" t="str">
        <f t="shared" si="45"/>
        <v>9791190142359</v>
      </c>
      <c r="AP168" t="str">
        <f t="shared" si="46"/>
        <v>BL 웹소설 &gt; 현대물</v>
      </c>
      <c r="AQ168" t="str">
        <f t="shared" si="47"/>
        <v>BL 웹소설 &gt; 판타지물</v>
      </c>
    </row>
    <row r="169" spans="1:43" x14ac:dyDescent="0.4">
      <c r="A169" t="s">
        <v>43</v>
      </c>
      <c r="B169">
        <v>3822000323</v>
      </c>
      <c r="C169">
        <v>3822000880</v>
      </c>
      <c r="D169" t="str">
        <f>T("[연재]네크로맨서 생존기 122화")</f>
        <v>[연재]네크로맨서 생존기 122화</v>
      </c>
      <c r="E169" t="str">
        <f>T("122")</f>
        <v>122</v>
      </c>
      <c r="F169" t="str">
        <f t="shared" si="41"/>
        <v>키마님</v>
      </c>
      <c r="I169" t="str">
        <f t="shared" si="42"/>
        <v>딥블렌드</v>
      </c>
      <c r="J169" t="str">
        <f t="shared" si="43"/>
        <v>[연재]네크로맨서 생존기</v>
      </c>
      <c r="K169">
        <v>100</v>
      </c>
      <c r="L169">
        <v>33900</v>
      </c>
      <c r="M169">
        <v>339</v>
      </c>
      <c r="N169">
        <v>0</v>
      </c>
      <c r="O169">
        <v>0</v>
      </c>
      <c r="P169">
        <v>0</v>
      </c>
      <c r="Q169">
        <v>5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-100</v>
      </c>
      <c r="Y169">
        <v>1</v>
      </c>
      <c r="Z169">
        <v>-100</v>
      </c>
      <c r="AA169">
        <v>1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20280</v>
      </c>
      <c r="AL169" t="str">
        <f t="shared" si="44"/>
        <v>0000000000000</v>
      </c>
      <c r="AN169" t="str">
        <f t="shared" si="45"/>
        <v>9791190142359</v>
      </c>
      <c r="AP169" t="str">
        <f t="shared" si="46"/>
        <v>BL 웹소설 &gt; 현대물</v>
      </c>
      <c r="AQ169" t="str">
        <f t="shared" si="47"/>
        <v>BL 웹소설 &gt; 판타지물</v>
      </c>
    </row>
    <row r="170" spans="1:43" x14ac:dyDescent="0.4">
      <c r="A170" t="s">
        <v>43</v>
      </c>
      <c r="B170">
        <v>3822000323</v>
      </c>
      <c r="C170">
        <v>3822000390</v>
      </c>
      <c r="D170" t="str">
        <f>T("[연재]네크로맨서 생존기 49화")</f>
        <v>[연재]네크로맨서 생존기 49화</v>
      </c>
      <c r="E170" t="str">
        <f>T("49")</f>
        <v>49</v>
      </c>
      <c r="F170" t="str">
        <f t="shared" si="41"/>
        <v>키마님</v>
      </c>
      <c r="I170" t="str">
        <f t="shared" si="42"/>
        <v>딥블렌드</v>
      </c>
      <c r="J170" t="str">
        <f t="shared" si="43"/>
        <v>[연재]네크로맨서 생존기</v>
      </c>
      <c r="K170">
        <v>100</v>
      </c>
      <c r="L170">
        <v>33900</v>
      </c>
      <c r="M170">
        <v>339</v>
      </c>
      <c r="N170">
        <v>0</v>
      </c>
      <c r="O170">
        <v>0</v>
      </c>
      <c r="P170">
        <v>0</v>
      </c>
      <c r="Q170">
        <v>7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-100</v>
      </c>
      <c r="Y170">
        <v>2</v>
      </c>
      <c r="Z170">
        <v>-100</v>
      </c>
      <c r="AA170">
        <v>1</v>
      </c>
      <c r="AB170">
        <v>0</v>
      </c>
      <c r="AC170">
        <v>1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20280</v>
      </c>
      <c r="AL170" t="str">
        <f t="shared" si="44"/>
        <v>0000000000000</v>
      </c>
      <c r="AN170" t="str">
        <f t="shared" si="45"/>
        <v>9791190142359</v>
      </c>
      <c r="AP170" t="str">
        <f t="shared" si="46"/>
        <v>BL 웹소설 &gt; 현대물</v>
      </c>
      <c r="AQ170" t="str">
        <f t="shared" si="47"/>
        <v>BL 웹소설 &gt; 판타지물</v>
      </c>
    </row>
    <row r="171" spans="1:43" x14ac:dyDescent="0.4">
      <c r="A171" t="s">
        <v>43</v>
      </c>
      <c r="B171">
        <v>3822000323</v>
      </c>
      <c r="C171">
        <v>3822000852</v>
      </c>
      <c r="D171" t="str">
        <f>T("[연재]네크로맨서 생존기 119화")</f>
        <v>[연재]네크로맨서 생존기 119화</v>
      </c>
      <c r="E171" t="str">
        <f>T("119")</f>
        <v>119</v>
      </c>
      <c r="F171" t="str">
        <f t="shared" si="41"/>
        <v>키마님</v>
      </c>
      <c r="I171" t="str">
        <f t="shared" si="42"/>
        <v>딥블렌드</v>
      </c>
      <c r="J171" t="str">
        <f t="shared" si="43"/>
        <v>[연재]네크로맨서 생존기</v>
      </c>
      <c r="K171">
        <v>100</v>
      </c>
      <c r="L171">
        <v>33900</v>
      </c>
      <c r="M171">
        <v>339</v>
      </c>
      <c r="N171">
        <v>0</v>
      </c>
      <c r="O171">
        <v>0</v>
      </c>
      <c r="P171">
        <v>0</v>
      </c>
      <c r="Q171">
        <v>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-100</v>
      </c>
      <c r="Y171">
        <v>1</v>
      </c>
      <c r="Z171">
        <v>-100</v>
      </c>
      <c r="AA171">
        <v>1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20280</v>
      </c>
      <c r="AL171" t="str">
        <f t="shared" si="44"/>
        <v>0000000000000</v>
      </c>
      <c r="AN171" t="str">
        <f t="shared" si="45"/>
        <v>9791190142359</v>
      </c>
      <c r="AP171" t="str">
        <f t="shared" si="46"/>
        <v>BL 웹소설 &gt; 현대물</v>
      </c>
      <c r="AQ171" t="str">
        <f t="shared" si="47"/>
        <v>BL 웹소설 &gt; 판타지물</v>
      </c>
    </row>
    <row r="172" spans="1:43" x14ac:dyDescent="0.4">
      <c r="A172" t="s">
        <v>43</v>
      </c>
      <c r="B172">
        <v>3822000323</v>
      </c>
      <c r="C172">
        <v>3822000420</v>
      </c>
      <c r="D172" t="str">
        <f>T("[연재]네크로맨서 생존기 62화")</f>
        <v>[연재]네크로맨서 생존기 62화</v>
      </c>
      <c r="E172" t="str">
        <f>T("62")</f>
        <v>62</v>
      </c>
      <c r="F172" t="str">
        <f t="shared" si="41"/>
        <v>키마님</v>
      </c>
      <c r="I172" t="str">
        <f t="shared" si="42"/>
        <v>딥블렌드</v>
      </c>
      <c r="J172" t="str">
        <f t="shared" si="43"/>
        <v>[연재]네크로맨서 생존기</v>
      </c>
      <c r="K172">
        <v>100</v>
      </c>
      <c r="L172">
        <v>33900</v>
      </c>
      <c r="M172">
        <v>339</v>
      </c>
      <c r="N172">
        <v>0</v>
      </c>
      <c r="O172">
        <v>0</v>
      </c>
      <c r="P172">
        <v>0</v>
      </c>
      <c r="Q172">
        <v>8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20340</v>
      </c>
      <c r="AL172" t="str">
        <f t="shared" si="44"/>
        <v>0000000000000</v>
      </c>
      <c r="AN172" t="str">
        <f t="shared" si="45"/>
        <v>9791190142359</v>
      </c>
      <c r="AP172" t="str">
        <f t="shared" si="46"/>
        <v>BL 웹소설 &gt; 현대물</v>
      </c>
      <c r="AQ172" t="str">
        <f t="shared" si="47"/>
        <v>BL 웹소설 &gt; 판타지물</v>
      </c>
    </row>
    <row r="173" spans="1:43" x14ac:dyDescent="0.4">
      <c r="A173" t="s">
        <v>43</v>
      </c>
      <c r="B173">
        <v>3822000323</v>
      </c>
      <c r="C173">
        <v>3822000362</v>
      </c>
      <c r="D173" t="str">
        <f>T("[연재]네크로맨서 생존기 35화")</f>
        <v>[연재]네크로맨서 생존기 35화</v>
      </c>
      <c r="E173" t="str">
        <f>T("35")</f>
        <v>35</v>
      </c>
      <c r="F173" t="str">
        <f t="shared" si="41"/>
        <v>키마님</v>
      </c>
      <c r="I173" t="str">
        <f t="shared" si="42"/>
        <v>딥블렌드</v>
      </c>
      <c r="J173" t="str">
        <f t="shared" si="43"/>
        <v>[연재]네크로맨서 생존기</v>
      </c>
      <c r="K173">
        <v>100</v>
      </c>
      <c r="L173">
        <v>33700</v>
      </c>
      <c r="M173">
        <v>337</v>
      </c>
      <c r="N173">
        <v>0</v>
      </c>
      <c r="O173">
        <v>0</v>
      </c>
      <c r="P173">
        <v>0</v>
      </c>
      <c r="Q173">
        <v>7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-200</v>
      </c>
      <c r="Y173">
        <v>2</v>
      </c>
      <c r="Z173">
        <v>-200</v>
      </c>
      <c r="AA173">
        <v>2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20100</v>
      </c>
      <c r="AL173" t="str">
        <f t="shared" si="44"/>
        <v>0000000000000</v>
      </c>
      <c r="AN173" t="str">
        <f t="shared" si="45"/>
        <v>9791190142359</v>
      </c>
      <c r="AP173" t="str">
        <f t="shared" si="46"/>
        <v>BL 웹소설 &gt; 현대물</v>
      </c>
      <c r="AQ173" t="str">
        <f t="shared" si="47"/>
        <v>BL 웹소설 &gt; 판타지물</v>
      </c>
    </row>
    <row r="174" spans="1:43" x14ac:dyDescent="0.4">
      <c r="A174" t="s">
        <v>43</v>
      </c>
      <c r="B174">
        <v>3822000323</v>
      </c>
      <c r="C174">
        <v>3822000605</v>
      </c>
      <c r="D174" t="str">
        <f>T("[연재]네크로맨서 생존기 82화")</f>
        <v>[연재]네크로맨서 생존기 82화</v>
      </c>
      <c r="E174" t="str">
        <f>T("82")</f>
        <v>82</v>
      </c>
      <c r="F174" t="str">
        <f t="shared" si="41"/>
        <v>키마님</v>
      </c>
      <c r="I174" t="str">
        <f t="shared" si="42"/>
        <v>딥블렌드</v>
      </c>
      <c r="J174" t="str">
        <f t="shared" si="43"/>
        <v>[연재]네크로맨서 생존기</v>
      </c>
      <c r="K174">
        <v>100</v>
      </c>
      <c r="L174">
        <v>33700</v>
      </c>
      <c r="M174">
        <v>337</v>
      </c>
      <c r="N174">
        <v>0</v>
      </c>
      <c r="O174">
        <v>0</v>
      </c>
      <c r="P174">
        <v>0</v>
      </c>
      <c r="Q174">
        <v>3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-100</v>
      </c>
      <c r="Y174">
        <v>1</v>
      </c>
      <c r="Z174">
        <v>-100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20160</v>
      </c>
      <c r="AL174" t="str">
        <f t="shared" si="44"/>
        <v>0000000000000</v>
      </c>
      <c r="AN174" t="str">
        <f t="shared" si="45"/>
        <v>9791190142359</v>
      </c>
      <c r="AP174" t="str">
        <f t="shared" si="46"/>
        <v>BL 웹소설 &gt; 현대물</v>
      </c>
      <c r="AQ174" t="str">
        <f t="shared" si="47"/>
        <v>BL 웹소설 &gt; 판타지물</v>
      </c>
    </row>
    <row r="175" spans="1:43" x14ac:dyDescent="0.4">
      <c r="A175" t="s">
        <v>43</v>
      </c>
      <c r="B175">
        <v>3822000323</v>
      </c>
      <c r="C175">
        <v>3822000338</v>
      </c>
      <c r="D175" t="str">
        <f>T("[연재]네크로맨서 생존기 15화")</f>
        <v>[연재]네크로맨서 생존기 15화</v>
      </c>
      <c r="E175" t="str">
        <f>T("15")</f>
        <v>15</v>
      </c>
      <c r="F175" t="str">
        <f t="shared" si="41"/>
        <v>키마님</v>
      </c>
      <c r="I175" t="str">
        <f t="shared" si="42"/>
        <v>딥블렌드</v>
      </c>
      <c r="J175" t="str">
        <f t="shared" si="43"/>
        <v>[연재]네크로맨서 생존기</v>
      </c>
      <c r="K175">
        <v>100</v>
      </c>
      <c r="L175">
        <v>33500</v>
      </c>
      <c r="M175">
        <v>335</v>
      </c>
      <c r="N175">
        <v>0</v>
      </c>
      <c r="O175">
        <v>0</v>
      </c>
      <c r="P175">
        <v>0</v>
      </c>
      <c r="Q175">
        <v>51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-300</v>
      </c>
      <c r="Y175">
        <v>3</v>
      </c>
      <c r="Z175">
        <v>-300</v>
      </c>
      <c r="AA175">
        <v>3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19920</v>
      </c>
      <c r="AL175" t="str">
        <f t="shared" si="44"/>
        <v>0000000000000</v>
      </c>
      <c r="AN175" t="str">
        <f t="shared" si="45"/>
        <v>9791190142359</v>
      </c>
      <c r="AP175" t="str">
        <f t="shared" si="46"/>
        <v>BL 웹소설 &gt; 현대물</v>
      </c>
      <c r="AQ175" t="str">
        <f t="shared" si="47"/>
        <v>BL 웹소설 &gt; 판타지물</v>
      </c>
    </row>
    <row r="176" spans="1:43" x14ac:dyDescent="0.4">
      <c r="A176" t="s">
        <v>43</v>
      </c>
      <c r="B176">
        <v>3822000323</v>
      </c>
      <c r="C176">
        <v>3822000624</v>
      </c>
      <c r="D176" t="str">
        <f>T("[연재]네크로맨서 생존기 91화")</f>
        <v>[연재]네크로맨서 생존기 91화</v>
      </c>
      <c r="E176" t="str">
        <f>T("91")</f>
        <v>91</v>
      </c>
      <c r="F176" t="str">
        <f t="shared" si="41"/>
        <v>키마님</v>
      </c>
      <c r="I176" t="str">
        <f t="shared" si="42"/>
        <v>딥블렌드</v>
      </c>
      <c r="J176" t="str">
        <f t="shared" si="43"/>
        <v>[연재]네크로맨서 생존기</v>
      </c>
      <c r="K176">
        <v>100</v>
      </c>
      <c r="L176">
        <v>33500</v>
      </c>
      <c r="M176">
        <v>335</v>
      </c>
      <c r="N176">
        <v>0</v>
      </c>
      <c r="O176">
        <v>0</v>
      </c>
      <c r="P176">
        <v>0</v>
      </c>
      <c r="Q176">
        <v>5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20100</v>
      </c>
      <c r="AL176" t="str">
        <f t="shared" si="44"/>
        <v>0000000000000</v>
      </c>
      <c r="AN176" t="str">
        <f t="shared" si="45"/>
        <v>9791190142359</v>
      </c>
      <c r="AP176" t="str">
        <f t="shared" si="46"/>
        <v>BL 웹소설 &gt; 현대물</v>
      </c>
      <c r="AQ176" t="str">
        <f t="shared" si="47"/>
        <v>BL 웹소설 &gt; 판타지물</v>
      </c>
    </row>
    <row r="177" spans="1:43" x14ac:dyDescent="0.4">
      <c r="A177" t="s">
        <v>43</v>
      </c>
      <c r="B177">
        <v>3822000323</v>
      </c>
      <c r="C177">
        <v>3822000611</v>
      </c>
      <c r="D177" t="str">
        <f>T("[연재]네크로맨서 생존기 85화")</f>
        <v>[연재]네크로맨서 생존기 85화</v>
      </c>
      <c r="E177" t="str">
        <f>T("85")</f>
        <v>85</v>
      </c>
      <c r="F177" t="str">
        <f t="shared" si="41"/>
        <v>키마님</v>
      </c>
      <c r="I177" t="str">
        <f t="shared" si="42"/>
        <v>딥블렌드</v>
      </c>
      <c r="J177" t="str">
        <f t="shared" si="43"/>
        <v>[연재]네크로맨서 생존기</v>
      </c>
      <c r="K177">
        <v>100</v>
      </c>
      <c r="L177">
        <v>33500</v>
      </c>
      <c r="M177">
        <v>335</v>
      </c>
      <c r="N177">
        <v>0</v>
      </c>
      <c r="O177">
        <v>0</v>
      </c>
      <c r="P177">
        <v>0</v>
      </c>
      <c r="Q177">
        <v>5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20100</v>
      </c>
      <c r="AL177" t="str">
        <f t="shared" si="44"/>
        <v>0000000000000</v>
      </c>
      <c r="AN177" t="str">
        <f t="shared" si="45"/>
        <v>9791190142359</v>
      </c>
      <c r="AP177" t="str">
        <f t="shared" si="46"/>
        <v>BL 웹소설 &gt; 현대물</v>
      </c>
      <c r="AQ177" t="str">
        <f t="shared" si="47"/>
        <v>BL 웹소설 &gt; 판타지물</v>
      </c>
    </row>
    <row r="178" spans="1:43" x14ac:dyDescent="0.4">
      <c r="A178" t="s">
        <v>43</v>
      </c>
      <c r="B178">
        <v>3822000323</v>
      </c>
      <c r="C178">
        <v>3822000848</v>
      </c>
      <c r="D178" t="str">
        <f>T("[연재]네크로맨서 생존기 117화")</f>
        <v>[연재]네크로맨서 생존기 117화</v>
      </c>
      <c r="E178" t="str">
        <f>T("117")</f>
        <v>117</v>
      </c>
      <c r="F178" t="str">
        <f t="shared" si="41"/>
        <v>키마님</v>
      </c>
      <c r="I178" t="str">
        <f t="shared" si="42"/>
        <v>딥블렌드</v>
      </c>
      <c r="J178" t="str">
        <f t="shared" si="43"/>
        <v>[연재]네크로맨서 생존기</v>
      </c>
      <c r="K178">
        <v>100</v>
      </c>
      <c r="L178">
        <v>33500</v>
      </c>
      <c r="M178">
        <v>335</v>
      </c>
      <c r="N178">
        <v>0</v>
      </c>
      <c r="O178">
        <v>0</v>
      </c>
      <c r="P178">
        <v>0</v>
      </c>
      <c r="Q178">
        <v>5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-200</v>
      </c>
      <c r="Y178">
        <v>2</v>
      </c>
      <c r="Z178">
        <v>-200</v>
      </c>
      <c r="AA178">
        <v>2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19980</v>
      </c>
      <c r="AL178" t="str">
        <f t="shared" si="44"/>
        <v>0000000000000</v>
      </c>
      <c r="AN178" t="str">
        <f t="shared" si="45"/>
        <v>9791190142359</v>
      </c>
      <c r="AP178" t="str">
        <f t="shared" si="46"/>
        <v>BL 웹소설 &gt; 현대물</v>
      </c>
      <c r="AQ178" t="str">
        <f t="shared" si="47"/>
        <v>BL 웹소설 &gt; 판타지물</v>
      </c>
    </row>
    <row r="179" spans="1:43" x14ac:dyDescent="0.4">
      <c r="A179" t="s">
        <v>43</v>
      </c>
      <c r="B179">
        <v>3822000323</v>
      </c>
      <c r="C179">
        <v>3822000850</v>
      </c>
      <c r="D179" t="str">
        <f>T("[연재]네크로맨서 생존기 118화")</f>
        <v>[연재]네크로맨서 생존기 118화</v>
      </c>
      <c r="E179" t="str">
        <f>T("118")</f>
        <v>118</v>
      </c>
      <c r="F179" t="str">
        <f t="shared" si="41"/>
        <v>키마님</v>
      </c>
      <c r="I179" t="str">
        <f t="shared" si="42"/>
        <v>딥블렌드</v>
      </c>
      <c r="J179" t="str">
        <f t="shared" si="43"/>
        <v>[연재]네크로맨서 생존기</v>
      </c>
      <c r="K179">
        <v>100</v>
      </c>
      <c r="L179">
        <v>33500</v>
      </c>
      <c r="M179">
        <v>335</v>
      </c>
      <c r="N179">
        <v>0</v>
      </c>
      <c r="O179">
        <v>0</v>
      </c>
      <c r="P179">
        <v>0</v>
      </c>
      <c r="Q179">
        <v>3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-100</v>
      </c>
      <c r="Y179">
        <v>1</v>
      </c>
      <c r="Z179">
        <v>-100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20040</v>
      </c>
      <c r="AL179" t="str">
        <f t="shared" si="44"/>
        <v>0000000000000</v>
      </c>
      <c r="AN179" t="str">
        <f t="shared" si="45"/>
        <v>9791190142359</v>
      </c>
      <c r="AP179" t="str">
        <f t="shared" si="46"/>
        <v>BL 웹소설 &gt; 현대물</v>
      </c>
      <c r="AQ179" t="str">
        <f t="shared" si="47"/>
        <v>BL 웹소설 &gt; 판타지물</v>
      </c>
    </row>
    <row r="180" spans="1:43" x14ac:dyDescent="0.4">
      <c r="A180" t="s">
        <v>43</v>
      </c>
      <c r="B180">
        <v>3822000323</v>
      </c>
      <c r="C180">
        <v>3822000361</v>
      </c>
      <c r="D180" t="str">
        <f>T("[연재]네크로맨서 생존기 34화")</f>
        <v>[연재]네크로맨서 생존기 34화</v>
      </c>
      <c r="E180" t="str">
        <f>T("34")</f>
        <v>34</v>
      </c>
      <c r="F180" t="str">
        <f t="shared" si="41"/>
        <v>키마님</v>
      </c>
      <c r="I180" t="str">
        <f t="shared" si="42"/>
        <v>딥블렌드</v>
      </c>
      <c r="J180" t="str">
        <f t="shared" si="43"/>
        <v>[연재]네크로맨서 생존기</v>
      </c>
      <c r="K180">
        <v>100</v>
      </c>
      <c r="L180">
        <v>33500</v>
      </c>
      <c r="M180">
        <v>335</v>
      </c>
      <c r="N180">
        <v>0</v>
      </c>
      <c r="O180">
        <v>0</v>
      </c>
      <c r="P180">
        <v>0</v>
      </c>
      <c r="Q180">
        <v>4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-200</v>
      </c>
      <c r="Y180">
        <v>2</v>
      </c>
      <c r="Z180">
        <v>-200</v>
      </c>
      <c r="AA180">
        <v>2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19980</v>
      </c>
      <c r="AL180" t="str">
        <f t="shared" si="44"/>
        <v>0000000000000</v>
      </c>
      <c r="AN180" t="str">
        <f t="shared" si="45"/>
        <v>9791190142359</v>
      </c>
      <c r="AP180" t="str">
        <f t="shared" si="46"/>
        <v>BL 웹소설 &gt; 현대물</v>
      </c>
      <c r="AQ180" t="str">
        <f t="shared" si="47"/>
        <v>BL 웹소설 &gt; 판타지물</v>
      </c>
    </row>
    <row r="181" spans="1:43" x14ac:dyDescent="0.4">
      <c r="A181" t="s">
        <v>43</v>
      </c>
      <c r="B181">
        <v>3822000323</v>
      </c>
      <c r="C181">
        <v>3822000622</v>
      </c>
      <c r="D181" t="str">
        <f>T("[연재]네크로맨서 생존기 90화")</f>
        <v>[연재]네크로맨서 생존기 90화</v>
      </c>
      <c r="E181" t="str">
        <f>T("90")</f>
        <v>90</v>
      </c>
      <c r="F181" t="str">
        <f t="shared" si="41"/>
        <v>키마님</v>
      </c>
      <c r="I181" t="str">
        <f t="shared" si="42"/>
        <v>딥블렌드</v>
      </c>
      <c r="J181" t="str">
        <f t="shared" si="43"/>
        <v>[연재]네크로맨서 생존기</v>
      </c>
      <c r="K181">
        <v>100</v>
      </c>
      <c r="L181">
        <v>33400</v>
      </c>
      <c r="M181">
        <v>334</v>
      </c>
      <c r="N181">
        <v>0</v>
      </c>
      <c r="O181">
        <v>0</v>
      </c>
      <c r="P181">
        <v>0</v>
      </c>
      <c r="Q181">
        <v>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20040</v>
      </c>
      <c r="AL181" t="str">
        <f t="shared" si="44"/>
        <v>0000000000000</v>
      </c>
      <c r="AN181" t="str">
        <f t="shared" si="45"/>
        <v>9791190142359</v>
      </c>
      <c r="AP181" t="str">
        <f t="shared" si="46"/>
        <v>BL 웹소설 &gt; 현대물</v>
      </c>
      <c r="AQ181" t="str">
        <f t="shared" si="47"/>
        <v>BL 웹소설 &gt; 판타지물</v>
      </c>
    </row>
    <row r="182" spans="1:43" x14ac:dyDescent="0.4">
      <c r="A182" t="s">
        <v>43</v>
      </c>
      <c r="B182">
        <v>3822000323</v>
      </c>
      <c r="C182">
        <v>3822000571</v>
      </c>
      <c r="D182" t="str">
        <f>T("[연재]네크로맨서 생존기 74화")</f>
        <v>[연재]네크로맨서 생존기 74화</v>
      </c>
      <c r="E182" t="str">
        <f>T("74")</f>
        <v>74</v>
      </c>
      <c r="F182" t="str">
        <f t="shared" si="41"/>
        <v>키마님</v>
      </c>
      <c r="I182" t="str">
        <f t="shared" si="42"/>
        <v>딥블렌드</v>
      </c>
      <c r="J182" t="str">
        <f t="shared" si="43"/>
        <v>[연재]네크로맨서 생존기</v>
      </c>
      <c r="K182">
        <v>100</v>
      </c>
      <c r="L182">
        <v>33400</v>
      </c>
      <c r="M182">
        <v>334</v>
      </c>
      <c r="N182">
        <v>0</v>
      </c>
      <c r="O182">
        <v>0</v>
      </c>
      <c r="P182">
        <v>0</v>
      </c>
      <c r="Q182">
        <v>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-100</v>
      </c>
      <c r="Y182">
        <v>1</v>
      </c>
      <c r="Z182">
        <v>-100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19980</v>
      </c>
      <c r="AL182" t="str">
        <f t="shared" si="44"/>
        <v>0000000000000</v>
      </c>
      <c r="AN182" t="str">
        <f t="shared" si="45"/>
        <v>9791190142359</v>
      </c>
      <c r="AP182" t="str">
        <f t="shared" si="46"/>
        <v>BL 웹소설 &gt; 현대물</v>
      </c>
      <c r="AQ182" t="str">
        <f t="shared" si="47"/>
        <v>BL 웹소설 &gt; 판타지물</v>
      </c>
    </row>
    <row r="183" spans="1:43" x14ac:dyDescent="0.4">
      <c r="A183" t="s">
        <v>43</v>
      </c>
      <c r="B183">
        <v>3822000323</v>
      </c>
      <c r="C183">
        <v>3822000613</v>
      </c>
      <c r="D183" t="str">
        <f>T("[연재]네크로맨서 생존기 86화")</f>
        <v>[연재]네크로맨서 생존기 86화</v>
      </c>
      <c r="E183" t="str">
        <f>T("86")</f>
        <v>86</v>
      </c>
      <c r="F183" t="str">
        <f t="shared" si="41"/>
        <v>키마님</v>
      </c>
      <c r="I183" t="str">
        <f t="shared" si="42"/>
        <v>딥블렌드</v>
      </c>
      <c r="J183" t="str">
        <f t="shared" si="43"/>
        <v>[연재]네크로맨서 생존기</v>
      </c>
      <c r="K183">
        <v>100</v>
      </c>
      <c r="L183">
        <v>33400</v>
      </c>
      <c r="M183">
        <v>334</v>
      </c>
      <c r="N183">
        <v>0</v>
      </c>
      <c r="O183">
        <v>0</v>
      </c>
      <c r="P183">
        <v>0</v>
      </c>
      <c r="Q183">
        <v>4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20040</v>
      </c>
      <c r="AL183" t="str">
        <f t="shared" si="44"/>
        <v>0000000000000</v>
      </c>
      <c r="AN183" t="str">
        <f t="shared" si="45"/>
        <v>9791190142359</v>
      </c>
      <c r="AP183" t="str">
        <f t="shared" si="46"/>
        <v>BL 웹소설 &gt; 현대물</v>
      </c>
      <c r="AQ183" t="str">
        <f t="shared" si="47"/>
        <v>BL 웹소설 &gt; 판타지물</v>
      </c>
    </row>
    <row r="184" spans="1:43" x14ac:dyDescent="0.4">
      <c r="A184" t="s">
        <v>43</v>
      </c>
      <c r="B184">
        <v>3822000323</v>
      </c>
      <c r="C184">
        <v>3822000572</v>
      </c>
      <c r="D184" t="str">
        <f>T("[연재]네크로맨서 생존기 75화")</f>
        <v>[연재]네크로맨서 생존기 75화</v>
      </c>
      <c r="E184" t="str">
        <f>T("75")</f>
        <v>75</v>
      </c>
      <c r="F184" t="str">
        <f t="shared" si="41"/>
        <v>키마님</v>
      </c>
      <c r="I184" t="str">
        <f t="shared" si="42"/>
        <v>딥블렌드</v>
      </c>
      <c r="J184" t="str">
        <f t="shared" si="43"/>
        <v>[연재]네크로맨서 생존기</v>
      </c>
      <c r="K184">
        <v>100</v>
      </c>
      <c r="L184">
        <v>33400</v>
      </c>
      <c r="M184">
        <v>334</v>
      </c>
      <c r="N184">
        <v>0</v>
      </c>
      <c r="O184">
        <v>0</v>
      </c>
      <c r="P184">
        <v>0</v>
      </c>
      <c r="Q184">
        <v>5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-100</v>
      </c>
      <c r="Y184">
        <v>1</v>
      </c>
      <c r="Z184">
        <v>-100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19980</v>
      </c>
      <c r="AL184" t="str">
        <f t="shared" si="44"/>
        <v>0000000000000</v>
      </c>
      <c r="AN184" t="str">
        <f t="shared" si="45"/>
        <v>9791190142359</v>
      </c>
      <c r="AP184" t="str">
        <f t="shared" si="46"/>
        <v>BL 웹소설 &gt; 현대물</v>
      </c>
      <c r="AQ184" t="str">
        <f t="shared" si="47"/>
        <v>BL 웹소설 &gt; 판타지물</v>
      </c>
    </row>
    <row r="185" spans="1:43" x14ac:dyDescent="0.4">
      <c r="A185" t="s">
        <v>43</v>
      </c>
      <c r="B185">
        <v>3822000323</v>
      </c>
      <c r="C185">
        <v>3822000407</v>
      </c>
      <c r="D185" t="str">
        <f>T("[연재]네크로맨서 생존기 56화")</f>
        <v>[연재]네크로맨서 생존기 56화</v>
      </c>
      <c r="E185" t="str">
        <f>T("56")</f>
        <v>56</v>
      </c>
      <c r="F185" t="str">
        <f t="shared" si="41"/>
        <v>키마님</v>
      </c>
      <c r="I185" t="str">
        <f t="shared" si="42"/>
        <v>딥블렌드</v>
      </c>
      <c r="J185" t="str">
        <f t="shared" si="43"/>
        <v>[연재]네크로맨서 생존기</v>
      </c>
      <c r="K185">
        <v>100</v>
      </c>
      <c r="L185">
        <v>33400</v>
      </c>
      <c r="M185">
        <v>334</v>
      </c>
      <c r="N185">
        <v>0</v>
      </c>
      <c r="O185">
        <v>0</v>
      </c>
      <c r="P185">
        <v>0</v>
      </c>
      <c r="Q185">
        <v>9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-100</v>
      </c>
      <c r="Y185">
        <v>1</v>
      </c>
      <c r="Z185">
        <v>-100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19980</v>
      </c>
      <c r="AL185" t="str">
        <f t="shared" si="44"/>
        <v>0000000000000</v>
      </c>
      <c r="AN185" t="str">
        <f t="shared" si="45"/>
        <v>9791190142359</v>
      </c>
      <c r="AP185" t="str">
        <f t="shared" si="46"/>
        <v>BL 웹소설 &gt; 현대물</v>
      </c>
      <c r="AQ185" t="str">
        <f t="shared" si="47"/>
        <v>BL 웹소설 &gt; 판타지물</v>
      </c>
    </row>
    <row r="186" spans="1:43" x14ac:dyDescent="0.4">
      <c r="A186" t="s">
        <v>43</v>
      </c>
      <c r="B186">
        <v>3822000323</v>
      </c>
      <c r="C186">
        <v>3822000422</v>
      </c>
      <c r="D186" t="str">
        <f>T("[연재]네크로맨서 생존기 63화")</f>
        <v>[연재]네크로맨서 생존기 63화</v>
      </c>
      <c r="E186" t="str">
        <f>T("63")</f>
        <v>63</v>
      </c>
      <c r="F186" t="str">
        <f t="shared" si="41"/>
        <v>키마님</v>
      </c>
      <c r="I186" t="str">
        <f t="shared" si="42"/>
        <v>딥블렌드</v>
      </c>
      <c r="J186" t="str">
        <f t="shared" si="43"/>
        <v>[연재]네크로맨서 생존기</v>
      </c>
      <c r="K186">
        <v>100</v>
      </c>
      <c r="L186">
        <v>33400</v>
      </c>
      <c r="M186">
        <v>334</v>
      </c>
      <c r="N186">
        <v>0</v>
      </c>
      <c r="O186">
        <v>0</v>
      </c>
      <c r="P186">
        <v>0</v>
      </c>
      <c r="Q186">
        <v>7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20040</v>
      </c>
      <c r="AL186" t="str">
        <f t="shared" ref="AL186:AL217" si="48">T("0000000000000")</f>
        <v>0000000000000</v>
      </c>
      <c r="AN186" t="str">
        <f t="shared" si="45"/>
        <v>9791190142359</v>
      </c>
      <c r="AP186" t="str">
        <f t="shared" si="46"/>
        <v>BL 웹소설 &gt; 현대물</v>
      </c>
      <c r="AQ186" t="str">
        <f t="shared" si="47"/>
        <v>BL 웹소설 &gt; 판타지물</v>
      </c>
    </row>
    <row r="187" spans="1:43" x14ac:dyDescent="0.4">
      <c r="A187" t="s">
        <v>43</v>
      </c>
      <c r="B187">
        <v>3822000323</v>
      </c>
      <c r="C187">
        <v>3822000423</v>
      </c>
      <c r="D187" t="str">
        <f>T("[연재]네크로맨서 생존기 64화")</f>
        <v>[연재]네크로맨서 생존기 64화</v>
      </c>
      <c r="E187" t="str">
        <f>T("64")</f>
        <v>64</v>
      </c>
      <c r="F187" t="str">
        <f t="shared" si="41"/>
        <v>키마님</v>
      </c>
      <c r="I187" t="str">
        <f t="shared" si="42"/>
        <v>딥블렌드</v>
      </c>
      <c r="J187" t="str">
        <f t="shared" si="43"/>
        <v>[연재]네크로맨서 생존기</v>
      </c>
      <c r="K187">
        <v>100</v>
      </c>
      <c r="L187">
        <v>33400</v>
      </c>
      <c r="M187">
        <v>334</v>
      </c>
      <c r="N187">
        <v>0</v>
      </c>
      <c r="O187">
        <v>0</v>
      </c>
      <c r="P187">
        <v>0</v>
      </c>
      <c r="Q187">
        <v>5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-100</v>
      </c>
      <c r="Y187">
        <v>1</v>
      </c>
      <c r="Z187">
        <v>-100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19980</v>
      </c>
      <c r="AL187" t="str">
        <f t="shared" si="48"/>
        <v>0000000000000</v>
      </c>
      <c r="AN187" t="str">
        <f t="shared" si="45"/>
        <v>9791190142359</v>
      </c>
      <c r="AP187" t="str">
        <f t="shared" si="46"/>
        <v>BL 웹소설 &gt; 현대물</v>
      </c>
      <c r="AQ187" t="str">
        <f t="shared" si="47"/>
        <v>BL 웹소설 &gt; 판타지물</v>
      </c>
    </row>
    <row r="188" spans="1:43" x14ac:dyDescent="0.4">
      <c r="A188" t="s">
        <v>43</v>
      </c>
      <c r="B188">
        <v>3822000323</v>
      </c>
      <c r="C188">
        <v>3822000608</v>
      </c>
      <c r="D188" t="str">
        <f>T("[연재]네크로맨서 생존기 83화")</f>
        <v>[연재]네크로맨서 생존기 83화</v>
      </c>
      <c r="E188" t="str">
        <f>T("83")</f>
        <v>83</v>
      </c>
      <c r="F188" t="str">
        <f t="shared" si="41"/>
        <v>키마님</v>
      </c>
      <c r="I188" t="str">
        <f t="shared" si="42"/>
        <v>딥블렌드</v>
      </c>
      <c r="J188" t="str">
        <f t="shared" si="43"/>
        <v>[연재]네크로맨서 생존기</v>
      </c>
      <c r="K188">
        <v>100</v>
      </c>
      <c r="L188">
        <v>33300</v>
      </c>
      <c r="M188">
        <v>333</v>
      </c>
      <c r="N188">
        <v>0</v>
      </c>
      <c r="O188">
        <v>0</v>
      </c>
      <c r="P188">
        <v>0</v>
      </c>
      <c r="Q188">
        <v>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-100</v>
      </c>
      <c r="Y188">
        <v>1</v>
      </c>
      <c r="Z188">
        <v>-100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19920</v>
      </c>
      <c r="AL188" t="str">
        <f t="shared" si="48"/>
        <v>0000000000000</v>
      </c>
      <c r="AN188" t="str">
        <f t="shared" si="45"/>
        <v>9791190142359</v>
      </c>
      <c r="AP188" t="str">
        <f t="shared" si="46"/>
        <v>BL 웹소설 &gt; 현대물</v>
      </c>
      <c r="AQ188" t="str">
        <f t="shared" si="47"/>
        <v>BL 웹소설 &gt; 판타지물</v>
      </c>
    </row>
    <row r="189" spans="1:43" x14ac:dyDescent="0.4">
      <c r="A189" t="s">
        <v>43</v>
      </c>
      <c r="B189">
        <v>3822000323</v>
      </c>
      <c r="C189">
        <v>3822000610</v>
      </c>
      <c r="D189" t="str">
        <f>T("[연재]네크로맨서 생존기 84화")</f>
        <v>[연재]네크로맨서 생존기 84화</v>
      </c>
      <c r="E189" t="str">
        <f>T("84")</f>
        <v>84</v>
      </c>
      <c r="F189" t="str">
        <f t="shared" si="41"/>
        <v>키마님</v>
      </c>
      <c r="I189" t="str">
        <f t="shared" si="42"/>
        <v>딥블렌드</v>
      </c>
      <c r="J189" t="str">
        <f t="shared" si="43"/>
        <v>[연재]네크로맨서 생존기</v>
      </c>
      <c r="K189">
        <v>100</v>
      </c>
      <c r="L189">
        <v>33300</v>
      </c>
      <c r="M189">
        <v>333</v>
      </c>
      <c r="N189">
        <v>0</v>
      </c>
      <c r="O189">
        <v>0</v>
      </c>
      <c r="P189">
        <v>0</v>
      </c>
      <c r="Q189">
        <v>8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19980</v>
      </c>
      <c r="AL189" t="str">
        <f t="shared" si="48"/>
        <v>0000000000000</v>
      </c>
      <c r="AN189" t="str">
        <f t="shared" si="45"/>
        <v>9791190142359</v>
      </c>
      <c r="AP189" t="str">
        <f t="shared" si="46"/>
        <v>BL 웹소설 &gt; 현대물</v>
      </c>
      <c r="AQ189" t="str">
        <f t="shared" si="47"/>
        <v>BL 웹소설 &gt; 판타지물</v>
      </c>
    </row>
    <row r="190" spans="1:43" x14ac:dyDescent="0.4">
      <c r="A190" t="s">
        <v>43</v>
      </c>
      <c r="B190">
        <v>3822000323</v>
      </c>
      <c r="C190">
        <v>3822000436</v>
      </c>
      <c r="D190" t="str">
        <f>T("[연재]네크로맨서 생존기 70화")</f>
        <v>[연재]네크로맨서 생존기 70화</v>
      </c>
      <c r="E190" t="str">
        <f>T("70")</f>
        <v>70</v>
      </c>
      <c r="F190" t="str">
        <f t="shared" si="41"/>
        <v>키마님</v>
      </c>
      <c r="I190" t="str">
        <f t="shared" si="42"/>
        <v>딥블렌드</v>
      </c>
      <c r="J190" t="str">
        <f t="shared" si="43"/>
        <v>[연재]네크로맨서 생존기</v>
      </c>
      <c r="K190">
        <v>100</v>
      </c>
      <c r="L190">
        <v>33300</v>
      </c>
      <c r="M190">
        <v>333</v>
      </c>
      <c r="N190">
        <v>0</v>
      </c>
      <c r="O190">
        <v>0</v>
      </c>
      <c r="P190">
        <v>0</v>
      </c>
      <c r="Q190">
        <v>4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19980</v>
      </c>
      <c r="AL190" t="str">
        <f t="shared" si="48"/>
        <v>0000000000000</v>
      </c>
      <c r="AN190" t="str">
        <f t="shared" si="45"/>
        <v>9791190142359</v>
      </c>
      <c r="AP190" t="str">
        <f t="shared" si="46"/>
        <v>BL 웹소설 &gt; 현대물</v>
      </c>
      <c r="AQ190" t="str">
        <f t="shared" si="47"/>
        <v>BL 웹소설 &gt; 판타지물</v>
      </c>
    </row>
    <row r="191" spans="1:43" x14ac:dyDescent="0.4">
      <c r="A191" t="s">
        <v>43</v>
      </c>
      <c r="B191">
        <v>3822000323</v>
      </c>
      <c r="C191">
        <v>3822000568</v>
      </c>
      <c r="D191" t="str">
        <f>T("[연재]네크로맨서 생존기 73화")</f>
        <v>[연재]네크로맨서 생존기 73화</v>
      </c>
      <c r="E191" t="str">
        <f>T("73")</f>
        <v>73</v>
      </c>
      <c r="F191" t="str">
        <f t="shared" si="41"/>
        <v>키마님</v>
      </c>
      <c r="I191" t="str">
        <f t="shared" si="42"/>
        <v>딥블렌드</v>
      </c>
      <c r="J191" t="str">
        <f t="shared" si="43"/>
        <v>[연재]네크로맨서 생존기</v>
      </c>
      <c r="K191">
        <v>100</v>
      </c>
      <c r="L191">
        <v>33200</v>
      </c>
      <c r="M191">
        <v>332</v>
      </c>
      <c r="N191">
        <v>0</v>
      </c>
      <c r="O191">
        <v>0</v>
      </c>
      <c r="P191">
        <v>0</v>
      </c>
      <c r="Q191">
        <v>4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-100</v>
      </c>
      <c r="Y191">
        <v>1</v>
      </c>
      <c r="Z191">
        <v>-100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19860</v>
      </c>
      <c r="AL191" t="str">
        <f t="shared" si="48"/>
        <v>0000000000000</v>
      </c>
      <c r="AN191" t="str">
        <f t="shared" si="45"/>
        <v>9791190142359</v>
      </c>
      <c r="AP191" t="str">
        <f t="shared" si="46"/>
        <v>BL 웹소설 &gt; 현대물</v>
      </c>
      <c r="AQ191" t="str">
        <f t="shared" si="47"/>
        <v>BL 웹소설 &gt; 판타지물</v>
      </c>
    </row>
    <row r="192" spans="1:43" x14ac:dyDescent="0.4">
      <c r="A192" t="s">
        <v>43</v>
      </c>
      <c r="B192">
        <v>3822000323</v>
      </c>
      <c r="C192">
        <v>3822000614</v>
      </c>
      <c r="D192" t="str">
        <f>T("[연재]네크로맨서 생존기 87화")</f>
        <v>[연재]네크로맨서 생존기 87화</v>
      </c>
      <c r="E192" t="str">
        <f>T("87")</f>
        <v>87</v>
      </c>
      <c r="F192" t="str">
        <f t="shared" si="41"/>
        <v>키마님</v>
      </c>
      <c r="I192" t="str">
        <f t="shared" si="42"/>
        <v>딥블렌드</v>
      </c>
      <c r="J192" t="str">
        <f t="shared" si="43"/>
        <v>[연재]네크로맨서 생존기</v>
      </c>
      <c r="K192">
        <v>100</v>
      </c>
      <c r="L192">
        <v>33200</v>
      </c>
      <c r="M192">
        <v>332</v>
      </c>
      <c r="N192">
        <v>0</v>
      </c>
      <c r="O192">
        <v>0</v>
      </c>
      <c r="P192">
        <v>0</v>
      </c>
      <c r="Q192">
        <v>7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19920</v>
      </c>
      <c r="AL192" t="str">
        <f t="shared" si="48"/>
        <v>0000000000000</v>
      </c>
      <c r="AN192" t="str">
        <f t="shared" si="45"/>
        <v>9791190142359</v>
      </c>
      <c r="AP192" t="str">
        <f t="shared" si="46"/>
        <v>BL 웹소설 &gt; 현대물</v>
      </c>
      <c r="AQ192" t="str">
        <f t="shared" si="47"/>
        <v>BL 웹소설 &gt; 판타지물</v>
      </c>
    </row>
    <row r="193" spans="1:43" x14ac:dyDescent="0.4">
      <c r="A193" t="s">
        <v>43</v>
      </c>
      <c r="B193">
        <v>3822000323</v>
      </c>
      <c r="C193">
        <v>3822000619</v>
      </c>
      <c r="D193" t="str">
        <f>T("[연재]네크로맨서 생존기 89화")</f>
        <v>[연재]네크로맨서 생존기 89화</v>
      </c>
      <c r="E193" t="str">
        <f>T("89")</f>
        <v>89</v>
      </c>
      <c r="F193" t="str">
        <f t="shared" si="41"/>
        <v>키마님</v>
      </c>
      <c r="I193" t="str">
        <f t="shared" si="42"/>
        <v>딥블렌드</v>
      </c>
      <c r="J193" t="str">
        <f t="shared" si="43"/>
        <v>[연재]네크로맨서 생존기</v>
      </c>
      <c r="K193">
        <v>100</v>
      </c>
      <c r="L193">
        <v>33200</v>
      </c>
      <c r="M193">
        <v>332</v>
      </c>
      <c r="N193">
        <v>0</v>
      </c>
      <c r="O193">
        <v>0</v>
      </c>
      <c r="P193">
        <v>0</v>
      </c>
      <c r="Q193">
        <v>9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19920</v>
      </c>
      <c r="AL193" t="str">
        <f t="shared" si="48"/>
        <v>0000000000000</v>
      </c>
      <c r="AN193" t="str">
        <f t="shared" si="45"/>
        <v>9791190142359</v>
      </c>
      <c r="AP193" t="str">
        <f t="shared" si="46"/>
        <v>BL 웹소설 &gt; 현대물</v>
      </c>
      <c r="AQ193" t="str">
        <f t="shared" si="47"/>
        <v>BL 웹소설 &gt; 판타지물</v>
      </c>
    </row>
    <row r="194" spans="1:43" x14ac:dyDescent="0.4">
      <c r="A194" t="s">
        <v>43</v>
      </c>
      <c r="B194">
        <v>3822000323</v>
      </c>
      <c r="C194">
        <v>3822000716</v>
      </c>
      <c r="D194" t="str">
        <f>T("[연재]네크로맨서 생존기 102화")</f>
        <v>[연재]네크로맨서 생존기 102화</v>
      </c>
      <c r="E194" t="str">
        <f>T("102")</f>
        <v>102</v>
      </c>
      <c r="F194" t="str">
        <f t="shared" si="41"/>
        <v>키마님</v>
      </c>
      <c r="I194" t="str">
        <f t="shared" si="42"/>
        <v>딥블렌드</v>
      </c>
      <c r="J194" t="str">
        <f t="shared" si="43"/>
        <v>[연재]네크로맨서 생존기</v>
      </c>
      <c r="K194">
        <v>100</v>
      </c>
      <c r="L194">
        <v>33100</v>
      </c>
      <c r="M194">
        <v>331</v>
      </c>
      <c r="N194">
        <v>0</v>
      </c>
      <c r="O194">
        <v>0</v>
      </c>
      <c r="P194">
        <v>0</v>
      </c>
      <c r="Q194">
        <v>2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19860</v>
      </c>
      <c r="AL194" t="str">
        <f t="shared" si="48"/>
        <v>0000000000000</v>
      </c>
      <c r="AN194" t="str">
        <f t="shared" si="45"/>
        <v>9791190142359</v>
      </c>
      <c r="AP194" t="str">
        <f t="shared" si="46"/>
        <v>BL 웹소설 &gt; 현대물</v>
      </c>
      <c r="AQ194" t="str">
        <f t="shared" si="47"/>
        <v>BL 웹소설 &gt; 판타지물</v>
      </c>
    </row>
    <row r="195" spans="1:43" x14ac:dyDescent="0.4">
      <c r="A195" t="s">
        <v>43</v>
      </c>
      <c r="B195">
        <v>3822000323</v>
      </c>
      <c r="C195">
        <v>3822000856</v>
      </c>
      <c r="D195" t="str">
        <f>T("[연재]네크로맨서 생존기 121화")</f>
        <v>[연재]네크로맨서 생존기 121화</v>
      </c>
      <c r="E195" t="str">
        <f>T("121")</f>
        <v>121</v>
      </c>
      <c r="F195" t="str">
        <f t="shared" si="41"/>
        <v>키마님</v>
      </c>
      <c r="I195" t="str">
        <f t="shared" si="42"/>
        <v>딥블렌드</v>
      </c>
      <c r="J195" t="str">
        <f t="shared" si="43"/>
        <v>[연재]네크로맨서 생존기</v>
      </c>
      <c r="K195">
        <v>100</v>
      </c>
      <c r="L195">
        <v>33100</v>
      </c>
      <c r="M195">
        <v>331</v>
      </c>
      <c r="N195">
        <v>0</v>
      </c>
      <c r="O195">
        <v>0</v>
      </c>
      <c r="P195">
        <v>0</v>
      </c>
      <c r="Q195">
        <v>4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-100</v>
      </c>
      <c r="Y195">
        <v>1</v>
      </c>
      <c r="Z195">
        <v>-100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19800</v>
      </c>
      <c r="AL195" t="str">
        <f t="shared" si="48"/>
        <v>0000000000000</v>
      </c>
      <c r="AN195" t="str">
        <f t="shared" si="45"/>
        <v>9791190142359</v>
      </c>
      <c r="AP195" t="str">
        <f t="shared" si="46"/>
        <v>BL 웹소설 &gt; 현대물</v>
      </c>
      <c r="AQ195" t="str">
        <f t="shared" si="47"/>
        <v>BL 웹소설 &gt; 판타지물</v>
      </c>
    </row>
    <row r="196" spans="1:43" x14ac:dyDescent="0.4">
      <c r="A196" t="s">
        <v>43</v>
      </c>
      <c r="B196">
        <v>3822000323</v>
      </c>
      <c r="C196">
        <v>3822000710</v>
      </c>
      <c r="D196" t="str">
        <f>T("[연재]네크로맨서 생존기 100화")</f>
        <v>[연재]네크로맨서 생존기 100화</v>
      </c>
      <c r="E196" t="str">
        <f>T("100")</f>
        <v>100</v>
      </c>
      <c r="F196" t="str">
        <f t="shared" si="41"/>
        <v>키마님</v>
      </c>
      <c r="I196" t="str">
        <f t="shared" si="42"/>
        <v>딥블렌드</v>
      </c>
      <c r="J196" t="str">
        <f t="shared" si="43"/>
        <v>[연재]네크로맨서 생존기</v>
      </c>
      <c r="K196">
        <v>100</v>
      </c>
      <c r="L196">
        <v>33100</v>
      </c>
      <c r="M196">
        <v>331</v>
      </c>
      <c r="N196">
        <v>0</v>
      </c>
      <c r="O196">
        <v>0</v>
      </c>
      <c r="P196">
        <v>0</v>
      </c>
      <c r="Q196">
        <v>3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19860</v>
      </c>
      <c r="AL196" t="str">
        <f t="shared" si="48"/>
        <v>0000000000000</v>
      </c>
      <c r="AN196" t="str">
        <f t="shared" si="45"/>
        <v>9791190142359</v>
      </c>
      <c r="AP196" t="str">
        <f t="shared" si="46"/>
        <v>BL 웹소설 &gt; 현대물</v>
      </c>
      <c r="AQ196" t="str">
        <f t="shared" si="47"/>
        <v>BL 웹소설 &gt; 판타지물</v>
      </c>
    </row>
    <row r="197" spans="1:43" x14ac:dyDescent="0.4">
      <c r="A197" t="s">
        <v>43</v>
      </c>
      <c r="B197">
        <v>3822000323</v>
      </c>
      <c r="C197">
        <v>3822000435</v>
      </c>
      <c r="D197" t="str">
        <f>T("[연재]네크로맨서 생존기 69화")</f>
        <v>[연재]네크로맨서 생존기 69화</v>
      </c>
      <c r="E197" t="str">
        <f>T("69")</f>
        <v>69</v>
      </c>
      <c r="F197" t="str">
        <f t="shared" si="41"/>
        <v>키마님</v>
      </c>
      <c r="I197" t="str">
        <f t="shared" si="42"/>
        <v>딥블렌드</v>
      </c>
      <c r="J197" t="str">
        <f t="shared" si="43"/>
        <v>[연재]네크로맨서 생존기</v>
      </c>
      <c r="K197">
        <v>100</v>
      </c>
      <c r="L197">
        <v>33100</v>
      </c>
      <c r="M197">
        <v>331</v>
      </c>
      <c r="N197">
        <v>0</v>
      </c>
      <c r="O197">
        <v>0</v>
      </c>
      <c r="P197">
        <v>0</v>
      </c>
      <c r="Q197">
        <v>4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19860</v>
      </c>
      <c r="AL197" t="str">
        <f t="shared" si="48"/>
        <v>0000000000000</v>
      </c>
      <c r="AN197" t="str">
        <f t="shared" si="45"/>
        <v>9791190142359</v>
      </c>
      <c r="AP197" t="str">
        <f t="shared" si="46"/>
        <v>BL 웹소설 &gt; 현대물</v>
      </c>
      <c r="AQ197" t="str">
        <f t="shared" si="47"/>
        <v>BL 웹소설 &gt; 판타지물</v>
      </c>
    </row>
    <row r="198" spans="1:43" x14ac:dyDescent="0.4">
      <c r="A198" t="s">
        <v>43</v>
      </c>
      <c r="B198">
        <v>3822000323</v>
      </c>
      <c r="C198">
        <v>3822000578</v>
      </c>
      <c r="D198" t="str">
        <f>T("[연재]네크로맨서 생존기 76화")</f>
        <v>[연재]네크로맨서 생존기 76화</v>
      </c>
      <c r="E198" t="str">
        <f>T("76")</f>
        <v>76</v>
      </c>
      <c r="F198" t="str">
        <f t="shared" si="41"/>
        <v>키마님</v>
      </c>
      <c r="I198" t="str">
        <f t="shared" si="42"/>
        <v>딥블렌드</v>
      </c>
      <c r="J198" t="str">
        <f t="shared" si="43"/>
        <v>[연재]네크로맨서 생존기</v>
      </c>
      <c r="K198">
        <v>100</v>
      </c>
      <c r="L198">
        <v>33100</v>
      </c>
      <c r="M198">
        <v>331</v>
      </c>
      <c r="N198">
        <v>0</v>
      </c>
      <c r="O198">
        <v>0</v>
      </c>
      <c r="P198">
        <v>0</v>
      </c>
      <c r="Q198">
        <v>3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-100</v>
      </c>
      <c r="Y198">
        <v>1</v>
      </c>
      <c r="Z198">
        <v>-100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19800</v>
      </c>
      <c r="AL198" t="str">
        <f t="shared" si="48"/>
        <v>0000000000000</v>
      </c>
      <c r="AN198" t="str">
        <f t="shared" si="45"/>
        <v>9791190142359</v>
      </c>
      <c r="AP198" t="str">
        <f t="shared" si="46"/>
        <v>BL 웹소설 &gt; 현대물</v>
      </c>
      <c r="AQ198" t="str">
        <f t="shared" si="47"/>
        <v>BL 웹소설 &gt; 판타지물</v>
      </c>
    </row>
    <row r="199" spans="1:43" x14ac:dyDescent="0.4">
      <c r="A199" t="s">
        <v>43</v>
      </c>
      <c r="C199">
        <v>3822000746</v>
      </c>
      <c r="D199" t="str">
        <f>T("화이트데이의 비밀")</f>
        <v>화이트데이의 비밀</v>
      </c>
      <c r="F199" t="str">
        <f>T("한야하")</f>
        <v>한야하</v>
      </c>
      <c r="I199" t="str">
        <f>T("애프터선셋")</f>
        <v>애프터선셋</v>
      </c>
      <c r="K199">
        <v>3000</v>
      </c>
      <c r="L199">
        <v>33000</v>
      </c>
      <c r="M199">
        <v>11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23100</v>
      </c>
      <c r="AL199" t="str">
        <f t="shared" si="48"/>
        <v>0000000000000</v>
      </c>
      <c r="AN199" t="str">
        <f>T("9791190142786")</f>
        <v>9791190142786</v>
      </c>
      <c r="AP199" t="str">
        <f>T("로맨스 e북 &gt; 현대물")</f>
        <v>로맨스 e북 &gt; 현대물</v>
      </c>
      <c r="AQ199" t="str">
        <f>T("로맨스 e북 &gt; 19+")</f>
        <v>로맨스 e북 &gt; 19+</v>
      </c>
    </row>
    <row r="200" spans="1:43" x14ac:dyDescent="0.4">
      <c r="A200" t="s">
        <v>43</v>
      </c>
      <c r="B200">
        <v>3822000323</v>
      </c>
      <c r="C200">
        <v>3822000637</v>
      </c>
      <c r="D200" t="str">
        <f>T("[연재]네크로맨서 생존기 92화")</f>
        <v>[연재]네크로맨서 생존기 92화</v>
      </c>
      <c r="E200" t="str">
        <f>T("92")</f>
        <v>92</v>
      </c>
      <c r="F200" t="str">
        <f>T("키마님")</f>
        <v>키마님</v>
      </c>
      <c r="I200" t="str">
        <f>T("딥블렌드")</f>
        <v>딥블렌드</v>
      </c>
      <c r="J200" t="str">
        <f>T("[연재]네크로맨서 생존기")</f>
        <v>[연재]네크로맨서 생존기</v>
      </c>
      <c r="K200">
        <v>100</v>
      </c>
      <c r="L200">
        <v>33000</v>
      </c>
      <c r="M200">
        <v>330</v>
      </c>
      <c r="N200">
        <v>0</v>
      </c>
      <c r="O200">
        <v>0</v>
      </c>
      <c r="P200">
        <v>0</v>
      </c>
      <c r="Q200">
        <v>7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19800</v>
      </c>
      <c r="AL200" t="str">
        <f t="shared" si="48"/>
        <v>0000000000000</v>
      </c>
      <c r="AN200" t="str">
        <f>T("9791190142359")</f>
        <v>9791190142359</v>
      </c>
      <c r="AP200" t="str">
        <f>T("BL 웹소설 &gt; 현대물")</f>
        <v>BL 웹소설 &gt; 현대물</v>
      </c>
      <c r="AQ200" t="str">
        <f>T("BL 웹소설 &gt; 판타지물")</f>
        <v>BL 웹소설 &gt; 판타지물</v>
      </c>
    </row>
    <row r="201" spans="1:43" x14ac:dyDescent="0.4">
      <c r="A201" t="s">
        <v>43</v>
      </c>
      <c r="C201">
        <v>3822000389</v>
      </c>
      <c r="D201" t="str">
        <f>T("갑의 노예계약")</f>
        <v>갑의 노예계약</v>
      </c>
      <c r="F201" t="str">
        <f>T("주아일")</f>
        <v>주아일</v>
      </c>
      <c r="I201" t="str">
        <f>T("애프터선셋")</f>
        <v>애프터선셋</v>
      </c>
      <c r="K201">
        <v>3300</v>
      </c>
      <c r="L201">
        <v>33000</v>
      </c>
      <c r="M201">
        <v>10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23100</v>
      </c>
      <c r="AL201" t="str">
        <f t="shared" si="48"/>
        <v>0000000000000</v>
      </c>
      <c r="AN201" t="str">
        <f>T("9791190142427")</f>
        <v>9791190142427</v>
      </c>
      <c r="AP201" t="str">
        <f>T("로맨스 e북 &gt; 현대물")</f>
        <v>로맨스 e북 &gt; 현대물</v>
      </c>
      <c r="AQ201" t="str">
        <f>T("로맨스 e북 &gt; 19+")</f>
        <v>로맨스 e북 &gt; 19+</v>
      </c>
    </row>
    <row r="202" spans="1:43" x14ac:dyDescent="0.4">
      <c r="A202" t="s">
        <v>43</v>
      </c>
      <c r="B202">
        <v>3822000323</v>
      </c>
      <c r="C202">
        <v>3822000712</v>
      </c>
      <c r="D202" t="str">
        <f>T("[연재]네크로맨서 생존기 101화")</f>
        <v>[연재]네크로맨서 생존기 101화</v>
      </c>
      <c r="E202" t="str">
        <f>T("101")</f>
        <v>101</v>
      </c>
      <c r="F202" t="str">
        <f t="shared" ref="F202:F234" si="49">T("키마님")</f>
        <v>키마님</v>
      </c>
      <c r="I202" t="str">
        <f t="shared" ref="I202:I234" si="50">T("딥블렌드")</f>
        <v>딥블렌드</v>
      </c>
      <c r="J202" t="str">
        <f t="shared" ref="J202:J234" si="51">T("[연재]네크로맨서 생존기")</f>
        <v>[연재]네크로맨서 생존기</v>
      </c>
      <c r="K202">
        <v>100</v>
      </c>
      <c r="L202">
        <v>33000</v>
      </c>
      <c r="M202">
        <v>330</v>
      </c>
      <c r="N202">
        <v>0</v>
      </c>
      <c r="O202">
        <v>0</v>
      </c>
      <c r="P202">
        <v>0</v>
      </c>
      <c r="Q202">
        <v>3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19800</v>
      </c>
      <c r="AL202" t="str">
        <f t="shared" si="48"/>
        <v>0000000000000</v>
      </c>
      <c r="AN202" t="str">
        <f t="shared" ref="AN202:AN234" si="52">T("9791190142359")</f>
        <v>9791190142359</v>
      </c>
      <c r="AP202" t="str">
        <f t="shared" ref="AP202:AP234" si="53">T("BL 웹소설 &gt; 현대물")</f>
        <v>BL 웹소설 &gt; 현대물</v>
      </c>
      <c r="AQ202" t="str">
        <f t="shared" ref="AQ202:AQ234" si="54">T("BL 웹소설 &gt; 판타지물")</f>
        <v>BL 웹소설 &gt; 판타지물</v>
      </c>
    </row>
    <row r="203" spans="1:43" x14ac:dyDescent="0.4">
      <c r="A203" t="s">
        <v>43</v>
      </c>
      <c r="B203">
        <v>3822000323</v>
      </c>
      <c r="C203">
        <v>3822000604</v>
      </c>
      <c r="D203" t="str">
        <f>T("[연재]네크로맨서 생존기 81화")</f>
        <v>[연재]네크로맨서 생존기 81화</v>
      </c>
      <c r="E203" t="str">
        <f>T("81")</f>
        <v>81</v>
      </c>
      <c r="F203" t="str">
        <f t="shared" si="49"/>
        <v>키마님</v>
      </c>
      <c r="I203" t="str">
        <f t="shared" si="50"/>
        <v>딥블렌드</v>
      </c>
      <c r="J203" t="str">
        <f t="shared" si="51"/>
        <v>[연재]네크로맨서 생존기</v>
      </c>
      <c r="K203">
        <v>100</v>
      </c>
      <c r="L203">
        <v>33000</v>
      </c>
      <c r="M203">
        <v>330</v>
      </c>
      <c r="N203">
        <v>0</v>
      </c>
      <c r="O203">
        <v>0</v>
      </c>
      <c r="P203">
        <v>0</v>
      </c>
      <c r="Q203">
        <v>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-100</v>
      </c>
      <c r="Y203">
        <v>1</v>
      </c>
      <c r="Z203">
        <v>-100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19740</v>
      </c>
      <c r="AL203" t="str">
        <f t="shared" si="48"/>
        <v>0000000000000</v>
      </c>
      <c r="AN203" t="str">
        <f t="shared" si="52"/>
        <v>9791190142359</v>
      </c>
      <c r="AP203" t="str">
        <f t="shared" si="53"/>
        <v>BL 웹소설 &gt; 현대물</v>
      </c>
      <c r="AQ203" t="str">
        <f t="shared" si="54"/>
        <v>BL 웹소설 &gt; 판타지물</v>
      </c>
    </row>
    <row r="204" spans="1:43" x14ac:dyDescent="0.4">
      <c r="A204" t="s">
        <v>43</v>
      </c>
      <c r="B204">
        <v>3822000323</v>
      </c>
      <c r="C204">
        <v>3822000618</v>
      </c>
      <c r="D204" t="str">
        <f>T("[연재]네크로맨서 생존기 88화")</f>
        <v>[연재]네크로맨서 생존기 88화</v>
      </c>
      <c r="E204" t="str">
        <f>T("88")</f>
        <v>88</v>
      </c>
      <c r="F204" t="str">
        <f t="shared" si="49"/>
        <v>키마님</v>
      </c>
      <c r="I204" t="str">
        <f t="shared" si="50"/>
        <v>딥블렌드</v>
      </c>
      <c r="J204" t="str">
        <f t="shared" si="51"/>
        <v>[연재]네크로맨서 생존기</v>
      </c>
      <c r="K204">
        <v>100</v>
      </c>
      <c r="L204">
        <v>33000</v>
      </c>
      <c r="M204">
        <v>330</v>
      </c>
      <c r="N204">
        <v>0</v>
      </c>
      <c r="O204">
        <v>0</v>
      </c>
      <c r="P204">
        <v>0</v>
      </c>
      <c r="Q204">
        <v>9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19800</v>
      </c>
      <c r="AL204" t="str">
        <f t="shared" si="48"/>
        <v>0000000000000</v>
      </c>
      <c r="AN204" t="str">
        <f t="shared" si="52"/>
        <v>9791190142359</v>
      </c>
      <c r="AP204" t="str">
        <f t="shared" si="53"/>
        <v>BL 웹소설 &gt; 현대물</v>
      </c>
      <c r="AQ204" t="str">
        <f t="shared" si="54"/>
        <v>BL 웹소설 &gt; 판타지물</v>
      </c>
    </row>
    <row r="205" spans="1:43" x14ac:dyDescent="0.4">
      <c r="A205" t="s">
        <v>43</v>
      </c>
      <c r="B205">
        <v>3822000323</v>
      </c>
      <c r="C205">
        <v>3822000565</v>
      </c>
      <c r="D205" t="str">
        <f>T("[연재]네크로맨서 생존기 71화")</f>
        <v>[연재]네크로맨서 생존기 71화</v>
      </c>
      <c r="E205" t="str">
        <f>T("71")</f>
        <v>71</v>
      </c>
      <c r="F205" t="str">
        <f t="shared" si="49"/>
        <v>키마님</v>
      </c>
      <c r="I205" t="str">
        <f t="shared" si="50"/>
        <v>딥블렌드</v>
      </c>
      <c r="J205" t="str">
        <f t="shared" si="51"/>
        <v>[연재]네크로맨서 생존기</v>
      </c>
      <c r="K205">
        <v>100</v>
      </c>
      <c r="L205">
        <v>32900</v>
      </c>
      <c r="M205">
        <v>329</v>
      </c>
      <c r="N205">
        <v>0</v>
      </c>
      <c r="O205">
        <v>0</v>
      </c>
      <c r="P205">
        <v>0</v>
      </c>
      <c r="Q205">
        <v>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19740</v>
      </c>
      <c r="AL205" t="str">
        <f t="shared" si="48"/>
        <v>0000000000000</v>
      </c>
      <c r="AN205" t="str">
        <f t="shared" si="52"/>
        <v>9791190142359</v>
      </c>
      <c r="AP205" t="str">
        <f t="shared" si="53"/>
        <v>BL 웹소설 &gt; 현대물</v>
      </c>
      <c r="AQ205" t="str">
        <f t="shared" si="54"/>
        <v>BL 웹소설 &gt; 판타지물</v>
      </c>
    </row>
    <row r="206" spans="1:43" x14ac:dyDescent="0.4">
      <c r="A206" t="s">
        <v>43</v>
      </c>
      <c r="B206">
        <v>3822000323</v>
      </c>
      <c r="C206">
        <v>3822000566</v>
      </c>
      <c r="D206" t="str">
        <f>T("[연재]네크로맨서 생존기 72화")</f>
        <v>[연재]네크로맨서 생존기 72화</v>
      </c>
      <c r="E206" t="str">
        <f>T("72")</f>
        <v>72</v>
      </c>
      <c r="F206" t="str">
        <f t="shared" si="49"/>
        <v>키마님</v>
      </c>
      <c r="I206" t="str">
        <f t="shared" si="50"/>
        <v>딥블렌드</v>
      </c>
      <c r="J206" t="str">
        <f t="shared" si="51"/>
        <v>[연재]네크로맨서 생존기</v>
      </c>
      <c r="K206">
        <v>100</v>
      </c>
      <c r="L206">
        <v>32900</v>
      </c>
      <c r="M206">
        <v>329</v>
      </c>
      <c r="N206">
        <v>0</v>
      </c>
      <c r="O206">
        <v>0</v>
      </c>
      <c r="P206">
        <v>0</v>
      </c>
      <c r="Q206">
        <v>4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-100</v>
      </c>
      <c r="Y206">
        <v>1</v>
      </c>
      <c r="Z206">
        <v>-100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19680</v>
      </c>
      <c r="AL206" t="str">
        <f t="shared" si="48"/>
        <v>0000000000000</v>
      </c>
      <c r="AN206" t="str">
        <f t="shared" si="52"/>
        <v>9791190142359</v>
      </c>
      <c r="AP206" t="str">
        <f t="shared" si="53"/>
        <v>BL 웹소설 &gt; 현대물</v>
      </c>
      <c r="AQ206" t="str">
        <f t="shared" si="54"/>
        <v>BL 웹소설 &gt; 판타지물</v>
      </c>
    </row>
    <row r="207" spans="1:43" x14ac:dyDescent="0.4">
      <c r="A207" t="s">
        <v>43</v>
      </c>
      <c r="B207">
        <v>3822000323</v>
      </c>
      <c r="C207">
        <v>3822000426</v>
      </c>
      <c r="D207" t="str">
        <f>T("[연재]네크로맨서 생존기 65화")</f>
        <v>[연재]네크로맨서 생존기 65화</v>
      </c>
      <c r="E207" t="str">
        <f>T("65")</f>
        <v>65</v>
      </c>
      <c r="F207" t="str">
        <f t="shared" si="49"/>
        <v>키마님</v>
      </c>
      <c r="I207" t="str">
        <f t="shared" si="50"/>
        <v>딥블렌드</v>
      </c>
      <c r="J207" t="str">
        <f t="shared" si="51"/>
        <v>[연재]네크로맨서 생존기</v>
      </c>
      <c r="K207">
        <v>100</v>
      </c>
      <c r="L207">
        <v>32900</v>
      </c>
      <c r="M207">
        <v>329</v>
      </c>
      <c r="N207">
        <v>0</v>
      </c>
      <c r="O207">
        <v>0</v>
      </c>
      <c r="P207">
        <v>0</v>
      </c>
      <c r="Q207">
        <v>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-100</v>
      </c>
      <c r="Y207">
        <v>1</v>
      </c>
      <c r="Z207">
        <v>-100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19680</v>
      </c>
      <c r="AL207" t="str">
        <f t="shared" si="48"/>
        <v>0000000000000</v>
      </c>
      <c r="AN207" t="str">
        <f t="shared" si="52"/>
        <v>9791190142359</v>
      </c>
      <c r="AP207" t="str">
        <f t="shared" si="53"/>
        <v>BL 웹소설 &gt; 현대물</v>
      </c>
      <c r="AQ207" t="str">
        <f t="shared" si="54"/>
        <v>BL 웹소설 &gt; 판타지물</v>
      </c>
    </row>
    <row r="208" spans="1:43" x14ac:dyDescent="0.4">
      <c r="A208" t="s">
        <v>43</v>
      </c>
      <c r="B208">
        <v>3822000323</v>
      </c>
      <c r="C208">
        <v>3822000719</v>
      </c>
      <c r="D208" t="str">
        <f>T("[연재]네크로맨서 생존기 103화")</f>
        <v>[연재]네크로맨서 생존기 103화</v>
      </c>
      <c r="E208" t="str">
        <f>T("103")</f>
        <v>103</v>
      </c>
      <c r="F208" t="str">
        <f t="shared" si="49"/>
        <v>키마님</v>
      </c>
      <c r="I208" t="str">
        <f t="shared" si="50"/>
        <v>딥블렌드</v>
      </c>
      <c r="J208" t="str">
        <f t="shared" si="51"/>
        <v>[연재]네크로맨서 생존기</v>
      </c>
      <c r="K208">
        <v>100</v>
      </c>
      <c r="L208">
        <v>32900</v>
      </c>
      <c r="M208">
        <v>329</v>
      </c>
      <c r="N208">
        <v>0</v>
      </c>
      <c r="O208">
        <v>0</v>
      </c>
      <c r="P208">
        <v>0</v>
      </c>
      <c r="Q208">
        <v>3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19740</v>
      </c>
      <c r="AL208" t="str">
        <f t="shared" si="48"/>
        <v>0000000000000</v>
      </c>
      <c r="AN208" t="str">
        <f t="shared" si="52"/>
        <v>9791190142359</v>
      </c>
      <c r="AP208" t="str">
        <f t="shared" si="53"/>
        <v>BL 웹소설 &gt; 현대물</v>
      </c>
      <c r="AQ208" t="str">
        <f t="shared" si="54"/>
        <v>BL 웹소설 &gt; 판타지물</v>
      </c>
    </row>
    <row r="209" spans="1:43" x14ac:dyDescent="0.4">
      <c r="A209" t="s">
        <v>43</v>
      </c>
      <c r="B209">
        <v>3822000323</v>
      </c>
      <c r="C209">
        <v>3822000733</v>
      </c>
      <c r="D209" t="str">
        <f>T("[연재]네크로맨서 생존기 108화")</f>
        <v>[연재]네크로맨서 생존기 108화</v>
      </c>
      <c r="E209" t="str">
        <f>T("108")</f>
        <v>108</v>
      </c>
      <c r="F209" t="str">
        <f t="shared" si="49"/>
        <v>키마님</v>
      </c>
      <c r="I209" t="str">
        <f t="shared" si="50"/>
        <v>딥블렌드</v>
      </c>
      <c r="J209" t="str">
        <f t="shared" si="51"/>
        <v>[연재]네크로맨서 생존기</v>
      </c>
      <c r="K209">
        <v>100</v>
      </c>
      <c r="L209">
        <v>32900</v>
      </c>
      <c r="M209">
        <v>329</v>
      </c>
      <c r="N209">
        <v>0</v>
      </c>
      <c r="O209">
        <v>0</v>
      </c>
      <c r="P209">
        <v>0</v>
      </c>
      <c r="Q209">
        <v>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19740</v>
      </c>
      <c r="AL209" t="str">
        <f t="shared" si="48"/>
        <v>0000000000000</v>
      </c>
      <c r="AN209" t="str">
        <f t="shared" si="52"/>
        <v>9791190142359</v>
      </c>
      <c r="AP209" t="str">
        <f t="shared" si="53"/>
        <v>BL 웹소설 &gt; 현대물</v>
      </c>
      <c r="AQ209" t="str">
        <f t="shared" si="54"/>
        <v>BL 웹소설 &gt; 판타지물</v>
      </c>
    </row>
    <row r="210" spans="1:43" x14ac:dyDescent="0.4">
      <c r="A210" t="s">
        <v>43</v>
      </c>
      <c r="B210">
        <v>3822000323</v>
      </c>
      <c r="C210">
        <v>3822000580</v>
      </c>
      <c r="D210" t="str">
        <f>T("[연재]네크로맨서 생존기 77화")</f>
        <v>[연재]네크로맨서 생존기 77화</v>
      </c>
      <c r="E210" t="str">
        <f>T("77")</f>
        <v>77</v>
      </c>
      <c r="F210" t="str">
        <f t="shared" si="49"/>
        <v>키마님</v>
      </c>
      <c r="I210" t="str">
        <f t="shared" si="50"/>
        <v>딥블렌드</v>
      </c>
      <c r="J210" t="str">
        <f t="shared" si="51"/>
        <v>[연재]네크로맨서 생존기</v>
      </c>
      <c r="K210">
        <v>100</v>
      </c>
      <c r="L210">
        <v>32800</v>
      </c>
      <c r="M210">
        <v>328</v>
      </c>
      <c r="N210">
        <v>0</v>
      </c>
      <c r="O210">
        <v>0</v>
      </c>
      <c r="P210">
        <v>0</v>
      </c>
      <c r="Q210">
        <v>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-100</v>
      </c>
      <c r="Y210">
        <v>1</v>
      </c>
      <c r="Z210">
        <v>-100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19620</v>
      </c>
      <c r="AL210" t="str">
        <f t="shared" si="48"/>
        <v>0000000000000</v>
      </c>
      <c r="AN210" t="str">
        <f t="shared" si="52"/>
        <v>9791190142359</v>
      </c>
      <c r="AP210" t="str">
        <f t="shared" si="53"/>
        <v>BL 웹소설 &gt; 현대물</v>
      </c>
      <c r="AQ210" t="str">
        <f t="shared" si="54"/>
        <v>BL 웹소설 &gt; 판타지물</v>
      </c>
    </row>
    <row r="211" spans="1:43" x14ac:dyDescent="0.4">
      <c r="A211" t="s">
        <v>43</v>
      </c>
      <c r="B211">
        <v>3822000323</v>
      </c>
      <c r="C211">
        <v>3822000429</v>
      </c>
      <c r="D211" t="str">
        <f>T("[연재]네크로맨서 생존기 67화")</f>
        <v>[연재]네크로맨서 생존기 67화</v>
      </c>
      <c r="E211" t="str">
        <f>T("67")</f>
        <v>67</v>
      </c>
      <c r="F211" t="str">
        <f t="shared" si="49"/>
        <v>키마님</v>
      </c>
      <c r="I211" t="str">
        <f t="shared" si="50"/>
        <v>딥블렌드</v>
      </c>
      <c r="J211" t="str">
        <f t="shared" si="51"/>
        <v>[연재]네크로맨서 생존기</v>
      </c>
      <c r="K211">
        <v>100</v>
      </c>
      <c r="L211">
        <v>32800</v>
      </c>
      <c r="M211">
        <v>328</v>
      </c>
      <c r="N211">
        <v>0</v>
      </c>
      <c r="O211">
        <v>0</v>
      </c>
      <c r="P211">
        <v>0</v>
      </c>
      <c r="Q211">
        <v>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19680</v>
      </c>
      <c r="AL211" t="str">
        <f t="shared" si="48"/>
        <v>0000000000000</v>
      </c>
      <c r="AN211" t="str">
        <f t="shared" si="52"/>
        <v>9791190142359</v>
      </c>
      <c r="AP211" t="str">
        <f t="shared" si="53"/>
        <v>BL 웹소설 &gt; 현대물</v>
      </c>
      <c r="AQ211" t="str">
        <f t="shared" si="54"/>
        <v>BL 웹소설 &gt; 판타지물</v>
      </c>
    </row>
    <row r="212" spans="1:43" x14ac:dyDescent="0.4">
      <c r="A212" t="s">
        <v>43</v>
      </c>
      <c r="B212">
        <v>3822000323</v>
      </c>
      <c r="C212">
        <v>3822000681</v>
      </c>
      <c r="D212" t="str">
        <f>T("[연재]네크로맨서 생존기 96화")</f>
        <v>[연재]네크로맨서 생존기 96화</v>
      </c>
      <c r="E212" t="str">
        <f>T("96")</f>
        <v>96</v>
      </c>
      <c r="F212" t="str">
        <f t="shared" si="49"/>
        <v>키마님</v>
      </c>
      <c r="I212" t="str">
        <f t="shared" si="50"/>
        <v>딥블렌드</v>
      </c>
      <c r="J212" t="str">
        <f t="shared" si="51"/>
        <v>[연재]네크로맨서 생존기</v>
      </c>
      <c r="K212">
        <v>100</v>
      </c>
      <c r="L212">
        <v>32800</v>
      </c>
      <c r="M212">
        <v>328</v>
      </c>
      <c r="N212">
        <v>0</v>
      </c>
      <c r="O212">
        <v>0</v>
      </c>
      <c r="P212">
        <v>0</v>
      </c>
      <c r="Q212">
        <v>4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-100</v>
      </c>
      <c r="Y212">
        <v>1</v>
      </c>
      <c r="Z212">
        <v>-100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19620</v>
      </c>
      <c r="AL212" t="str">
        <f t="shared" si="48"/>
        <v>0000000000000</v>
      </c>
      <c r="AN212" t="str">
        <f t="shared" si="52"/>
        <v>9791190142359</v>
      </c>
      <c r="AP212" t="str">
        <f t="shared" si="53"/>
        <v>BL 웹소설 &gt; 현대물</v>
      </c>
      <c r="AQ212" t="str">
        <f t="shared" si="54"/>
        <v>BL 웹소설 &gt; 판타지물</v>
      </c>
    </row>
    <row r="213" spans="1:43" x14ac:dyDescent="0.4">
      <c r="A213" t="s">
        <v>43</v>
      </c>
      <c r="B213">
        <v>3822000323</v>
      </c>
      <c r="C213">
        <v>3822000432</v>
      </c>
      <c r="D213" t="str">
        <f>T("[연재]네크로맨서 생존기 68화")</f>
        <v>[연재]네크로맨서 생존기 68화</v>
      </c>
      <c r="E213" t="str">
        <f>T("68")</f>
        <v>68</v>
      </c>
      <c r="F213" t="str">
        <f t="shared" si="49"/>
        <v>키마님</v>
      </c>
      <c r="I213" t="str">
        <f t="shared" si="50"/>
        <v>딥블렌드</v>
      </c>
      <c r="J213" t="str">
        <f t="shared" si="51"/>
        <v>[연재]네크로맨서 생존기</v>
      </c>
      <c r="K213">
        <v>100</v>
      </c>
      <c r="L213">
        <v>32800</v>
      </c>
      <c r="M213">
        <v>328</v>
      </c>
      <c r="N213">
        <v>0</v>
      </c>
      <c r="O213">
        <v>0</v>
      </c>
      <c r="P213">
        <v>0</v>
      </c>
      <c r="Q213">
        <v>7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19680</v>
      </c>
      <c r="AL213" t="str">
        <f t="shared" si="48"/>
        <v>0000000000000</v>
      </c>
      <c r="AN213" t="str">
        <f t="shared" si="52"/>
        <v>9791190142359</v>
      </c>
      <c r="AP213" t="str">
        <f t="shared" si="53"/>
        <v>BL 웹소설 &gt; 현대물</v>
      </c>
      <c r="AQ213" t="str">
        <f t="shared" si="54"/>
        <v>BL 웹소설 &gt; 판타지물</v>
      </c>
    </row>
    <row r="214" spans="1:43" x14ac:dyDescent="0.4">
      <c r="A214" t="s">
        <v>43</v>
      </c>
      <c r="B214">
        <v>3822000323</v>
      </c>
      <c r="C214">
        <v>3822000640</v>
      </c>
      <c r="D214" t="str">
        <f>T("[연재]네크로맨서 생존기 93화")</f>
        <v>[연재]네크로맨서 생존기 93화</v>
      </c>
      <c r="E214" t="str">
        <f>T("93")</f>
        <v>93</v>
      </c>
      <c r="F214" t="str">
        <f t="shared" si="49"/>
        <v>키마님</v>
      </c>
      <c r="I214" t="str">
        <f t="shared" si="50"/>
        <v>딥블렌드</v>
      </c>
      <c r="J214" t="str">
        <f t="shared" si="51"/>
        <v>[연재]네크로맨서 생존기</v>
      </c>
      <c r="K214">
        <v>100</v>
      </c>
      <c r="L214">
        <v>32800</v>
      </c>
      <c r="M214">
        <v>328</v>
      </c>
      <c r="N214">
        <v>0</v>
      </c>
      <c r="O214">
        <v>0</v>
      </c>
      <c r="P214">
        <v>0</v>
      </c>
      <c r="Q214">
        <v>5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19680</v>
      </c>
      <c r="AL214" t="str">
        <f t="shared" si="48"/>
        <v>0000000000000</v>
      </c>
      <c r="AN214" t="str">
        <f t="shared" si="52"/>
        <v>9791190142359</v>
      </c>
      <c r="AP214" t="str">
        <f t="shared" si="53"/>
        <v>BL 웹소설 &gt; 현대물</v>
      </c>
      <c r="AQ214" t="str">
        <f t="shared" si="54"/>
        <v>BL 웹소설 &gt; 판타지물</v>
      </c>
    </row>
    <row r="215" spans="1:43" x14ac:dyDescent="0.4">
      <c r="A215" t="s">
        <v>43</v>
      </c>
      <c r="B215">
        <v>3822000323</v>
      </c>
      <c r="C215">
        <v>3822000841</v>
      </c>
      <c r="D215" t="str">
        <f>T("[연재]네크로맨서 생존기 115화")</f>
        <v>[연재]네크로맨서 생존기 115화</v>
      </c>
      <c r="E215" t="str">
        <f>T("115")</f>
        <v>115</v>
      </c>
      <c r="F215" t="str">
        <f t="shared" si="49"/>
        <v>키마님</v>
      </c>
      <c r="I215" t="str">
        <f t="shared" si="50"/>
        <v>딥블렌드</v>
      </c>
      <c r="J215" t="str">
        <f t="shared" si="51"/>
        <v>[연재]네크로맨서 생존기</v>
      </c>
      <c r="K215">
        <v>100</v>
      </c>
      <c r="L215">
        <v>32800</v>
      </c>
      <c r="M215">
        <v>328</v>
      </c>
      <c r="N215">
        <v>0</v>
      </c>
      <c r="O215">
        <v>0</v>
      </c>
      <c r="P215">
        <v>0</v>
      </c>
      <c r="Q215">
        <v>5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-100</v>
      </c>
      <c r="Y215">
        <v>1</v>
      </c>
      <c r="Z215">
        <v>-100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19620</v>
      </c>
      <c r="AL215" t="str">
        <f t="shared" si="48"/>
        <v>0000000000000</v>
      </c>
      <c r="AN215" t="str">
        <f t="shared" si="52"/>
        <v>9791190142359</v>
      </c>
      <c r="AP215" t="str">
        <f t="shared" si="53"/>
        <v>BL 웹소설 &gt; 현대물</v>
      </c>
      <c r="AQ215" t="str">
        <f t="shared" si="54"/>
        <v>BL 웹소설 &gt; 판타지물</v>
      </c>
    </row>
    <row r="216" spans="1:43" x14ac:dyDescent="0.4">
      <c r="A216" t="s">
        <v>43</v>
      </c>
      <c r="B216">
        <v>3822000323</v>
      </c>
      <c r="C216">
        <v>3822000743</v>
      </c>
      <c r="D216" t="str">
        <f>T("[연재]네크로맨서 생존기 113화")</f>
        <v>[연재]네크로맨서 생존기 113화</v>
      </c>
      <c r="E216" t="str">
        <f>T("113")</f>
        <v>113</v>
      </c>
      <c r="F216" t="str">
        <f t="shared" si="49"/>
        <v>키마님</v>
      </c>
      <c r="I216" t="str">
        <f t="shared" si="50"/>
        <v>딥블렌드</v>
      </c>
      <c r="J216" t="str">
        <f t="shared" si="51"/>
        <v>[연재]네크로맨서 생존기</v>
      </c>
      <c r="K216">
        <v>100</v>
      </c>
      <c r="L216">
        <v>32800</v>
      </c>
      <c r="M216">
        <v>328</v>
      </c>
      <c r="N216">
        <v>0</v>
      </c>
      <c r="O216">
        <v>0</v>
      </c>
      <c r="P216">
        <v>0</v>
      </c>
      <c r="Q216">
        <v>4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19680</v>
      </c>
      <c r="AL216" t="str">
        <f t="shared" si="48"/>
        <v>0000000000000</v>
      </c>
      <c r="AN216" t="str">
        <f t="shared" si="52"/>
        <v>9791190142359</v>
      </c>
      <c r="AP216" t="str">
        <f t="shared" si="53"/>
        <v>BL 웹소설 &gt; 현대물</v>
      </c>
      <c r="AQ216" t="str">
        <f t="shared" si="54"/>
        <v>BL 웹소설 &gt; 판타지물</v>
      </c>
    </row>
    <row r="217" spans="1:43" x14ac:dyDescent="0.4">
      <c r="A217" t="s">
        <v>43</v>
      </c>
      <c r="B217">
        <v>3822000323</v>
      </c>
      <c r="C217">
        <v>3822000745</v>
      </c>
      <c r="D217" t="str">
        <f>T("[연재]네크로맨서 생존기 114화")</f>
        <v>[연재]네크로맨서 생존기 114화</v>
      </c>
      <c r="E217" t="str">
        <f>T("114")</f>
        <v>114</v>
      </c>
      <c r="F217" t="str">
        <f t="shared" si="49"/>
        <v>키마님</v>
      </c>
      <c r="I217" t="str">
        <f t="shared" si="50"/>
        <v>딥블렌드</v>
      </c>
      <c r="J217" t="str">
        <f t="shared" si="51"/>
        <v>[연재]네크로맨서 생존기</v>
      </c>
      <c r="K217">
        <v>100</v>
      </c>
      <c r="L217">
        <v>32700</v>
      </c>
      <c r="M217">
        <v>327</v>
      </c>
      <c r="N217">
        <v>0</v>
      </c>
      <c r="O217">
        <v>0</v>
      </c>
      <c r="P217">
        <v>0</v>
      </c>
      <c r="Q217">
        <v>3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-100</v>
      </c>
      <c r="Y217">
        <v>1</v>
      </c>
      <c r="Z217">
        <v>-100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19560</v>
      </c>
      <c r="AL217" t="str">
        <f t="shared" si="48"/>
        <v>0000000000000</v>
      </c>
      <c r="AN217" t="str">
        <f t="shared" si="52"/>
        <v>9791190142359</v>
      </c>
      <c r="AP217" t="str">
        <f t="shared" si="53"/>
        <v>BL 웹소설 &gt; 현대물</v>
      </c>
      <c r="AQ217" t="str">
        <f t="shared" si="54"/>
        <v>BL 웹소설 &gt; 판타지물</v>
      </c>
    </row>
    <row r="218" spans="1:43" x14ac:dyDescent="0.4">
      <c r="A218" t="s">
        <v>43</v>
      </c>
      <c r="B218">
        <v>3822000323</v>
      </c>
      <c r="C218">
        <v>3822000601</v>
      </c>
      <c r="D218" t="str">
        <f>T("[연재]네크로맨서 생존기 80화")</f>
        <v>[연재]네크로맨서 생존기 80화</v>
      </c>
      <c r="E218" t="str">
        <f>T("80")</f>
        <v>80</v>
      </c>
      <c r="F218" t="str">
        <f t="shared" si="49"/>
        <v>키마님</v>
      </c>
      <c r="I218" t="str">
        <f t="shared" si="50"/>
        <v>딥블렌드</v>
      </c>
      <c r="J218" t="str">
        <f t="shared" si="51"/>
        <v>[연재]네크로맨서 생존기</v>
      </c>
      <c r="K218">
        <v>100</v>
      </c>
      <c r="L218">
        <v>32700</v>
      </c>
      <c r="M218">
        <v>327</v>
      </c>
      <c r="N218">
        <v>0</v>
      </c>
      <c r="O218">
        <v>0</v>
      </c>
      <c r="P218">
        <v>0</v>
      </c>
      <c r="Q218">
        <v>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-100</v>
      </c>
      <c r="Y218">
        <v>1</v>
      </c>
      <c r="Z218">
        <v>-100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19560</v>
      </c>
      <c r="AL218" t="str">
        <f t="shared" ref="AL218:AL248" si="55">T("0000000000000")</f>
        <v>0000000000000</v>
      </c>
      <c r="AN218" t="str">
        <f t="shared" si="52"/>
        <v>9791190142359</v>
      </c>
      <c r="AP218" t="str">
        <f t="shared" si="53"/>
        <v>BL 웹소설 &gt; 현대물</v>
      </c>
      <c r="AQ218" t="str">
        <f t="shared" si="54"/>
        <v>BL 웹소설 &gt; 판타지물</v>
      </c>
    </row>
    <row r="219" spans="1:43" x14ac:dyDescent="0.4">
      <c r="A219" t="s">
        <v>43</v>
      </c>
      <c r="B219">
        <v>3822000323</v>
      </c>
      <c r="C219">
        <v>3822000741</v>
      </c>
      <c r="D219" t="str">
        <f>T("[연재]네크로맨서 생존기 112화")</f>
        <v>[연재]네크로맨서 생존기 112화</v>
      </c>
      <c r="E219" t="str">
        <f>T("112")</f>
        <v>112</v>
      </c>
      <c r="F219" t="str">
        <f t="shared" si="49"/>
        <v>키마님</v>
      </c>
      <c r="I219" t="str">
        <f t="shared" si="50"/>
        <v>딥블렌드</v>
      </c>
      <c r="J219" t="str">
        <f t="shared" si="51"/>
        <v>[연재]네크로맨서 생존기</v>
      </c>
      <c r="K219">
        <v>100</v>
      </c>
      <c r="L219">
        <v>32700</v>
      </c>
      <c r="M219">
        <v>327</v>
      </c>
      <c r="N219">
        <v>0</v>
      </c>
      <c r="O219">
        <v>0</v>
      </c>
      <c r="P219">
        <v>0</v>
      </c>
      <c r="Q219">
        <v>4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-100</v>
      </c>
      <c r="Y219">
        <v>1</v>
      </c>
      <c r="Z219">
        <v>-100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19560</v>
      </c>
      <c r="AL219" t="str">
        <f t="shared" si="55"/>
        <v>0000000000000</v>
      </c>
      <c r="AN219" t="str">
        <f t="shared" si="52"/>
        <v>9791190142359</v>
      </c>
      <c r="AP219" t="str">
        <f t="shared" si="53"/>
        <v>BL 웹소설 &gt; 현대물</v>
      </c>
      <c r="AQ219" t="str">
        <f t="shared" si="54"/>
        <v>BL 웹소설 &gt; 판타지물</v>
      </c>
    </row>
    <row r="220" spans="1:43" x14ac:dyDescent="0.4">
      <c r="A220" t="s">
        <v>43</v>
      </c>
      <c r="B220">
        <v>3822000323</v>
      </c>
      <c r="C220">
        <v>3822000689</v>
      </c>
      <c r="D220" t="str">
        <f>T("[연재]네크로맨서 생존기 97화")</f>
        <v>[연재]네크로맨서 생존기 97화</v>
      </c>
      <c r="E220" t="str">
        <f>T("97")</f>
        <v>97</v>
      </c>
      <c r="F220" t="str">
        <f t="shared" si="49"/>
        <v>키마님</v>
      </c>
      <c r="I220" t="str">
        <f t="shared" si="50"/>
        <v>딥블렌드</v>
      </c>
      <c r="J220" t="str">
        <f t="shared" si="51"/>
        <v>[연재]네크로맨서 생존기</v>
      </c>
      <c r="K220">
        <v>100</v>
      </c>
      <c r="L220">
        <v>32600</v>
      </c>
      <c r="M220">
        <v>326</v>
      </c>
      <c r="N220">
        <v>0</v>
      </c>
      <c r="O220">
        <v>0</v>
      </c>
      <c r="P220">
        <v>0</v>
      </c>
      <c r="Q220">
        <v>3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19560</v>
      </c>
      <c r="AL220" t="str">
        <f t="shared" si="55"/>
        <v>0000000000000</v>
      </c>
      <c r="AN220" t="str">
        <f t="shared" si="52"/>
        <v>9791190142359</v>
      </c>
      <c r="AP220" t="str">
        <f t="shared" si="53"/>
        <v>BL 웹소설 &gt; 현대물</v>
      </c>
      <c r="AQ220" t="str">
        <f t="shared" si="54"/>
        <v>BL 웹소설 &gt; 판타지물</v>
      </c>
    </row>
    <row r="221" spans="1:43" x14ac:dyDescent="0.4">
      <c r="A221" t="s">
        <v>43</v>
      </c>
      <c r="B221">
        <v>3822000323</v>
      </c>
      <c r="C221">
        <v>3822000643</v>
      </c>
      <c r="D221" t="str">
        <f>T("[연재]네크로맨서 생존기 94화")</f>
        <v>[연재]네크로맨서 생존기 94화</v>
      </c>
      <c r="E221" t="str">
        <f>T("94")</f>
        <v>94</v>
      </c>
      <c r="F221" t="str">
        <f t="shared" si="49"/>
        <v>키마님</v>
      </c>
      <c r="I221" t="str">
        <f t="shared" si="50"/>
        <v>딥블렌드</v>
      </c>
      <c r="J221" t="str">
        <f t="shared" si="51"/>
        <v>[연재]네크로맨서 생존기</v>
      </c>
      <c r="K221">
        <v>100</v>
      </c>
      <c r="L221">
        <v>32600</v>
      </c>
      <c r="M221">
        <v>326</v>
      </c>
      <c r="N221">
        <v>0</v>
      </c>
      <c r="O221">
        <v>0</v>
      </c>
      <c r="P221">
        <v>0</v>
      </c>
      <c r="Q221">
        <v>3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19560</v>
      </c>
      <c r="AL221" t="str">
        <f t="shared" si="55"/>
        <v>0000000000000</v>
      </c>
      <c r="AN221" t="str">
        <f t="shared" si="52"/>
        <v>9791190142359</v>
      </c>
      <c r="AP221" t="str">
        <f t="shared" si="53"/>
        <v>BL 웹소설 &gt; 현대물</v>
      </c>
      <c r="AQ221" t="str">
        <f t="shared" si="54"/>
        <v>BL 웹소설 &gt; 판타지물</v>
      </c>
    </row>
    <row r="222" spans="1:43" x14ac:dyDescent="0.4">
      <c r="A222" t="s">
        <v>43</v>
      </c>
      <c r="B222">
        <v>3822000323</v>
      </c>
      <c r="C222">
        <v>3822000703</v>
      </c>
      <c r="D222" t="str">
        <f>T("[연재]네크로맨서 생존기 98화")</f>
        <v>[연재]네크로맨서 생존기 98화</v>
      </c>
      <c r="E222" t="str">
        <f>T("98")</f>
        <v>98</v>
      </c>
      <c r="F222" t="str">
        <f t="shared" si="49"/>
        <v>키마님</v>
      </c>
      <c r="I222" t="str">
        <f t="shared" si="50"/>
        <v>딥블렌드</v>
      </c>
      <c r="J222" t="str">
        <f t="shared" si="51"/>
        <v>[연재]네크로맨서 생존기</v>
      </c>
      <c r="K222">
        <v>100</v>
      </c>
      <c r="L222">
        <v>32500</v>
      </c>
      <c r="M222">
        <v>325</v>
      </c>
      <c r="N222">
        <v>0</v>
      </c>
      <c r="O222">
        <v>0</v>
      </c>
      <c r="P222">
        <v>0</v>
      </c>
      <c r="Q222">
        <v>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19500</v>
      </c>
      <c r="AL222" t="str">
        <f t="shared" si="55"/>
        <v>0000000000000</v>
      </c>
      <c r="AN222" t="str">
        <f t="shared" si="52"/>
        <v>9791190142359</v>
      </c>
      <c r="AP222" t="str">
        <f t="shared" si="53"/>
        <v>BL 웹소설 &gt; 현대물</v>
      </c>
      <c r="AQ222" t="str">
        <f t="shared" si="54"/>
        <v>BL 웹소설 &gt; 판타지물</v>
      </c>
    </row>
    <row r="223" spans="1:43" x14ac:dyDescent="0.4">
      <c r="A223" t="s">
        <v>43</v>
      </c>
      <c r="B223">
        <v>3822000323</v>
      </c>
      <c r="C223">
        <v>3822000731</v>
      </c>
      <c r="D223" t="str">
        <f>T("[연재]네크로맨서 생존기 107화")</f>
        <v>[연재]네크로맨서 생존기 107화</v>
      </c>
      <c r="E223" t="str">
        <f>T("107")</f>
        <v>107</v>
      </c>
      <c r="F223" t="str">
        <f t="shared" si="49"/>
        <v>키마님</v>
      </c>
      <c r="I223" t="str">
        <f t="shared" si="50"/>
        <v>딥블렌드</v>
      </c>
      <c r="J223" t="str">
        <f t="shared" si="51"/>
        <v>[연재]네크로맨서 생존기</v>
      </c>
      <c r="K223">
        <v>100</v>
      </c>
      <c r="L223">
        <v>32500</v>
      </c>
      <c r="M223">
        <v>325</v>
      </c>
      <c r="N223">
        <v>0</v>
      </c>
      <c r="O223">
        <v>0</v>
      </c>
      <c r="P223">
        <v>0</v>
      </c>
      <c r="Q223">
        <v>8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19500</v>
      </c>
      <c r="AL223" t="str">
        <f t="shared" si="55"/>
        <v>0000000000000</v>
      </c>
      <c r="AN223" t="str">
        <f t="shared" si="52"/>
        <v>9791190142359</v>
      </c>
      <c r="AP223" t="str">
        <f t="shared" si="53"/>
        <v>BL 웹소설 &gt; 현대물</v>
      </c>
      <c r="AQ223" t="str">
        <f t="shared" si="54"/>
        <v>BL 웹소설 &gt; 판타지물</v>
      </c>
    </row>
    <row r="224" spans="1:43" x14ac:dyDescent="0.4">
      <c r="A224" t="s">
        <v>43</v>
      </c>
      <c r="B224">
        <v>3822000323</v>
      </c>
      <c r="C224">
        <v>3822000599</v>
      </c>
      <c r="D224" t="str">
        <f>T("[연재]네크로맨서 생존기 78화")</f>
        <v>[연재]네크로맨서 생존기 78화</v>
      </c>
      <c r="E224" t="str">
        <f>T("78")</f>
        <v>78</v>
      </c>
      <c r="F224" t="str">
        <f t="shared" si="49"/>
        <v>키마님</v>
      </c>
      <c r="I224" t="str">
        <f t="shared" si="50"/>
        <v>딥블렌드</v>
      </c>
      <c r="J224" t="str">
        <f t="shared" si="51"/>
        <v>[연재]네크로맨서 생존기</v>
      </c>
      <c r="K224">
        <v>100</v>
      </c>
      <c r="L224">
        <v>32500</v>
      </c>
      <c r="M224">
        <v>325</v>
      </c>
      <c r="N224">
        <v>0</v>
      </c>
      <c r="O224">
        <v>0</v>
      </c>
      <c r="P224">
        <v>0</v>
      </c>
      <c r="Q224">
        <v>5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-100</v>
      </c>
      <c r="Y224">
        <v>1</v>
      </c>
      <c r="Z224">
        <v>-100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19440</v>
      </c>
      <c r="AL224" t="str">
        <f t="shared" si="55"/>
        <v>0000000000000</v>
      </c>
      <c r="AN224" t="str">
        <f t="shared" si="52"/>
        <v>9791190142359</v>
      </c>
      <c r="AP224" t="str">
        <f t="shared" si="53"/>
        <v>BL 웹소설 &gt; 현대물</v>
      </c>
      <c r="AQ224" t="str">
        <f t="shared" si="54"/>
        <v>BL 웹소설 &gt; 판타지물</v>
      </c>
    </row>
    <row r="225" spans="1:43" x14ac:dyDescent="0.4">
      <c r="A225" t="s">
        <v>43</v>
      </c>
      <c r="B225">
        <v>3822000323</v>
      </c>
      <c r="C225">
        <v>3822000708</v>
      </c>
      <c r="D225" t="str">
        <f>T("[연재]네크로맨서 생존기 99화")</f>
        <v>[연재]네크로맨서 생존기 99화</v>
      </c>
      <c r="E225" t="str">
        <f>T("99")</f>
        <v>99</v>
      </c>
      <c r="F225" t="str">
        <f t="shared" si="49"/>
        <v>키마님</v>
      </c>
      <c r="I225" t="str">
        <f t="shared" si="50"/>
        <v>딥블렌드</v>
      </c>
      <c r="J225" t="str">
        <f t="shared" si="51"/>
        <v>[연재]네크로맨서 생존기</v>
      </c>
      <c r="K225">
        <v>100</v>
      </c>
      <c r="L225">
        <v>32500</v>
      </c>
      <c r="M225">
        <v>325</v>
      </c>
      <c r="N225">
        <v>0</v>
      </c>
      <c r="O225">
        <v>0</v>
      </c>
      <c r="P225">
        <v>0</v>
      </c>
      <c r="Q225">
        <v>5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19500</v>
      </c>
      <c r="AL225" t="str">
        <f t="shared" si="55"/>
        <v>0000000000000</v>
      </c>
      <c r="AN225" t="str">
        <f t="shared" si="52"/>
        <v>9791190142359</v>
      </c>
      <c r="AP225" t="str">
        <f t="shared" si="53"/>
        <v>BL 웹소설 &gt; 현대물</v>
      </c>
      <c r="AQ225" t="str">
        <f t="shared" si="54"/>
        <v>BL 웹소설 &gt; 판타지물</v>
      </c>
    </row>
    <row r="226" spans="1:43" x14ac:dyDescent="0.4">
      <c r="A226" t="s">
        <v>43</v>
      </c>
      <c r="B226">
        <v>3822000323</v>
      </c>
      <c r="C226">
        <v>3822000730</v>
      </c>
      <c r="D226" t="str">
        <f>T("[연재]네크로맨서 생존기 106화")</f>
        <v>[연재]네크로맨서 생존기 106화</v>
      </c>
      <c r="E226" t="str">
        <f>T("106")</f>
        <v>106</v>
      </c>
      <c r="F226" t="str">
        <f t="shared" si="49"/>
        <v>키마님</v>
      </c>
      <c r="I226" t="str">
        <f t="shared" si="50"/>
        <v>딥블렌드</v>
      </c>
      <c r="J226" t="str">
        <f t="shared" si="51"/>
        <v>[연재]네크로맨서 생존기</v>
      </c>
      <c r="K226">
        <v>100</v>
      </c>
      <c r="L226">
        <v>32400</v>
      </c>
      <c r="M226">
        <v>324</v>
      </c>
      <c r="N226">
        <v>0</v>
      </c>
      <c r="O226">
        <v>0</v>
      </c>
      <c r="P226">
        <v>0</v>
      </c>
      <c r="Q226">
        <v>3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19440</v>
      </c>
      <c r="AL226" t="str">
        <f t="shared" si="55"/>
        <v>0000000000000</v>
      </c>
      <c r="AN226" t="str">
        <f t="shared" si="52"/>
        <v>9791190142359</v>
      </c>
      <c r="AP226" t="str">
        <f t="shared" si="53"/>
        <v>BL 웹소설 &gt; 현대물</v>
      </c>
      <c r="AQ226" t="str">
        <f t="shared" si="54"/>
        <v>BL 웹소설 &gt; 판타지물</v>
      </c>
    </row>
    <row r="227" spans="1:43" x14ac:dyDescent="0.4">
      <c r="A227" t="s">
        <v>43</v>
      </c>
      <c r="B227">
        <v>3822000323</v>
      </c>
      <c r="C227">
        <v>3822000843</v>
      </c>
      <c r="D227" t="str">
        <f>T("[연재]네크로맨서 생존기 116화")</f>
        <v>[연재]네크로맨서 생존기 116화</v>
      </c>
      <c r="E227" t="str">
        <f>T("116")</f>
        <v>116</v>
      </c>
      <c r="F227" t="str">
        <f t="shared" si="49"/>
        <v>키마님</v>
      </c>
      <c r="I227" t="str">
        <f t="shared" si="50"/>
        <v>딥블렌드</v>
      </c>
      <c r="J227" t="str">
        <f t="shared" si="51"/>
        <v>[연재]네크로맨서 생존기</v>
      </c>
      <c r="K227">
        <v>100</v>
      </c>
      <c r="L227">
        <v>32400</v>
      </c>
      <c r="M227">
        <v>324</v>
      </c>
      <c r="N227">
        <v>0</v>
      </c>
      <c r="O227">
        <v>0</v>
      </c>
      <c r="P227">
        <v>0</v>
      </c>
      <c r="Q227">
        <v>4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-100</v>
      </c>
      <c r="Y227">
        <v>1</v>
      </c>
      <c r="Z227">
        <v>-100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19380</v>
      </c>
      <c r="AL227" t="str">
        <f t="shared" si="55"/>
        <v>0000000000000</v>
      </c>
      <c r="AN227" t="str">
        <f t="shared" si="52"/>
        <v>9791190142359</v>
      </c>
      <c r="AP227" t="str">
        <f t="shared" si="53"/>
        <v>BL 웹소설 &gt; 현대물</v>
      </c>
      <c r="AQ227" t="str">
        <f t="shared" si="54"/>
        <v>BL 웹소설 &gt; 판타지물</v>
      </c>
    </row>
    <row r="228" spans="1:43" x14ac:dyDescent="0.4">
      <c r="A228" t="s">
        <v>43</v>
      </c>
      <c r="B228">
        <v>3822000323</v>
      </c>
      <c r="C228">
        <v>3822000721</v>
      </c>
      <c r="D228" t="str">
        <f>T("[연재]네크로맨서 생존기 104화")</f>
        <v>[연재]네크로맨서 생존기 104화</v>
      </c>
      <c r="E228" t="str">
        <f>T("104")</f>
        <v>104</v>
      </c>
      <c r="F228" t="str">
        <f t="shared" si="49"/>
        <v>키마님</v>
      </c>
      <c r="I228" t="str">
        <f t="shared" si="50"/>
        <v>딥블렌드</v>
      </c>
      <c r="J228" t="str">
        <f t="shared" si="51"/>
        <v>[연재]네크로맨서 생존기</v>
      </c>
      <c r="K228">
        <v>100</v>
      </c>
      <c r="L228">
        <v>32400</v>
      </c>
      <c r="M228">
        <v>324</v>
      </c>
      <c r="N228">
        <v>0</v>
      </c>
      <c r="O228">
        <v>0</v>
      </c>
      <c r="P228">
        <v>0</v>
      </c>
      <c r="Q228">
        <v>5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19440</v>
      </c>
      <c r="AL228" t="str">
        <f t="shared" si="55"/>
        <v>0000000000000</v>
      </c>
      <c r="AN228" t="str">
        <f t="shared" si="52"/>
        <v>9791190142359</v>
      </c>
      <c r="AP228" t="str">
        <f t="shared" si="53"/>
        <v>BL 웹소설 &gt; 현대물</v>
      </c>
      <c r="AQ228" t="str">
        <f t="shared" si="54"/>
        <v>BL 웹소설 &gt; 판타지물</v>
      </c>
    </row>
    <row r="229" spans="1:43" x14ac:dyDescent="0.4">
      <c r="A229" t="s">
        <v>43</v>
      </c>
      <c r="B229">
        <v>3822000323</v>
      </c>
      <c r="C229">
        <v>3822000600</v>
      </c>
      <c r="D229" t="str">
        <f>T("[연재]네크로맨서 생존기 79화")</f>
        <v>[연재]네크로맨서 생존기 79화</v>
      </c>
      <c r="E229" t="str">
        <f>T("79")</f>
        <v>79</v>
      </c>
      <c r="F229" t="str">
        <f t="shared" si="49"/>
        <v>키마님</v>
      </c>
      <c r="I229" t="str">
        <f t="shared" si="50"/>
        <v>딥블렌드</v>
      </c>
      <c r="J229" t="str">
        <f t="shared" si="51"/>
        <v>[연재]네크로맨서 생존기</v>
      </c>
      <c r="K229">
        <v>100</v>
      </c>
      <c r="L229">
        <v>32400</v>
      </c>
      <c r="M229">
        <v>324</v>
      </c>
      <c r="N229">
        <v>0</v>
      </c>
      <c r="O229">
        <v>0</v>
      </c>
      <c r="P229">
        <v>0</v>
      </c>
      <c r="Q229">
        <v>3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-100</v>
      </c>
      <c r="Y229">
        <v>1</v>
      </c>
      <c r="Z229">
        <v>-100</v>
      </c>
      <c r="AA229">
        <v>1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19380</v>
      </c>
      <c r="AL229" t="str">
        <f t="shared" si="55"/>
        <v>0000000000000</v>
      </c>
      <c r="AN229" t="str">
        <f t="shared" si="52"/>
        <v>9791190142359</v>
      </c>
      <c r="AP229" t="str">
        <f t="shared" si="53"/>
        <v>BL 웹소설 &gt; 현대물</v>
      </c>
      <c r="AQ229" t="str">
        <f t="shared" si="54"/>
        <v>BL 웹소설 &gt; 판타지물</v>
      </c>
    </row>
    <row r="230" spans="1:43" x14ac:dyDescent="0.4">
      <c r="A230" t="s">
        <v>43</v>
      </c>
      <c r="B230">
        <v>3822000323</v>
      </c>
      <c r="C230">
        <v>3822000724</v>
      </c>
      <c r="D230" t="str">
        <f>T("[연재]네크로맨서 생존기 105화")</f>
        <v>[연재]네크로맨서 생존기 105화</v>
      </c>
      <c r="E230" t="str">
        <f>T("105")</f>
        <v>105</v>
      </c>
      <c r="F230" t="str">
        <f t="shared" si="49"/>
        <v>키마님</v>
      </c>
      <c r="I230" t="str">
        <f t="shared" si="50"/>
        <v>딥블렌드</v>
      </c>
      <c r="J230" t="str">
        <f t="shared" si="51"/>
        <v>[연재]네크로맨서 생존기</v>
      </c>
      <c r="K230">
        <v>100</v>
      </c>
      <c r="L230">
        <v>32400</v>
      </c>
      <c r="M230">
        <v>324</v>
      </c>
      <c r="N230">
        <v>0</v>
      </c>
      <c r="O230">
        <v>0</v>
      </c>
      <c r="P230">
        <v>0</v>
      </c>
      <c r="Q230">
        <v>6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19440</v>
      </c>
      <c r="AL230" t="str">
        <f t="shared" si="55"/>
        <v>0000000000000</v>
      </c>
      <c r="AN230" t="str">
        <f t="shared" si="52"/>
        <v>9791190142359</v>
      </c>
      <c r="AP230" t="str">
        <f t="shared" si="53"/>
        <v>BL 웹소설 &gt; 현대물</v>
      </c>
      <c r="AQ230" t="str">
        <f t="shared" si="54"/>
        <v>BL 웹소설 &gt; 판타지물</v>
      </c>
    </row>
    <row r="231" spans="1:43" x14ac:dyDescent="0.4">
      <c r="A231" t="s">
        <v>43</v>
      </c>
      <c r="B231">
        <v>3822000323</v>
      </c>
      <c r="C231">
        <v>3822000428</v>
      </c>
      <c r="D231" t="str">
        <f>T("[연재]네크로맨서 생존기 66화")</f>
        <v>[연재]네크로맨서 생존기 66화</v>
      </c>
      <c r="E231" t="str">
        <f>T("66")</f>
        <v>66</v>
      </c>
      <c r="F231" t="str">
        <f t="shared" si="49"/>
        <v>키마님</v>
      </c>
      <c r="I231" t="str">
        <f t="shared" si="50"/>
        <v>딥블렌드</v>
      </c>
      <c r="J231" t="str">
        <f t="shared" si="51"/>
        <v>[연재]네크로맨서 생존기</v>
      </c>
      <c r="K231">
        <v>100</v>
      </c>
      <c r="L231">
        <v>32300</v>
      </c>
      <c r="M231">
        <v>323</v>
      </c>
      <c r="N231">
        <v>0</v>
      </c>
      <c r="O231">
        <v>0</v>
      </c>
      <c r="P231">
        <v>0</v>
      </c>
      <c r="Q231">
        <v>6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19380</v>
      </c>
      <c r="AL231" t="str">
        <f t="shared" si="55"/>
        <v>0000000000000</v>
      </c>
      <c r="AN231" t="str">
        <f t="shared" si="52"/>
        <v>9791190142359</v>
      </c>
      <c r="AP231" t="str">
        <f t="shared" si="53"/>
        <v>BL 웹소설 &gt; 현대물</v>
      </c>
      <c r="AQ231" t="str">
        <f t="shared" si="54"/>
        <v>BL 웹소설 &gt; 판타지물</v>
      </c>
    </row>
    <row r="232" spans="1:43" x14ac:dyDescent="0.4">
      <c r="A232" t="s">
        <v>43</v>
      </c>
      <c r="B232">
        <v>3822000323</v>
      </c>
      <c r="C232">
        <v>3822000736</v>
      </c>
      <c r="D232" t="str">
        <f>T("[연재]네크로맨서 생존기 109화")</f>
        <v>[연재]네크로맨서 생존기 109화</v>
      </c>
      <c r="E232" t="str">
        <f>T("109")</f>
        <v>109</v>
      </c>
      <c r="F232" t="str">
        <f t="shared" si="49"/>
        <v>키마님</v>
      </c>
      <c r="I232" t="str">
        <f t="shared" si="50"/>
        <v>딥블렌드</v>
      </c>
      <c r="J232" t="str">
        <f t="shared" si="51"/>
        <v>[연재]네크로맨서 생존기</v>
      </c>
      <c r="K232">
        <v>100</v>
      </c>
      <c r="L232">
        <v>32300</v>
      </c>
      <c r="M232">
        <v>323</v>
      </c>
      <c r="N232">
        <v>0</v>
      </c>
      <c r="O232">
        <v>0</v>
      </c>
      <c r="P232">
        <v>0</v>
      </c>
      <c r="Q232">
        <v>5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19380</v>
      </c>
      <c r="AL232" t="str">
        <f t="shared" si="55"/>
        <v>0000000000000</v>
      </c>
      <c r="AN232" t="str">
        <f t="shared" si="52"/>
        <v>9791190142359</v>
      </c>
      <c r="AP232" t="str">
        <f t="shared" si="53"/>
        <v>BL 웹소설 &gt; 현대물</v>
      </c>
      <c r="AQ232" t="str">
        <f t="shared" si="54"/>
        <v>BL 웹소설 &gt; 판타지물</v>
      </c>
    </row>
    <row r="233" spans="1:43" x14ac:dyDescent="0.4">
      <c r="A233" t="s">
        <v>43</v>
      </c>
      <c r="B233">
        <v>3822000323</v>
      </c>
      <c r="C233">
        <v>3822000680</v>
      </c>
      <c r="D233" t="str">
        <f>T("[연재]네크로맨서 생존기 95화")</f>
        <v>[연재]네크로맨서 생존기 95화</v>
      </c>
      <c r="E233" t="str">
        <f>T("95")</f>
        <v>95</v>
      </c>
      <c r="F233" t="str">
        <f t="shared" si="49"/>
        <v>키마님</v>
      </c>
      <c r="I233" t="str">
        <f t="shared" si="50"/>
        <v>딥블렌드</v>
      </c>
      <c r="J233" t="str">
        <f t="shared" si="51"/>
        <v>[연재]네크로맨서 생존기</v>
      </c>
      <c r="K233">
        <v>100</v>
      </c>
      <c r="L233">
        <v>32300</v>
      </c>
      <c r="M233">
        <v>323</v>
      </c>
      <c r="N233">
        <v>0</v>
      </c>
      <c r="O233">
        <v>0</v>
      </c>
      <c r="P233">
        <v>0</v>
      </c>
      <c r="Q233">
        <v>6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-100</v>
      </c>
      <c r="Y233">
        <v>1</v>
      </c>
      <c r="Z233">
        <v>-100</v>
      </c>
      <c r="AA233">
        <v>1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19320</v>
      </c>
      <c r="AL233" t="str">
        <f t="shared" si="55"/>
        <v>0000000000000</v>
      </c>
      <c r="AN233" t="str">
        <f t="shared" si="52"/>
        <v>9791190142359</v>
      </c>
      <c r="AP233" t="str">
        <f t="shared" si="53"/>
        <v>BL 웹소설 &gt; 현대물</v>
      </c>
      <c r="AQ233" t="str">
        <f t="shared" si="54"/>
        <v>BL 웹소설 &gt; 판타지물</v>
      </c>
    </row>
    <row r="234" spans="1:43" x14ac:dyDescent="0.4">
      <c r="A234" t="s">
        <v>43</v>
      </c>
      <c r="B234">
        <v>3822000323</v>
      </c>
      <c r="C234">
        <v>3822000740</v>
      </c>
      <c r="D234" t="str">
        <f>T("[연재]네크로맨서 생존기 111화")</f>
        <v>[연재]네크로맨서 생존기 111화</v>
      </c>
      <c r="E234" t="str">
        <f>T("111")</f>
        <v>111</v>
      </c>
      <c r="F234" t="str">
        <f t="shared" si="49"/>
        <v>키마님</v>
      </c>
      <c r="I234" t="str">
        <f t="shared" si="50"/>
        <v>딥블렌드</v>
      </c>
      <c r="J234" t="str">
        <f t="shared" si="51"/>
        <v>[연재]네크로맨서 생존기</v>
      </c>
      <c r="K234">
        <v>100</v>
      </c>
      <c r="L234">
        <v>32100</v>
      </c>
      <c r="M234">
        <v>321</v>
      </c>
      <c r="N234">
        <v>0</v>
      </c>
      <c r="O234">
        <v>0</v>
      </c>
      <c r="P234">
        <v>0</v>
      </c>
      <c r="Q234">
        <v>5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-100</v>
      </c>
      <c r="Y234">
        <v>1</v>
      </c>
      <c r="Z234">
        <v>-100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19200</v>
      </c>
      <c r="AL234" t="str">
        <f t="shared" si="55"/>
        <v>0000000000000</v>
      </c>
      <c r="AN234" t="str">
        <f t="shared" si="52"/>
        <v>9791190142359</v>
      </c>
      <c r="AP234" t="str">
        <f t="shared" si="53"/>
        <v>BL 웹소설 &gt; 현대물</v>
      </c>
      <c r="AQ234" t="str">
        <f t="shared" si="54"/>
        <v>BL 웹소설 &gt; 판타지물</v>
      </c>
    </row>
    <row r="235" spans="1:43" x14ac:dyDescent="0.4">
      <c r="A235" t="s">
        <v>43</v>
      </c>
      <c r="C235">
        <v>3822000381</v>
      </c>
      <c r="D235" t="str">
        <f>T("내 마음 보고서")</f>
        <v>내 마음 보고서</v>
      </c>
      <c r="F235" t="str">
        <f>T("한야하")</f>
        <v>한야하</v>
      </c>
      <c r="I235" t="str">
        <f>T("애프터선셋")</f>
        <v>애프터선셋</v>
      </c>
      <c r="K235">
        <v>3200</v>
      </c>
      <c r="L235">
        <v>32000</v>
      </c>
      <c r="M235">
        <v>10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22400</v>
      </c>
      <c r="AL235" t="str">
        <f t="shared" si="55"/>
        <v>0000000000000</v>
      </c>
      <c r="AN235" t="str">
        <f>T("9791190142410")</f>
        <v>9791190142410</v>
      </c>
      <c r="AP235" t="str">
        <f>T("로맨스 e북 &gt; 현대물")</f>
        <v>로맨스 e북 &gt; 현대물</v>
      </c>
      <c r="AQ235" t="str">
        <f>T("로맨스 e북 &gt; 19+")</f>
        <v>로맨스 e북 &gt; 19+</v>
      </c>
    </row>
    <row r="236" spans="1:43" x14ac:dyDescent="0.4">
      <c r="A236" t="s">
        <v>43</v>
      </c>
      <c r="B236">
        <v>3822000323</v>
      </c>
      <c r="C236">
        <v>3822000739</v>
      </c>
      <c r="D236" t="str">
        <f>T("[연재]네크로맨서 생존기 110화")</f>
        <v>[연재]네크로맨서 생존기 110화</v>
      </c>
      <c r="E236" t="str">
        <f>T("110")</f>
        <v>110</v>
      </c>
      <c r="F236" t="str">
        <f>T("키마님")</f>
        <v>키마님</v>
      </c>
      <c r="I236" t="str">
        <f>T("딥블렌드")</f>
        <v>딥블렌드</v>
      </c>
      <c r="J236" t="str">
        <f>T("[연재]네크로맨서 생존기")</f>
        <v>[연재]네크로맨서 생존기</v>
      </c>
      <c r="K236">
        <v>100</v>
      </c>
      <c r="L236">
        <v>31900</v>
      </c>
      <c r="M236">
        <v>319</v>
      </c>
      <c r="N236">
        <v>0</v>
      </c>
      <c r="O236">
        <v>0</v>
      </c>
      <c r="P236">
        <v>0</v>
      </c>
      <c r="Q236">
        <v>9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19140</v>
      </c>
      <c r="AL236" t="str">
        <f t="shared" si="55"/>
        <v>0000000000000</v>
      </c>
      <c r="AN236" t="str">
        <f>T("9791190142359")</f>
        <v>9791190142359</v>
      </c>
      <c r="AP236" t="str">
        <f>T("BL 웹소설 &gt; 현대물")</f>
        <v>BL 웹소설 &gt; 현대물</v>
      </c>
      <c r="AQ236" t="str">
        <f>T("BL 웹소설 &gt; 판타지물")</f>
        <v>BL 웹소설 &gt; 판타지물</v>
      </c>
    </row>
    <row r="237" spans="1:43" x14ac:dyDescent="0.4">
      <c r="A237" t="s">
        <v>43</v>
      </c>
      <c r="B237">
        <v>3822000323</v>
      </c>
      <c r="C237">
        <v>3822000337</v>
      </c>
      <c r="D237" t="str">
        <f>T("[연재]네크로맨서 생존기 14화")</f>
        <v>[연재]네크로맨서 생존기 14화</v>
      </c>
      <c r="E237" t="str">
        <f>T("14")</f>
        <v>14</v>
      </c>
      <c r="F237" t="str">
        <f>T("키마님")</f>
        <v>키마님</v>
      </c>
      <c r="I237" t="str">
        <f>T("딥블렌드")</f>
        <v>딥블렌드</v>
      </c>
      <c r="J237" t="str">
        <f>T("[연재]네크로맨서 생존기")</f>
        <v>[연재]네크로맨서 생존기</v>
      </c>
      <c r="K237">
        <v>100</v>
      </c>
      <c r="L237">
        <v>30500</v>
      </c>
      <c r="M237">
        <v>305</v>
      </c>
      <c r="N237">
        <v>0</v>
      </c>
      <c r="O237">
        <v>0</v>
      </c>
      <c r="P237">
        <v>0</v>
      </c>
      <c r="Q237">
        <v>116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-100</v>
      </c>
      <c r="Y237">
        <v>3</v>
      </c>
      <c r="Z237">
        <v>-100</v>
      </c>
      <c r="AA237">
        <v>1</v>
      </c>
      <c r="AB237">
        <v>0</v>
      </c>
      <c r="AC237">
        <v>2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18240</v>
      </c>
      <c r="AL237" t="str">
        <f t="shared" si="55"/>
        <v>0000000000000</v>
      </c>
      <c r="AN237" t="str">
        <f>T("9791190142359")</f>
        <v>9791190142359</v>
      </c>
      <c r="AP237" t="str">
        <f>T("BL 웹소설 &gt; 현대물")</f>
        <v>BL 웹소설 &gt; 현대물</v>
      </c>
      <c r="AQ237" t="str">
        <f>T("BL 웹소설 &gt; 판타지물")</f>
        <v>BL 웹소설 &gt; 판타지물</v>
      </c>
    </row>
    <row r="238" spans="1:43" x14ac:dyDescent="0.4">
      <c r="A238" t="s">
        <v>43</v>
      </c>
      <c r="B238">
        <v>3822000323</v>
      </c>
      <c r="C238">
        <v>3822000336</v>
      </c>
      <c r="D238" t="str">
        <f>T("[연재]네크로맨서 생존기 13화")</f>
        <v>[연재]네크로맨서 생존기 13화</v>
      </c>
      <c r="E238" t="str">
        <f>T("13")</f>
        <v>13</v>
      </c>
      <c r="F238" t="str">
        <f>T("키마님")</f>
        <v>키마님</v>
      </c>
      <c r="I238" t="str">
        <f>T("딥블렌드")</f>
        <v>딥블렌드</v>
      </c>
      <c r="J238" t="str">
        <f>T("[연재]네크로맨서 생존기")</f>
        <v>[연재]네크로맨서 생존기</v>
      </c>
      <c r="K238">
        <v>100</v>
      </c>
      <c r="L238">
        <v>30100</v>
      </c>
      <c r="M238">
        <v>301</v>
      </c>
      <c r="N238">
        <v>0</v>
      </c>
      <c r="O238">
        <v>0</v>
      </c>
      <c r="P238">
        <v>0</v>
      </c>
      <c r="Q238">
        <v>139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-100</v>
      </c>
      <c r="Y238">
        <v>3</v>
      </c>
      <c r="Z238">
        <v>-100</v>
      </c>
      <c r="AA238">
        <v>1</v>
      </c>
      <c r="AB238">
        <v>0</v>
      </c>
      <c r="AC238">
        <v>2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18000</v>
      </c>
      <c r="AL238" t="str">
        <f t="shared" si="55"/>
        <v>0000000000000</v>
      </c>
      <c r="AN238" t="str">
        <f>T("9791190142359")</f>
        <v>9791190142359</v>
      </c>
      <c r="AP238" t="str">
        <f>T("BL 웹소설 &gt; 현대물")</f>
        <v>BL 웹소설 &gt; 현대물</v>
      </c>
      <c r="AQ238" t="str">
        <f>T("BL 웹소설 &gt; 판타지물")</f>
        <v>BL 웹소설 &gt; 판타지물</v>
      </c>
    </row>
    <row r="239" spans="1:43" x14ac:dyDescent="0.4">
      <c r="A239" t="s">
        <v>43</v>
      </c>
      <c r="B239">
        <v>3822000323</v>
      </c>
      <c r="C239">
        <v>3822000335</v>
      </c>
      <c r="D239" t="str">
        <f>T("[연재]네크로맨서 생존기 12화")</f>
        <v>[연재]네크로맨서 생존기 12화</v>
      </c>
      <c r="E239" t="str">
        <f>T("12")</f>
        <v>12</v>
      </c>
      <c r="F239" t="str">
        <f>T("키마님")</f>
        <v>키마님</v>
      </c>
      <c r="I239" t="str">
        <f>T("딥블렌드")</f>
        <v>딥블렌드</v>
      </c>
      <c r="J239" t="str">
        <f>T("[연재]네크로맨서 생존기")</f>
        <v>[연재]네크로맨서 생존기</v>
      </c>
      <c r="K239">
        <v>100</v>
      </c>
      <c r="L239">
        <v>29900</v>
      </c>
      <c r="M239">
        <v>299</v>
      </c>
      <c r="N239">
        <v>0</v>
      </c>
      <c r="O239">
        <v>0</v>
      </c>
      <c r="P239">
        <v>0</v>
      </c>
      <c r="Q239">
        <v>153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-100</v>
      </c>
      <c r="Y239">
        <v>2</v>
      </c>
      <c r="Z239">
        <v>-100</v>
      </c>
      <c r="AA239">
        <v>1</v>
      </c>
      <c r="AB239">
        <v>0</v>
      </c>
      <c r="AC239">
        <v>1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17880</v>
      </c>
      <c r="AL239" t="str">
        <f t="shared" si="55"/>
        <v>0000000000000</v>
      </c>
      <c r="AN239" t="str">
        <f>T("9791190142359")</f>
        <v>9791190142359</v>
      </c>
      <c r="AP239" t="str">
        <f>T("BL 웹소설 &gt; 현대물")</f>
        <v>BL 웹소설 &gt; 현대물</v>
      </c>
      <c r="AQ239" t="str">
        <f>T("BL 웹소설 &gt; 판타지물")</f>
        <v>BL 웹소설 &gt; 판타지물</v>
      </c>
    </row>
    <row r="240" spans="1:43" x14ac:dyDescent="0.4">
      <c r="A240" t="s">
        <v>43</v>
      </c>
      <c r="C240">
        <v>3822000014</v>
      </c>
      <c r="D240" t="str">
        <f>T("사랑이 쉬는 날")</f>
        <v>사랑이 쉬는 날</v>
      </c>
      <c r="F240" t="str">
        <f>T("한야하")</f>
        <v>한야하</v>
      </c>
      <c r="I240" t="str">
        <f>T("애프터선셋")</f>
        <v>애프터선셋</v>
      </c>
      <c r="K240">
        <v>3200</v>
      </c>
      <c r="L240">
        <v>28800</v>
      </c>
      <c r="M240">
        <v>9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20160</v>
      </c>
      <c r="AL240" t="str">
        <f t="shared" si="55"/>
        <v>0000000000000</v>
      </c>
      <c r="AN240" t="str">
        <f>T("9791190142083")</f>
        <v>9791190142083</v>
      </c>
      <c r="AP240" t="str">
        <f>T("로맨스 e북 &gt; 현대물")</f>
        <v>로맨스 e북 &gt; 현대물</v>
      </c>
      <c r="AQ240" t="str">
        <f>T("로맨스 e북 &gt; 19+")</f>
        <v>로맨스 e북 &gt; 19+</v>
      </c>
    </row>
    <row r="241" spans="1:43" x14ac:dyDescent="0.4">
      <c r="A241" t="s">
        <v>43</v>
      </c>
      <c r="B241">
        <v>3822000323</v>
      </c>
      <c r="C241">
        <v>3822000334</v>
      </c>
      <c r="D241" t="str">
        <f>T("[연재]네크로맨서 생존기 11화")</f>
        <v>[연재]네크로맨서 생존기 11화</v>
      </c>
      <c r="E241" t="str">
        <f>T("11")</f>
        <v>11</v>
      </c>
      <c r="F241" t="str">
        <f>T("키마님")</f>
        <v>키마님</v>
      </c>
      <c r="I241" t="str">
        <f>T("딥블렌드")</f>
        <v>딥블렌드</v>
      </c>
      <c r="J241" t="str">
        <f>T("[연재]네크로맨서 생존기")</f>
        <v>[연재]네크로맨서 생존기</v>
      </c>
      <c r="K241">
        <v>100</v>
      </c>
      <c r="L241">
        <v>26500</v>
      </c>
      <c r="M241">
        <v>265</v>
      </c>
      <c r="N241">
        <v>0</v>
      </c>
      <c r="O241">
        <v>0</v>
      </c>
      <c r="P241">
        <v>0</v>
      </c>
      <c r="Q241">
        <v>41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-100</v>
      </c>
      <c r="Y241">
        <v>1</v>
      </c>
      <c r="Z241">
        <v>-100</v>
      </c>
      <c r="AA241">
        <v>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15840</v>
      </c>
      <c r="AL241" t="str">
        <f t="shared" si="55"/>
        <v>0000000000000</v>
      </c>
      <c r="AN241" t="str">
        <f>T("9791190142359")</f>
        <v>9791190142359</v>
      </c>
      <c r="AP241" t="str">
        <f>T("BL 웹소설 &gt; 현대물")</f>
        <v>BL 웹소설 &gt; 현대물</v>
      </c>
      <c r="AQ241" t="str">
        <f>T("BL 웹소설 &gt; 판타지물")</f>
        <v>BL 웹소설 &gt; 판타지물</v>
      </c>
    </row>
    <row r="242" spans="1:43" x14ac:dyDescent="0.4">
      <c r="A242" t="s">
        <v>43</v>
      </c>
      <c r="B242">
        <v>3822000031</v>
      </c>
      <c r="C242">
        <v>3822000031</v>
      </c>
      <c r="D242" t="str">
        <f>T("가짜 오빠 1권")</f>
        <v>가짜 오빠 1권</v>
      </c>
      <c r="E242" t="str">
        <f>T("1")</f>
        <v>1</v>
      </c>
      <c r="F242" t="str">
        <f>T("savesave")</f>
        <v>savesave</v>
      </c>
      <c r="I242" t="str">
        <f>T("애프터선셋")</f>
        <v>애프터선셋</v>
      </c>
      <c r="J242" t="str">
        <f>T("가짜 오빠")</f>
        <v>가짜 오빠</v>
      </c>
      <c r="K242">
        <v>3300</v>
      </c>
      <c r="L242">
        <v>26400</v>
      </c>
      <c r="M242">
        <v>8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18480</v>
      </c>
      <c r="AL242" t="str">
        <f t="shared" si="55"/>
        <v>0000000000000</v>
      </c>
      <c r="AN242" t="str">
        <f>T("9791190142274")</f>
        <v>9791190142274</v>
      </c>
      <c r="AP242" t="str">
        <f>T("로맨스 e북 &gt; 현대물")</f>
        <v>로맨스 e북 &gt; 현대물</v>
      </c>
      <c r="AQ242" t="str">
        <f>T("로맨스 e북 &gt; 19+")</f>
        <v>로맨스 e북 &gt; 19+</v>
      </c>
    </row>
    <row r="243" spans="1:43" x14ac:dyDescent="0.4">
      <c r="A243" t="s">
        <v>43</v>
      </c>
      <c r="B243">
        <v>3822000018</v>
      </c>
      <c r="C243">
        <v>3822000018</v>
      </c>
      <c r="D243" t="str">
        <f>T("게임 말고 연애 1권")</f>
        <v>게임 말고 연애 1권</v>
      </c>
      <c r="E243" t="str">
        <f>T("1")</f>
        <v>1</v>
      </c>
      <c r="F243" t="str">
        <f>T("물링")</f>
        <v>물링</v>
      </c>
      <c r="I243" t="str">
        <f>T("딥블렌드")</f>
        <v>딥블렌드</v>
      </c>
      <c r="J243" t="str">
        <f>T("게임 말고 연애")</f>
        <v>게임 말고 연애</v>
      </c>
      <c r="K243">
        <v>3200</v>
      </c>
      <c r="L243">
        <v>25600</v>
      </c>
      <c r="M243">
        <v>8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35200</v>
      </c>
      <c r="U243">
        <v>11</v>
      </c>
      <c r="V243">
        <v>24750</v>
      </c>
      <c r="W243">
        <v>15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59885</v>
      </c>
      <c r="AL243" t="str">
        <f t="shared" si="55"/>
        <v>0000000000000</v>
      </c>
      <c r="AN243" t="str">
        <f>T("9791190142137")</f>
        <v>9791190142137</v>
      </c>
      <c r="AP243" t="str">
        <f>T("BL 소설 e북 &gt; 현대물")</f>
        <v>BL 소설 e북 &gt; 현대물</v>
      </c>
    </row>
    <row r="244" spans="1:43" x14ac:dyDescent="0.4">
      <c r="A244" t="s">
        <v>43</v>
      </c>
      <c r="B244">
        <v>3822000011</v>
      </c>
      <c r="C244">
        <v>3822000028</v>
      </c>
      <c r="D244" t="str">
        <f>T("시어드의 개는 짖지 않는다 (외전)")</f>
        <v>시어드의 개는 짖지 않는다 (외전)</v>
      </c>
      <c r="E244" t="str">
        <f>T("4")</f>
        <v>4</v>
      </c>
      <c r="F244" t="str">
        <f>T("퀸에이")</f>
        <v>퀸에이</v>
      </c>
      <c r="I244" t="str">
        <f>T("딥블렌드")</f>
        <v>딥블렌드</v>
      </c>
      <c r="J244" t="str">
        <f>T("시어드의 개는 짖지 않는다")</f>
        <v>시어드의 개는 짖지 않는다</v>
      </c>
      <c r="K244">
        <v>2300</v>
      </c>
      <c r="L244">
        <v>25300</v>
      </c>
      <c r="M244">
        <v>11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6900</v>
      </c>
      <c r="U244">
        <v>3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22540</v>
      </c>
      <c r="AL244" t="str">
        <f t="shared" si="55"/>
        <v>0000000000000</v>
      </c>
      <c r="AN244" t="str">
        <f>T("9791190142229")</f>
        <v>9791190142229</v>
      </c>
      <c r="AP244" t="str">
        <f>T("BL 소설 e북 &gt; 역사/시대물")</f>
        <v>BL 소설 e북 &gt; 역사/시대물</v>
      </c>
    </row>
    <row r="245" spans="1:43" x14ac:dyDescent="0.4">
      <c r="A245" t="s">
        <v>43</v>
      </c>
      <c r="B245">
        <v>3822000323</v>
      </c>
      <c r="C245">
        <v>3822000333</v>
      </c>
      <c r="D245" t="str">
        <f>T("[연재]네크로맨서 생존기 10화")</f>
        <v>[연재]네크로맨서 생존기 10화</v>
      </c>
      <c r="E245" t="str">
        <f>T("10")</f>
        <v>10</v>
      </c>
      <c r="F245" t="str">
        <f>T("키마님")</f>
        <v>키마님</v>
      </c>
      <c r="I245" t="str">
        <f>T("딥블렌드")</f>
        <v>딥블렌드</v>
      </c>
      <c r="J245" t="str">
        <f>T("[연재]네크로맨서 생존기")</f>
        <v>[연재]네크로맨서 생존기</v>
      </c>
      <c r="K245">
        <v>100</v>
      </c>
      <c r="L245">
        <v>25200</v>
      </c>
      <c r="M245">
        <v>252</v>
      </c>
      <c r="N245">
        <v>0</v>
      </c>
      <c r="O245">
        <v>0</v>
      </c>
      <c r="P245">
        <v>0</v>
      </c>
      <c r="Q245">
        <v>283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15120</v>
      </c>
      <c r="AL245" t="str">
        <f t="shared" si="55"/>
        <v>0000000000000</v>
      </c>
      <c r="AN245" t="str">
        <f>T("9791190142359")</f>
        <v>9791190142359</v>
      </c>
      <c r="AP245" t="str">
        <f>T("BL 웹소설 &gt; 현대물")</f>
        <v>BL 웹소설 &gt; 현대물</v>
      </c>
      <c r="AQ245" t="str">
        <f>T("BL 웹소설 &gt; 판타지물")</f>
        <v>BL 웹소설 &gt; 판타지물</v>
      </c>
    </row>
    <row r="246" spans="1:43" x14ac:dyDescent="0.4">
      <c r="A246" t="s">
        <v>43</v>
      </c>
      <c r="B246">
        <v>3822000323</v>
      </c>
      <c r="C246">
        <v>3822000332</v>
      </c>
      <c r="D246" t="str">
        <f>T("[연재]네크로맨서 생존기 9화")</f>
        <v>[연재]네크로맨서 생존기 9화</v>
      </c>
      <c r="E246" t="str">
        <f>T("9")</f>
        <v>9</v>
      </c>
      <c r="F246" t="str">
        <f>T("키마님")</f>
        <v>키마님</v>
      </c>
      <c r="I246" t="str">
        <f>T("딥블렌드")</f>
        <v>딥블렌드</v>
      </c>
      <c r="J246" t="str">
        <f>T("[연재]네크로맨서 생존기")</f>
        <v>[연재]네크로맨서 생존기</v>
      </c>
      <c r="K246">
        <v>100</v>
      </c>
      <c r="L246">
        <v>25100</v>
      </c>
      <c r="M246">
        <v>251</v>
      </c>
      <c r="N246">
        <v>0</v>
      </c>
      <c r="O246">
        <v>0</v>
      </c>
      <c r="P246">
        <v>0</v>
      </c>
      <c r="Q246">
        <v>266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15060</v>
      </c>
      <c r="AL246" t="str">
        <f t="shared" si="55"/>
        <v>0000000000000</v>
      </c>
      <c r="AN246" t="str">
        <f>T("9791190142359")</f>
        <v>9791190142359</v>
      </c>
      <c r="AP246" t="str">
        <f>T("BL 웹소설 &gt; 현대물")</f>
        <v>BL 웹소설 &gt; 현대물</v>
      </c>
      <c r="AQ246" t="str">
        <f>T("BL 웹소설 &gt; 판타지물")</f>
        <v>BL 웹소설 &gt; 판타지물</v>
      </c>
    </row>
    <row r="247" spans="1:43" x14ac:dyDescent="0.4">
      <c r="A247" t="s">
        <v>43</v>
      </c>
      <c r="C247">
        <v>3822000017</v>
      </c>
      <c r="D247" t="str">
        <f>T("사막의 초승달")</f>
        <v>사막의 초승달</v>
      </c>
      <c r="F247" t="str">
        <f>T("주아일")</f>
        <v>주아일</v>
      </c>
      <c r="I247" t="str">
        <f>T("애프터선셋")</f>
        <v>애프터선셋</v>
      </c>
      <c r="K247">
        <v>3500</v>
      </c>
      <c r="L247">
        <v>24500</v>
      </c>
      <c r="M247">
        <v>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17150</v>
      </c>
      <c r="AL247" t="str">
        <f t="shared" si="55"/>
        <v>0000000000000</v>
      </c>
      <c r="AN247" t="str">
        <f>T("9791190142076")</f>
        <v>9791190142076</v>
      </c>
      <c r="AP247" t="str">
        <f>T("로맨스 e북 &gt; 현대물")</f>
        <v>로맨스 e북 &gt; 현대물</v>
      </c>
      <c r="AQ247" t="str">
        <f>T("로맨스 e북 &gt; 19+")</f>
        <v>로맨스 e북 &gt; 19+</v>
      </c>
    </row>
    <row r="248" spans="1:43" x14ac:dyDescent="0.4">
      <c r="A248" t="s">
        <v>43</v>
      </c>
      <c r="B248">
        <v>3822000323</v>
      </c>
      <c r="C248">
        <v>3822000331</v>
      </c>
      <c r="D248" t="str">
        <f>T("[연재]네크로맨서 생존기 8화")</f>
        <v>[연재]네크로맨서 생존기 8화</v>
      </c>
      <c r="E248" t="str">
        <f>T("8")</f>
        <v>8</v>
      </c>
      <c r="F248" t="str">
        <f>T("키마님")</f>
        <v>키마님</v>
      </c>
      <c r="I248" t="str">
        <f>T("딥블렌드")</f>
        <v>딥블렌드</v>
      </c>
      <c r="J248" t="str">
        <f>T("[연재]네크로맨서 생존기")</f>
        <v>[연재]네크로맨서 생존기</v>
      </c>
      <c r="K248">
        <v>100</v>
      </c>
      <c r="L248">
        <v>24200</v>
      </c>
      <c r="M248">
        <v>242</v>
      </c>
      <c r="N248">
        <v>0</v>
      </c>
      <c r="O248">
        <v>0</v>
      </c>
      <c r="P248">
        <v>0</v>
      </c>
      <c r="Q248">
        <v>276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14520</v>
      </c>
      <c r="AL248" t="str">
        <f t="shared" si="55"/>
        <v>0000000000000</v>
      </c>
      <c r="AN248" t="str">
        <f>T("9791190142359")</f>
        <v>9791190142359</v>
      </c>
      <c r="AP248" t="str">
        <f>T("BL 웹소설 &gt; 현대물")</f>
        <v>BL 웹소설 &gt; 현대물</v>
      </c>
      <c r="AQ248" t="str">
        <f>T("BL 웹소설 &gt; 판타지물")</f>
        <v>BL 웹소설 &gt; 판타지물</v>
      </c>
    </row>
    <row r="249" spans="1:43" x14ac:dyDescent="0.4">
      <c r="A249" t="s">
        <v>43</v>
      </c>
      <c r="C249">
        <v>3822001166</v>
      </c>
      <c r="D249" t="str">
        <f>T("은하수를 기억해요")</f>
        <v>은하수를 기억해요</v>
      </c>
      <c r="F249" t="str">
        <f>T("김원리")</f>
        <v>김원리</v>
      </c>
      <c r="I249" t="str">
        <f>T("애프터선셋")</f>
        <v>애프터선셋</v>
      </c>
      <c r="K249">
        <v>3400</v>
      </c>
      <c r="L249">
        <v>23800</v>
      </c>
      <c r="M249">
        <v>7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16660</v>
      </c>
      <c r="AN249" t="str">
        <f>T("9791190876230")</f>
        <v>9791190876230</v>
      </c>
      <c r="AP249" t="str">
        <f>T("로맨스 e북 &gt; 현대물")</f>
        <v>로맨스 e북 &gt; 현대물</v>
      </c>
      <c r="AQ249" t="str">
        <f>T("로맨스 e북 &gt; 19+")</f>
        <v>로맨스 e북 &gt; 19+</v>
      </c>
    </row>
    <row r="250" spans="1:43" x14ac:dyDescent="0.4">
      <c r="A250" t="s">
        <v>43</v>
      </c>
      <c r="B250">
        <v>3822000323</v>
      </c>
      <c r="C250">
        <v>3822000330</v>
      </c>
      <c r="D250" t="str">
        <f>T("[연재]네크로맨서 생존기 7화")</f>
        <v>[연재]네크로맨서 생존기 7화</v>
      </c>
      <c r="E250" t="str">
        <f>T("7")</f>
        <v>7</v>
      </c>
      <c r="F250" t="str">
        <f>T("키마님")</f>
        <v>키마님</v>
      </c>
      <c r="I250" t="str">
        <f>T("딥블렌드")</f>
        <v>딥블렌드</v>
      </c>
      <c r="J250" t="str">
        <f>T("[연재]네크로맨서 생존기")</f>
        <v>[연재]네크로맨서 생존기</v>
      </c>
      <c r="K250">
        <v>100</v>
      </c>
      <c r="L250">
        <v>22600</v>
      </c>
      <c r="M250">
        <v>226</v>
      </c>
      <c r="N250">
        <v>0</v>
      </c>
      <c r="O250">
        <v>0</v>
      </c>
      <c r="P250">
        <v>0</v>
      </c>
      <c r="Q250">
        <v>342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13560</v>
      </c>
      <c r="AL250" t="str">
        <f>T("0000000000000")</f>
        <v>0000000000000</v>
      </c>
      <c r="AN250" t="str">
        <f>T("9791190142359")</f>
        <v>9791190142359</v>
      </c>
      <c r="AP250" t="str">
        <f>T("BL 웹소설 &gt; 현대물")</f>
        <v>BL 웹소설 &gt; 현대물</v>
      </c>
      <c r="AQ250" t="str">
        <f>T("BL 웹소설 &gt; 판타지물")</f>
        <v>BL 웹소설 &gt; 판타지물</v>
      </c>
    </row>
    <row r="251" spans="1:43" x14ac:dyDescent="0.4">
      <c r="A251" t="s">
        <v>43</v>
      </c>
      <c r="B251">
        <v>3822000018</v>
      </c>
      <c r="C251">
        <v>3822000019</v>
      </c>
      <c r="D251" t="str">
        <f>T("게임 말고 연애 2권 (완결)")</f>
        <v>게임 말고 연애 2권 (완결)</v>
      </c>
      <c r="E251" t="str">
        <f>T("2")</f>
        <v>2</v>
      </c>
      <c r="F251" t="str">
        <f>T("물링")</f>
        <v>물링</v>
      </c>
      <c r="I251" t="str">
        <f>T("딥블렌드")</f>
        <v>딥블렌드</v>
      </c>
      <c r="J251" t="str">
        <f>T("게임 말고 연애")</f>
        <v>게임 말고 연애</v>
      </c>
      <c r="K251">
        <v>3200</v>
      </c>
      <c r="L251">
        <v>22400</v>
      </c>
      <c r="M251">
        <v>7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35200</v>
      </c>
      <c r="U251">
        <v>11</v>
      </c>
      <c r="V251">
        <v>24750</v>
      </c>
      <c r="W251">
        <v>15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57645</v>
      </c>
      <c r="AL251" t="str">
        <f>T("0000000000000")</f>
        <v>0000000000000</v>
      </c>
      <c r="AN251" t="str">
        <f>T("9791190142144")</f>
        <v>9791190142144</v>
      </c>
      <c r="AP251" t="str">
        <f>T("BL 소설 e북 &gt; 현대물")</f>
        <v>BL 소설 e북 &gt; 현대물</v>
      </c>
    </row>
    <row r="252" spans="1:43" x14ac:dyDescent="0.4">
      <c r="A252" t="s">
        <v>43</v>
      </c>
      <c r="B252">
        <v>3822000323</v>
      </c>
      <c r="C252">
        <v>3822000329</v>
      </c>
      <c r="D252" t="str">
        <f>T("[연재]네크로맨서 생존기 6화")</f>
        <v>[연재]네크로맨서 생존기 6화</v>
      </c>
      <c r="E252" t="str">
        <f>T("6")</f>
        <v>6</v>
      </c>
      <c r="F252" t="str">
        <f>T("키마님")</f>
        <v>키마님</v>
      </c>
      <c r="I252" t="str">
        <f>T("딥블렌드")</f>
        <v>딥블렌드</v>
      </c>
      <c r="J252" t="str">
        <f>T("[연재]네크로맨서 생존기")</f>
        <v>[연재]네크로맨서 생존기</v>
      </c>
      <c r="K252">
        <v>100</v>
      </c>
      <c r="L252">
        <v>21800</v>
      </c>
      <c r="M252">
        <v>218</v>
      </c>
      <c r="N252">
        <v>0</v>
      </c>
      <c r="O252">
        <v>0</v>
      </c>
      <c r="P252">
        <v>0</v>
      </c>
      <c r="Q252">
        <v>368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13080</v>
      </c>
      <c r="AL252" t="str">
        <f>T("0000000000000")</f>
        <v>0000000000000</v>
      </c>
      <c r="AN252" t="str">
        <f>T("9791190142359")</f>
        <v>9791190142359</v>
      </c>
      <c r="AP252" t="str">
        <f>T("BL 웹소설 &gt; 현대물")</f>
        <v>BL 웹소설 &gt; 현대물</v>
      </c>
      <c r="AQ252" t="str">
        <f>T("BL 웹소설 &gt; 판타지물")</f>
        <v>BL 웹소설 &gt; 판타지물</v>
      </c>
    </row>
    <row r="253" spans="1:43" x14ac:dyDescent="0.4">
      <c r="A253" t="s">
        <v>43</v>
      </c>
      <c r="B253">
        <v>3822000323</v>
      </c>
      <c r="C253">
        <v>3822000328</v>
      </c>
      <c r="D253" t="str">
        <f>T("[연재]네크로맨서 생존기 5화")</f>
        <v>[연재]네크로맨서 생존기 5화</v>
      </c>
      <c r="E253" t="str">
        <f>T("5")</f>
        <v>5</v>
      </c>
      <c r="F253" t="str">
        <f>T("키마님")</f>
        <v>키마님</v>
      </c>
      <c r="I253" t="str">
        <f>T("딥블렌드")</f>
        <v>딥블렌드</v>
      </c>
      <c r="J253" t="str">
        <f>T("[연재]네크로맨서 생존기")</f>
        <v>[연재]네크로맨서 생존기</v>
      </c>
      <c r="K253">
        <v>100</v>
      </c>
      <c r="L253">
        <v>21600</v>
      </c>
      <c r="M253">
        <v>216</v>
      </c>
      <c r="N253">
        <v>0</v>
      </c>
      <c r="O253">
        <v>0</v>
      </c>
      <c r="P253">
        <v>0</v>
      </c>
      <c r="Q253">
        <v>373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1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12960</v>
      </c>
      <c r="AL253" t="str">
        <f>T("0000000000000")</f>
        <v>0000000000000</v>
      </c>
      <c r="AN253" t="str">
        <f>T("9791190142359")</f>
        <v>9791190142359</v>
      </c>
      <c r="AP253" t="str">
        <f>T("BL 웹소설 &gt; 현대물")</f>
        <v>BL 웹소설 &gt; 현대물</v>
      </c>
      <c r="AQ253" t="str">
        <f>T("BL 웹소설 &gt; 판타지물")</f>
        <v>BL 웹소설 &gt; 판타지물</v>
      </c>
    </row>
    <row r="254" spans="1:43" x14ac:dyDescent="0.4">
      <c r="A254" t="s">
        <v>43</v>
      </c>
      <c r="B254">
        <v>3822000994</v>
      </c>
      <c r="C254">
        <v>3822001267</v>
      </c>
      <c r="D254" t="str">
        <f>T("[연재]후회 없게 해 드립니다 123화 (완결)")</f>
        <v>[연재]후회 없게 해 드립니다 123화 (완결)</v>
      </c>
      <c r="E254" t="str">
        <f>T("123")</f>
        <v>123</v>
      </c>
      <c r="F254" t="str">
        <f>T("소하")</f>
        <v>소하</v>
      </c>
      <c r="I254" t="str">
        <f>T("비포선셋")</f>
        <v>비포선셋</v>
      </c>
      <c r="J254" t="str">
        <f>T("[연재]후회 없게 해 드립니다")</f>
        <v>[연재]후회 없게 해 드립니다</v>
      </c>
      <c r="K254">
        <v>100</v>
      </c>
      <c r="L254">
        <v>21600</v>
      </c>
      <c r="M254">
        <v>216</v>
      </c>
      <c r="N254">
        <v>0</v>
      </c>
      <c r="O254">
        <v>0</v>
      </c>
      <c r="P254">
        <v>0</v>
      </c>
      <c r="Q254">
        <v>403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-200</v>
      </c>
      <c r="Y254">
        <v>2</v>
      </c>
      <c r="Z254">
        <v>-200</v>
      </c>
      <c r="AA254">
        <v>2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12840</v>
      </c>
      <c r="AN254" t="str">
        <f>T("9791190142953")</f>
        <v>9791190142953</v>
      </c>
      <c r="AP254" t="str">
        <f>T("로맨스 웹소설 &gt; 판타지물")</f>
        <v>로맨스 웹소설 &gt; 판타지물</v>
      </c>
    </row>
    <row r="255" spans="1:43" x14ac:dyDescent="0.4">
      <c r="A255" t="s">
        <v>43</v>
      </c>
      <c r="B255">
        <v>3822000645</v>
      </c>
      <c r="C255">
        <v>3822001208</v>
      </c>
      <c r="D255" t="str">
        <f>T("[연재]방송 켜셔야죠 121화 (완결)")</f>
        <v>[연재]방송 켜셔야죠 121화 (완결)</v>
      </c>
      <c r="E255" t="str">
        <f>T("121")</f>
        <v>121</v>
      </c>
      <c r="F255" t="str">
        <f>T("파란비")</f>
        <v>파란비</v>
      </c>
      <c r="I255" t="str">
        <f>T("딥블렌드")</f>
        <v>딥블렌드</v>
      </c>
      <c r="J255" t="str">
        <f>T("[연재]방송 켜셔야죠")</f>
        <v>[연재]방송 켜셔야죠</v>
      </c>
      <c r="K255">
        <v>100</v>
      </c>
      <c r="L255">
        <v>20700</v>
      </c>
      <c r="M255">
        <v>207</v>
      </c>
      <c r="N255">
        <v>0</v>
      </c>
      <c r="O255">
        <v>100</v>
      </c>
      <c r="P255">
        <v>1</v>
      </c>
      <c r="Q255">
        <v>13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-200</v>
      </c>
      <c r="Y255">
        <v>2</v>
      </c>
      <c r="Z255">
        <v>-200</v>
      </c>
      <c r="AA255">
        <v>2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12360</v>
      </c>
      <c r="AN255" t="str">
        <f>T("9791190142717")</f>
        <v>9791190142717</v>
      </c>
      <c r="AP255" t="str">
        <f>T("BL 웹소설 &gt; 현대물")</f>
        <v>BL 웹소설 &gt; 현대물</v>
      </c>
    </row>
    <row r="256" spans="1:43" x14ac:dyDescent="0.4">
      <c r="A256" t="s">
        <v>43</v>
      </c>
      <c r="B256">
        <v>3822000645</v>
      </c>
      <c r="C256">
        <v>3822001206</v>
      </c>
      <c r="D256" t="str">
        <f>T("[연재]방송 켜셔야죠 120화")</f>
        <v>[연재]방송 켜셔야죠 120화</v>
      </c>
      <c r="E256" t="str">
        <f>T("120")</f>
        <v>120</v>
      </c>
      <c r="F256" t="str">
        <f>T("파란비")</f>
        <v>파란비</v>
      </c>
      <c r="I256" t="str">
        <f>T("딥블렌드")</f>
        <v>딥블렌드</v>
      </c>
      <c r="J256" t="str">
        <f>T("[연재]방송 켜셔야죠")</f>
        <v>[연재]방송 켜셔야죠</v>
      </c>
      <c r="K256">
        <v>100</v>
      </c>
      <c r="L256">
        <v>19500</v>
      </c>
      <c r="M256">
        <v>195</v>
      </c>
      <c r="N256">
        <v>0</v>
      </c>
      <c r="O256">
        <v>0</v>
      </c>
      <c r="P256">
        <v>0</v>
      </c>
      <c r="Q256">
        <v>7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-200</v>
      </c>
      <c r="Y256">
        <v>2</v>
      </c>
      <c r="Z256">
        <v>-200</v>
      </c>
      <c r="AA256">
        <v>2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11580</v>
      </c>
      <c r="AN256" t="str">
        <f>T("9791190142717")</f>
        <v>9791190142717</v>
      </c>
      <c r="AP256" t="str">
        <f>T("BL 웹소설 &gt; 현대물")</f>
        <v>BL 웹소설 &gt; 현대물</v>
      </c>
    </row>
    <row r="257" spans="1:43" x14ac:dyDescent="0.4">
      <c r="A257" t="s">
        <v>43</v>
      </c>
      <c r="B257">
        <v>3822000994</v>
      </c>
      <c r="C257">
        <v>3822001223</v>
      </c>
      <c r="D257" t="str">
        <f>T("[연재]후회 없게 해 드립니다 94화")</f>
        <v>[연재]후회 없게 해 드립니다 94화</v>
      </c>
      <c r="E257" t="str">
        <f>T("94")</f>
        <v>94</v>
      </c>
      <c r="F257" t="str">
        <f>T("소하")</f>
        <v>소하</v>
      </c>
      <c r="I257" t="str">
        <f>T("비포선셋")</f>
        <v>비포선셋</v>
      </c>
      <c r="J257" t="str">
        <f>T("[연재]후회 없게 해 드립니다")</f>
        <v>[연재]후회 없게 해 드립니다</v>
      </c>
      <c r="K257">
        <v>100</v>
      </c>
      <c r="L257">
        <v>18200</v>
      </c>
      <c r="M257">
        <v>182</v>
      </c>
      <c r="N257">
        <v>0</v>
      </c>
      <c r="O257">
        <v>0</v>
      </c>
      <c r="P257">
        <v>0</v>
      </c>
      <c r="Q257">
        <v>3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-300</v>
      </c>
      <c r="Y257">
        <v>3</v>
      </c>
      <c r="Z257">
        <v>-300</v>
      </c>
      <c r="AA257">
        <v>3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10740</v>
      </c>
      <c r="AN257" t="str">
        <f>T("9791190142953")</f>
        <v>9791190142953</v>
      </c>
      <c r="AP257" t="str">
        <f>T("로맨스 웹소설 &gt; 판타지물")</f>
        <v>로맨스 웹소설 &gt; 판타지물</v>
      </c>
    </row>
    <row r="258" spans="1:43" x14ac:dyDescent="0.4">
      <c r="A258" t="s">
        <v>43</v>
      </c>
      <c r="B258">
        <v>3822000323</v>
      </c>
      <c r="C258">
        <v>3822000327</v>
      </c>
      <c r="D258" t="str">
        <f>T("[연재]네크로맨서 생존기 4화")</f>
        <v>[연재]네크로맨서 생존기 4화</v>
      </c>
      <c r="E258" t="str">
        <f>T("4")</f>
        <v>4</v>
      </c>
      <c r="F258" t="str">
        <f>T("키마님")</f>
        <v>키마님</v>
      </c>
      <c r="I258" t="str">
        <f>T("딥블렌드")</f>
        <v>딥블렌드</v>
      </c>
      <c r="J258" t="str">
        <f>T("[연재]네크로맨서 생존기")</f>
        <v>[연재]네크로맨서 생존기</v>
      </c>
      <c r="K258">
        <v>100</v>
      </c>
      <c r="L258">
        <v>18000</v>
      </c>
      <c r="M258">
        <v>180</v>
      </c>
      <c r="N258">
        <v>0</v>
      </c>
      <c r="O258">
        <v>0</v>
      </c>
      <c r="P258">
        <v>0</v>
      </c>
      <c r="Q258">
        <v>339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1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10800</v>
      </c>
      <c r="AL258" t="str">
        <f>T("0000000000000")</f>
        <v>0000000000000</v>
      </c>
      <c r="AN258" t="str">
        <f>T("9791190142359")</f>
        <v>9791190142359</v>
      </c>
      <c r="AP258" t="str">
        <f>T("BL 웹소설 &gt; 현대물")</f>
        <v>BL 웹소설 &gt; 현대물</v>
      </c>
      <c r="AQ258" t="str">
        <f>T("BL 웹소설 &gt; 판타지물")</f>
        <v>BL 웹소설 &gt; 판타지물</v>
      </c>
    </row>
    <row r="259" spans="1:43" x14ac:dyDescent="0.4">
      <c r="A259" t="s">
        <v>43</v>
      </c>
      <c r="B259">
        <v>3822000645</v>
      </c>
      <c r="C259">
        <v>3822001203</v>
      </c>
      <c r="D259" t="str">
        <f>T("[연재]방송 켜셔야죠 119화")</f>
        <v>[연재]방송 켜셔야죠 119화</v>
      </c>
      <c r="E259" t="str">
        <f>T("119")</f>
        <v>119</v>
      </c>
      <c r="F259" t="str">
        <f>T("파란비")</f>
        <v>파란비</v>
      </c>
      <c r="I259" t="str">
        <f>T("딥블렌드")</f>
        <v>딥블렌드</v>
      </c>
      <c r="J259" t="str">
        <f>T("[연재]방송 켜셔야죠")</f>
        <v>[연재]방송 켜셔야죠</v>
      </c>
      <c r="K259">
        <v>100</v>
      </c>
      <c r="L259">
        <v>18000</v>
      </c>
      <c r="M259">
        <v>180</v>
      </c>
      <c r="N259">
        <v>0</v>
      </c>
      <c r="O259">
        <v>0</v>
      </c>
      <c r="P259">
        <v>0</v>
      </c>
      <c r="Q259">
        <v>7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-200</v>
      </c>
      <c r="Y259">
        <v>2</v>
      </c>
      <c r="Z259">
        <v>-200</v>
      </c>
      <c r="AA259">
        <v>2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10680</v>
      </c>
      <c r="AN259" t="str">
        <f>T("9791190142717")</f>
        <v>9791190142717</v>
      </c>
      <c r="AP259" t="str">
        <f>T("BL 웹소설 &gt; 현대물")</f>
        <v>BL 웹소설 &gt; 현대물</v>
      </c>
    </row>
    <row r="260" spans="1:43" x14ac:dyDescent="0.4">
      <c r="A260" t="s">
        <v>43</v>
      </c>
      <c r="B260">
        <v>3822000994</v>
      </c>
      <c r="C260">
        <v>3822001211</v>
      </c>
      <c r="D260" t="str">
        <f>T("[연재]후회 없게 해 드립니다 87화")</f>
        <v>[연재]후회 없게 해 드립니다 87화</v>
      </c>
      <c r="E260" t="str">
        <f>T("87")</f>
        <v>87</v>
      </c>
      <c r="F260" t="str">
        <f>T("소하")</f>
        <v>소하</v>
      </c>
      <c r="I260" t="str">
        <f>T("비포선셋")</f>
        <v>비포선셋</v>
      </c>
      <c r="J260" t="str">
        <f>T("[연재]후회 없게 해 드립니다")</f>
        <v>[연재]후회 없게 해 드립니다</v>
      </c>
      <c r="K260">
        <v>100</v>
      </c>
      <c r="L260">
        <v>17900</v>
      </c>
      <c r="M260">
        <v>179</v>
      </c>
      <c r="N260">
        <v>0</v>
      </c>
      <c r="O260">
        <v>0</v>
      </c>
      <c r="P260">
        <v>0</v>
      </c>
      <c r="Q260">
        <v>4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-300</v>
      </c>
      <c r="Y260">
        <v>3</v>
      </c>
      <c r="Z260">
        <v>-300</v>
      </c>
      <c r="AA260">
        <v>3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10560</v>
      </c>
      <c r="AN260" t="str">
        <f>T("9791190142953")</f>
        <v>9791190142953</v>
      </c>
      <c r="AP260" t="str">
        <f>T("로맨스 웹소설 &gt; 판타지물")</f>
        <v>로맨스 웹소설 &gt; 판타지물</v>
      </c>
    </row>
    <row r="261" spans="1:43" x14ac:dyDescent="0.4">
      <c r="A261" t="s">
        <v>43</v>
      </c>
      <c r="B261">
        <v>3822000994</v>
      </c>
      <c r="C261">
        <v>3822001226</v>
      </c>
      <c r="D261" t="str">
        <f>T("[연재]후회 없게 해 드립니다 95화")</f>
        <v>[연재]후회 없게 해 드립니다 95화</v>
      </c>
      <c r="E261" t="str">
        <f>T("95")</f>
        <v>95</v>
      </c>
      <c r="F261" t="str">
        <f>T("소하")</f>
        <v>소하</v>
      </c>
      <c r="I261" t="str">
        <f>T("비포선셋")</f>
        <v>비포선셋</v>
      </c>
      <c r="J261" t="str">
        <f>T("[연재]후회 없게 해 드립니다")</f>
        <v>[연재]후회 없게 해 드립니다</v>
      </c>
      <c r="K261">
        <v>100</v>
      </c>
      <c r="L261">
        <v>17800</v>
      </c>
      <c r="M261">
        <v>178</v>
      </c>
      <c r="N261">
        <v>0</v>
      </c>
      <c r="O261">
        <v>0</v>
      </c>
      <c r="P261">
        <v>0</v>
      </c>
      <c r="Q261">
        <v>5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-300</v>
      </c>
      <c r="Y261">
        <v>3</v>
      </c>
      <c r="Z261">
        <v>-300</v>
      </c>
      <c r="AA261">
        <v>3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10500</v>
      </c>
      <c r="AN261" t="str">
        <f>T("9791190142953")</f>
        <v>9791190142953</v>
      </c>
      <c r="AP261" t="str">
        <f>T("로맨스 웹소설 &gt; 판타지물")</f>
        <v>로맨스 웹소설 &gt; 판타지물</v>
      </c>
    </row>
    <row r="262" spans="1:43" x14ac:dyDescent="0.4">
      <c r="A262" t="s">
        <v>43</v>
      </c>
      <c r="B262">
        <v>3822000645</v>
      </c>
      <c r="C262">
        <v>3822001201</v>
      </c>
      <c r="D262" t="str">
        <f>T("[연재]방송 켜셔야죠 118화")</f>
        <v>[연재]방송 켜셔야죠 118화</v>
      </c>
      <c r="E262" t="str">
        <f>T("118")</f>
        <v>118</v>
      </c>
      <c r="F262" t="str">
        <f>T("파란비")</f>
        <v>파란비</v>
      </c>
      <c r="I262" t="str">
        <f>T("딥블렌드")</f>
        <v>딥블렌드</v>
      </c>
      <c r="J262" t="str">
        <f>T("[연재]방송 켜셔야죠")</f>
        <v>[연재]방송 켜셔야죠</v>
      </c>
      <c r="K262">
        <v>100</v>
      </c>
      <c r="L262">
        <v>17600</v>
      </c>
      <c r="M262">
        <v>176</v>
      </c>
      <c r="N262">
        <v>0</v>
      </c>
      <c r="O262">
        <v>0</v>
      </c>
      <c r="P262">
        <v>0</v>
      </c>
      <c r="Q262">
        <v>4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-200</v>
      </c>
      <c r="Y262">
        <v>2</v>
      </c>
      <c r="Z262">
        <v>-200</v>
      </c>
      <c r="AA262">
        <v>2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10440</v>
      </c>
      <c r="AN262" t="str">
        <f>T("9791190142717")</f>
        <v>9791190142717</v>
      </c>
      <c r="AP262" t="str">
        <f>T("BL 웹소설 &gt; 현대물")</f>
        <v>BL 웹소설 &gt; 현대물</v>
      </c>
    </row>
    <row r="263" spans="1:43" x14ac:dyDescent="0.4">
      <c r="A263" t="s">
        <v>43</v>
      </c>
      <c r="B263">
        <v>3822000994</v>
      </c>
      <c r="C263">
        <v>3822001222</v>
      </c>
      <c r="D263" t="str">
        <f>T("[연재]후회 없게 해 드립니다 93화")</f>
        <v>[연재]후회 없게 해 드립니다 93화</v>
      </c>
      <c r="E263" t="str">
        <f>T("93")</f>
        <v>93</v>
      </c>
      <c r="F263" t="str">
        <f t="shared" ref="F263:F269" si="56">T("소하")</f>
        <v>소하</v>
      </c>
      <c r="I263" t="str">
        <f t="shared" ref="I263:I269" si="57">T("비포선셋")</f>
        <v>비포선셋</v>
      </c>
      <c r="J263" t="str">
        <f t="shared" ref="J263:J269" si="58">T("[연재]후회 없게 해 드립니다")</f>
        <v>[연재]후회 없게 해 드립니다</v>
      </c>
      <c r="K263">
        <v>100</v>
      </c>
      <c r="L263">
        <v>17500</v>
      </c>
      <c r="M263">
        <v>175</v>
      </c>
      <c r="N263">
        <v>0</v>
      </c>
      <c r="O263">
        <v>0</v>
      </c>
      <c r="P263">
        <v>0</v>
      </c>
      <c r="Q263">
        <v>5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-400</v>
      </c>
      <c r="Y263">
        <v>4</v>
      </c>
      <c r="Z263">
        <v>-400</v>
      </c>
      <c r="AA263">
        <v>4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10260</v>
      </c>
      <c r="AN263" t="str">
        <f t="shared" ref="AN263:AN269" si="59">T("9791190142953")</f>
        <v>9791190142953</v>
      </c>
      <c r="AP263" t="str">
        <f t="shared" ref="AP263:AP269" si="60">T("로맨스 웹소설 &gt; 판타지물")</f>
        <v>로맨스 웹소설 &gt; 판타지물</v>
      </c>
    </row>
    <row r="264" spans="1:43" x14ac:dyDescent="0.4">
      <c r="A264" t="s">
        <v>43</v>
      </c>
      <c r="B264">
        <v>3822000994</v>
      </c>
      <c r="C264">
        <v>3822001221</v>
      </c>
      <c r="D264" t="str">
        <f>T("[연재]후회 없게 해 드립니다 92화")</f>
        <v>[연재]후회 없게 해 드립니다 92화</v>
      </c>
      <c r="E264" t="str">
        <f>T("92")</f>
        <v>92</v>
      </c>
      <c r="F264" t="str">
        <f t="shared" si="56"/>
        <v>소하</v>
      </c>
      <c r="I264" t="str">
        <f t="shared" si="57"/>
        <v>비포선셋</v>
      </c>
      <c r="J264" t="str">
        <f t="shared" si="58"/>
        <v>[연재]후회 없게 해 드립니다</v>
      </c>
      <c r="K264">
        <v>100</v>
      </c>
      <c r="L264">
        <v>17400</v>
      </c>
      <c r="M264">
        <v>174</v>
      </c>
      <c r="N264">
        <v>0</v>
      </c>
      <c r="O264">
        <v>0</v>
      </c>
      <c r="P264">
        <v>0</v>
      </c>
      <c r="Q264">
        <v>3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-400</v>
      </c>
      <c r="Y264">
        <v>4</v>
      </c>
      <c r="Z264">
        <v>-400</v>
      </c>
      <c r="AA264">
        <v>4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10200</v>
      </c>
      <c r="AN264" t="str">
        <f t="shared" si="59"/>
        <v>9791190142953</v>
      </c>
      <c r="AP264" t="str">
        <f t="shared" si="60"/>
        <v>로맨스 웹소설 &gt; 판타지물</v>
      </c>
    </row>
    <row r="265" spans="1:43" x14ac:dyDescent="0.4">
      <c r="A265" t="s">
        <v>43</v>
      </c>
      <c r="B265">
        <v>3822000994</v>
      </c>
      <c r="C265">
        <v>3822001214</v>
      </c>
      <c r="D265" t="str">
        <f>T("[연재]후회 없게 해 드립니다 90화")</f>
        <v>[연재]후회 없게 해 드립니다 90화</v>
      </c>
      <c r="E265" t="str">
        <f>T("90")</f>
        <v>90</v>
      </c>
      <c r="F265" t="str">
        <f t="shared" si="56"/>
        <v>소하</v>
      </c>
      <c r="I265" t="str">
        <f t="shared" si="57"/>
        <v>비포선셋</v>
      </c>
      <c r="J265" t="str">
        <f t="shared" si="58"/>
        <v>[연재]후회 없게 해 드립니다</v>
      </c>
      <c r="K265">
        <v>100</v>
      </c>
      <c r="L265">
        <v>17300</v>
      </c>
      <c r="M265">
        <v>173</v>
      </c>
      <c r="N265">
        <v>0</v>
      </c>
      <c r="O265">
        <v>0</v>
      </c>
      <c r="P265">
        <v>0</v>
      </c>
      <c r="Q265">
        <v>4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-400</v>
      </c>
      <c r="Y265">
        <v>4</v>
      </c>
      <c r="Z265">
        <v>-400</v>
      </c>
      <c r="AA265">
        <v>4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10140</v>
      </c>
      <c r="AN265" t="str">
        <f t="shared" si="59"/>
        <v>9791190142953</v>
      </c>
      <c r="AP265" t="str">
        <f t="shared" si="60"/>
        <v>로맨스 웹소설 &gt; 판타지물</v>
      </c>
    </row>
    <row r="266" spans="1:43" x14ac:dyDescent="0.4">
      <c r="A266" t="s">
        <v>43</v>
      </c>
      <c r="B266">
        <v>3822000994</v>
      </c>
      <c r="C266">
        <v>3822001227</v>
      </c>
      <c r="D266" t="str">
        <f>T("[연재]후회 없게 해 드립니다 96화")</f>
        <v>[연재]후회 없게 해 드립니다 96화</v>
      </c>
      <c r="E266" t="str">
        <f>T("96")</f>
        <v>96</v>
      </c>
      <c r="F266" t="str">
        <f t="shared" si="56"/>
        <v>소하</v>
      </c>
      <c r="I266" t="str">
        <f t="shared" si="57"/>
        <v>비포선셋</v>
      </c>
      <c r="J266" t="str">
        <f t="shared" si="58"/>
        <v>[연재]후회 없게 해 드립니다</v>
      </c>
      <c r="K266">
        <v>100</v>
      </c>
      <c r="L266">
        <v>17200</v>
      </c>
      <c r="M266">
        <v>172</v>
      </c>
      <c r="N266">
        <v>0</v>
      </c>
      <c r="O266">
        <v>0</v>
      </c>
      <c r="P266">
        <v>0</v>
      </c>
      <c r="Q266">
        <v>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-200</v>
      </c>
      <c r="Y266">
        <v>2</v>
      </c>
      <c r="Z266">
        <v>-200</v>
      </c>
      <c r="AA266">
        <v>2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10200</v>
      </c>
      <c r="AN266" t="str">
        <f t="shared" si="59"/>
        <v>9791190142953</v>
      </c>
      <c r="AP266" t="str">
        <f t="shared" si="60"/>
        <v>로맨스 웹소설 &gt; 판타지물</v>
      </c>
    </row>
    <row r="267" spans="1:43" x14ac:dyDescent="0.4">
      <c r="A267" t="s">
        <v>43</v>
      </c>
      <c r="B267">
        <v>3822000994</v>
      </c>
      <c r="C267">
        <v>3822001220</v>
      </c>
      <c r="D267" t="str">
        <f>T("[연재]후회 없게 해 드립니다 91화")</f>
        <v>[연재]후회 없게 해 드립니다 91화</v>
      </c>
      <c r="E267" t="str">
        <f>T("91")</f>
        <v>91</v>
      </c>
      <c r="F267" t="str">
        <f t="shared" si="56"/>
        <v>소하</v>
      </c>
      <c r="I267" t="str">
        <f t="shared" si="57"/>
        <v>비포선셋</v>
      </c>
      <c r="J267" t="str">
        <f t="shared" si="58"/>
        <v>[연재]후회 없게 해 드립니다</v>
      </c>
      <c r="K267">
        <v>100</v>
      </c>
      <c r="L267">
        <v>17100</v>
      </c>
      <c r="M267">
        <v>171</v>
      </c>
      <c r="N267">
        <v>0</v>
      </c>
      <c r="O267">
        <v>0</v>
      </c>
      <c r="P267">
        <v>0</v>
      </c>
      <c r="Q267">
        <v>5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-400</v>
      </c>
      <c r="Y267">
        <v>4</v>
      </c>
      <c r="Z267">
        <v>-400</v>
      </c>
      <c r="AA267">
        <v>4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10020</v>
      </c>
      <c r="AN267" t="str">
        <f t="shared" si="59"/>
        <v>9791190142953</v>
      </c>
      <c r="AP267" t="str">
        <f t="shared" si="60"/>
        <v>로맨스 웹소설 &gt; 판타지물</v>
      </c>
    </row>
    <row r="268" spans="1:43" x14ac:dyDescent="0.4">
      <c r="A268" t="s">
        <v>43</v>
      </c>
      <c r="B268">
        <v>3822000994</v>
      </c>
      <c r="C268">
        <v>3822001212</v>
      </c>
      <c r="D268" t="str">
        <f>T("[연재]후회 없게 해 드립니다 88화")</f>
        <v>[연재]후회 없게 해 드립니다 88화</v>
      </c>
      <c r="E268" t="str">
        <f>T("88")</f>
        <v>88</v>
      </c>
      <c r="F268" t="str">
        <f t="shared" si="56"/>
        <v>소하</v>
      </c>
      <c r="I268" t="str">
        <f t="shared" si="57"/>
        <v>비포선셋</v>
      </c>
      <c r="J268" t="str">
        <f t="shared" si="58"/>
        <v>[연재]후회 없게 해 드립니다</v>
      </c>
      <c r="K268">
        <v>100</v>
      </c>
      <c r="L268">
        <v>17000</v>
      </c>
      <c r="M268">
        <v>170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-300</v>
      </c>
      <c r="Y268">
        <v>3</v>
      </c>
      <c r="Z268">
        <v>-300</v>
      </c>
      <c r="AA268">
        <v>3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10020</v>
      </c>
      <c r="AN268" t="str">
        <f t="shared" si="59"/>
        <v>9791190142953</v>
      </c>
      <c r="AP268" t="str">
        <f t="shared" si="60"/>
        <v>로맨스 웹소설 &gt; 판타지물</v>
      </c>
    </row>
    <row r="269" spans="1:43" x14ac:dyDescent="0.4">
      <c r="A269" t="s">
        <v>43</v>
      </c>
      <c r="B269">
        <v>3822000994</v>
      </c>
      <c r="C269">
        <v>3822001213</v>
      </c>
      <c r="D269" t="str">
        <f>T("[연재]후회 없게 해 드립니다 89화")</f>
        <v>[연재]후회 없게 해 드립니다 89화</v>
      </c>
      <c r="E269" t="str">
        <f>T("89")</f>
        <v>89</v>
      </c>
      <c r="F269" t="str">
        <f t="shared" si="56"/>
        <v>소하</v>
      </c>
      <c r="I269" t="str">
        <f t="shared" si="57"/>
        <v>비포선셋</v>
      </c>
      <c r="J269" t="str">
        <f t="shared" si="58"/>
        <v>[연재]후회 없게 해 드립니다</v>
      </c>
      <c r="K269">
        <v>100</v>
      </c>
      <c r="L269">
        <v>17000</v>
      </c>
      <c r="M269">
        <v>170</v>
      </c>
      <c r="N269">
        <v>0</v>
      </c>
      <c r="O269">
        <v>0</v>
      </c>
      <c r="P269">
        <v>0</v>
      </c>
      <c r="Q269">
        <v>4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-300</v>
      </c>
      <c r="Y269">
        <v>3</v>
      </c>
      <c r="Z269">
        <v>-300</v>
      </c>
      <c r="AA269">
        <v>3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10020</v>
      </c>
      <c r="AN269" t="str">
        <f t="shared" si="59"/>
        <v>9791190142953</v>
      </c>
      <c r="AP269" t="str">
        <f t="shared" si="60"/>
        <v>로맨스 웹소설 &gt; 판타지물</v>
      </c>
    </row>
    <row r="270" spans="1:43" x14ac:dyDescent="0.4">
      <c r="A270" t="s">
        <v>43</v>
      </c>
      <c r="B270">
        <v>3822000645</v>
      </c>
      <c r="C270">
        <v>3822001199</v>
      </c>
      <c r="D270" t="str">
        <f>T("[연재]방송 켜셔야죠 117화")</f>
        <v>[연재]방송 켜셔야죠 117화</v>
      </c>
      <c r="E270" t="str">
        <f>T("117")</f>
        <v>117</v>
      </c>
      <c r="F270" t="str">
        <f>T("파란비")</f>
        <v>파란비</v>
      </c>
      <c r="I270" t="str">
        <f>T("딥블렌드")</f>
        <v>딥블렌드</v>
      </c>
      <c r="J270" t="str">
        <f>T("[연재]방송 켜셔야죠")</f>
        <v>[연재]방송 켜셔야죠</v>
      </c>
      <c r="K270">
        <v>100</v>
      </c>
      <c r="L270">
        <v>16900</v>
      </c>
      <c r="M270">
        <v>169</v>
      </c>
      <c r="N270">
        <v>0</v>
      </c>
      <c r="O270">
        <v>0</v>
      </c>
      <c r="P270">
        <v>0</v>
      </c>
      <c r="Q270">
        <v>4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-200</v>
      </c>
      <c r="Y270">
        <v>2</v>
      </c>
      <c r="Z270">
        <v>-200</v>
      </c>
      <c r="AA270">
        <v>2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10020</v>
      </c>
      <c r="AN270" t="str">
        <f>T("9791190142717")</f>
        <v>9791190142717</v>
      </c>
      <c r="AP270" t="str">
        <f>T("BL 웹소설 &gt; 현대물")</f>
        <v>BL 웹소설 &gt; 현대물</v>
      </c>
    </row>
    <row r="271" spans="1:43" x14ac:dyDescent="0.4">
      <c r="A271" t="s">
        <v>43</v>
      </c>
      <c r="B271">
        <v>3822000387</v>
      </c>
      <c r="C271">
        <v>3822000387</v>
      </c>
      <c r="D271" t="str">
        <f>T("벤야민 1권")</f>
        <v>벤야민 1권</v>
      </c>
      <c r="E271" t="str">
        <f>T("1")</f>
        <v>1</v>
      </c>
      <c r="F271" t="str">
        <f>T("블로로")</f>
        <v>블로로</v>
      </c>
      <c r="I271" t="str">
        <f>T("딥블렌드")</f>
        <v>딥블렌드</v>
      </c>
      <c r="J271" t="str">
        <f>T("벤야민")</f>
        <v>벤야민</v>
      </c>
      <c r="K271">
        <v>2800</v>
      </c>
      <c r="L271">
        <v>16800</v>
      </c>
      <c r="M271">
        <v>6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25200</v>
      </c>
      <c r="U271">
        <v>9</v>
      </c>
      <c r="V271">
        <v>44550</v>
      </c>
      <c r="W271">
        <v>27</v>
      </c>
      <c r="X271">
        <v>-2800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-2800</v>
      </c>
      <c r="AG271">
        <v>1</v>
      </c>
      <c r="AH271">
        <v>0</v>
      </c>
      <c r="AI271">
        <v>0</v>
      </c>
      <c r="AJ271">
        <v>58625</v>
      </c>
      <c r="AL271" t="str">
        <f>T("0000000000000")</f>
        <v>0000000000000</v>
      </c>
      <c r="AN271" t="str">
        <f>T("9791190142441")</f>
        <v>9791190142441</v>
      </c>
      <c r="AP271" t="str">
        <f>T("BL 소설 e북 &gt; 역사/시대물")</f>
        <v>BL 소설 e북 &gt; 역사/시대물</v>
      </c>
    </row>
    <row r="272" spans="1:43" x14ac:dyDescent="0.4">
      <c r="A272" t="s">
        <v>43</v>
      </c>
      <c r="B272">
        <v>3822000387</v>
      </c>
      <c r="C272">
        <v>3822000388</v>
      </c>
      <c r="D272" t="str">
        <f>T("벤야민 2권 (완결)")</f>
        <v>벤야민 2권 (완결)</v>
      </c>
      <c r="E272" t="str">
        <f>T("2")</f>
        <v>2</v>
      </c>
      <c r="F272" t="str">
        <f>T("블로로")</f>
        <v>블로로</v>
      </c>
      <c r="I272" t="str">
        <f>T("딥블렌드")</f>
        <v>딥블렌드</v>
      </c>
      <c r="J272" t="str">
        <f>T("벤야민")</f>
        <v>벤야민</v>
      </c>
      <c r="K272">
        <v>2800</v>
      </c>
      <c r="L272">
        <v>16800</v>
      </c>
      <c r="M272">
        <v>6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25200</v>
      </c>
      <c r="U272">
        <v>9</v>
      </c>
      <c r="V272">
        <v>44550</v>
      </c>
      <c r="W272">
        <v>27</v>
      </c>
      <c r="X272">
        <v>-2800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-2800</v>
      </c>
      <c r="AG272">
        <v>1</v>
      </c>
      <c r="AH272">
        <v>0</v>
      </c>
      <c r="AI272">
        <v>0</v>
      </c>
      <c r="AJ272">
        <v>58625</v>
      </c>
      <c r="AN272" t="str">
        <f>T("9791190142458")</f>
        <v>9791190142458</v>
      </c>
      <c r="AP272" t="str">
        <f>T("BL 소설 e북 &gt; 역사/시대물")</f>
        <v>BL 소설 e북 &gt; 역사/시대물</v>
      </c>
    </row>
    <row r="273" spans="1:43" x14ac:dyDescent="0.4">
      <c r="A273" t="s">
        <v>43</v>
      </c>
      <c r="B273">
        <v>3822000645</v>
      </c>
      <c r="C273">
        <v>3822001197</v>
      </c>
      <c r="D273" t="str">
        <f>T("[연재]방송 켜셔야죠 116화")</f>
        <v>[연재]방송 켜셔야죠 116화</v>
      </c>
      <c r="E273" t="str">
        <f>T("116")</f>
        <v>116</v>
      </c>
      <c r="F273" t="str">
        <f>T("파란비")</f>
        <v>파란비</v>
      </c>
      <c r="I273" t="str">
        <f>T("딥블렌드")</f>
        <v>딥블렌드</v>
      </c>
      <c r="J273" t="str">
        <f>T("[연재]방송 켜셔야죠")</f>
        <v>[연재]방송 켜셔야죠</v>
      </c>
      <c r="K273">
        <v>100</v>
      </c>
      <c r="L273">
        <v>16800</v>
      </c>
      <c r="M273">
        <v>168</v>
      </c>
      <c r="N273">
        <v>0</v>
      </c>
      <c r="O273">
        <v>0</v>
      </c>
      <c r="P273">
        <v>0</v>
      </c>
      <c r="Q273">
        <v>4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-200</v>
      </c>
      <c r="Y273">
        <v>2</v>
      </c>
      <c r="Z273">
        <v>-200</v>
      </c>
      <c r="AA273">
        <v>2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9960</v>
      </c>
      <c r="AN273" t="str">
        <f>T("9791190142717")</f>
        <v>9791190142717</v>
      </c>
      <c r="AP273" t="str">
        <f>T("BL 웹소설 &gt; 현대물")</f>
        <v>BL 웹소설 &gt; 현대물</v>
      </c>
    </row>
    <row r="274" spans="1:43" x14ac:dyDescent="0.4">
      <c r="A274" t="s">
        <v>43</v>
      </c>
      <c r="B274">
        <v>3822000994</v>
      </c>
      <c r="C274">
        <v>3822001247</v>
      </c>
      <c r="D274" t="str">
        <f>T("[연재]후회 없게 해 드립니다 107화")</f>
        <v>[연재]후회 없게 해 드립니다 107화</v>
      </c>
      <c r="E274" t="str">
        <f>T("107")</f>
        <v>107</v>
      </c>
      <c r="F274" t="str">
        <f>T("소하")</f>
        <v>소하</v>
      </c>
      <c r="I274" t="str">
        <f>T("비포선셋")</f>
        <v>비포선셋</v>
      </c>
      <c r="J274" t="str">
        <f>T("[연재]후회 없게 해 드립니다")</f>
        <v>[연재]후회 없게 해 드립니다</v>
      </c>
      <c r="K274">
        <v>100</v>
      </c>
      <c r="L274">
        <v>16700</v>
      </c>
      <c r="M274">
        <v>167</v>
      </c>
      <c r="N274">
        <v>0</v>
      </c>
      <c r="O274">
        <v>0</v>
      </c>
      <c r="P274">
        <v>0</v>
      </c>
      <c r="Q274">
        <v>5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-300</v>
      </c>
      <c r="Y274">
        <v>3</v>
      </c>
      <c r="Z274">
        <v>-300</v>
      </c>
      <c r="AA274">
        <v>3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9840</v>
      </c>
      <c r="AN274" t="str">
        <f>T("9791190142953")</f>
        <v>9791190142953</v>
      </c>
      <c r="AP274" t="str">
        <f>T("로맨스 웹소설 &gt; 판타지물")</f>
        <v>로맨스 웹소설 &gt; 판타지물</v>
      </c>
    </row>
    <row r="275" spans="1:43" x14ac:dyDescent="0.4">
      <c r="A275" t="s">
        <v>43</v>
      </c>
      <c r="B275">
        <v>3822000645</v>
      </c>
      <c r="C275">
        <v>3822001193</v>
      </c>
      <c r="D275" t="str">
        <f>T("[연재]방송 켜셔야죠 115화")</f>
        <v>[연재]방송 켜셔야죠 115화</v>
      </c>
      <c r="E275" t="str">
        <f>T("115")</f>
        <v>115</v>
      </c>
      <c r="F275" t="str">
        <f>T("파란비")</f>
        <v>파란비</v>
      </c>
      <c r="I275" t="str">
        <f>T("딥블렌드")</f>
        <v>딥블렌드</v>
      </c>
      <c r="J275" t="str">
        <f>T("[연재]방송 켜셔야죠")</f>
        <v>[연재]방송 켜셔야죠</v>
      </c>
      <c r="K275">
        <v>100</v>
      </c>
      <c r="L275">
        <v>16700</v>
      </c>
      <c r="M275">
        <v>167</v>
      </c>
      <c r="N275">
        <v>0</v>
      </c>
      <c r="O275">
        <v>0</v>
      </c>
      <c r="P275">
        <v>0</v>
      </c>
      <c r="Q275">
        <v>6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-300</v>
      </c>
      <c r="Y275">
        <v>3</v>
      </c>
      <c r="Z275">
        <v>-300</v>
      </c>
      <c r="AA275">
        <v>3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9840</v>
      </c>
      <c r="AN275" t="str">
        <f>T("9791190142717")</f>
        <v>9791190142717</v>
      </c>
      <c r="AP275" t="str">
        <f>T("BL 웹소설 &gt; 현대물")</f>
        <v>BL 웹소설 &gt; 현대물</v>
      </c>
    </row>
    <row r="276" spans="1:43" x14ac:dyDescent="0.4">
      <c r="A276" t="s">
        <v>43</v>
      </c>
      <c r="B276">
        <v>3822000994</v>
      </c>
      <c r="C276">
        <v>3822001241</v>
      </c>
      <c r="D276" t="str">
        <f>T("[연재]후회 없게 해 드립니다 101화")</f>
        <v>[연재]후회 없게 해 드립니다 101화</v>
      </c>
      <c r="E276" t="str">
        <f>T("101")</f>
        <v>101</v>
      </c>
      <c r="F276" t="str">
        <f>T("소하")</f>
        <v>소하</v>
      </c>
      <c r="I276" t="str">
        <f>T("비포선셋")</f>
        <v>비포선셋</v>
      </c>
      <c r="J276" t="str">
        <f>T("[연재]후회 없게 해 드립니다")</f>
        <v>[연재]후회 없게 해 드립니다</v>
      </c>
      <c r="K276">
        <v>100</v>
      </c>
      <c r="L276">
        <v>16700</v>
      </c>
      <c r="M276">
        <v>167</v>
      </c>
      <c r="N276">
        <v>0</v>
      </c>
      <c r="O276">
        <v>0</v>
      </c>
      <c r="P276">
        <v>0</v>
      </c>
      <c r="Q276">
        <v>3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-300</v>
      </c>
      <c r="Y276">
        <v>3</v>
      </c>
      <c r="Z276">
        <v>-300</v>
      </c>
      <c r="AA276">
        <v>3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9840</v>
      </c>
      <c r="AN276" t="str">
        <f>T("9791190142953")</f>
        <v>9791190142953</v>
      </c>
      <c r="AP276" t="str">
        <f>T("로맨스 웹소설 &gt; 판타지물")</f>
        <v>로맨스 웹소설 &gt; 판타지물</v>
      </c>
    </row>
    <row r="277" spans="1:43" x14ac:dyDescent="0.4">
      <c r="A277" t="s">
        <v>43</v>
      </c>
      <c r="B277">
        <v>3822000994</v>
      </c>
      <c r="C277">
        <v>3822001245</v>
      </c>
      <c r="D277" t="str">
        <f>T("[연재]후회 없게 해 드립니다 105화")</f>
        <v>[연재]후회 없게 해 드립니다 105화</v>
      </c>
      <c r="E277" t="str">
        <f>T("105")</f>
        <v>105</v>
      </c>
      <c r="F277" t="str">
        <f>T("소하")</f>
        <v>소하</v>
      </c>
      <c r="I277" t="str">
        <f>T("비포선셋")</f>
        <v>비포선셋</v>
      </c>
      <c r="J277" t="str">
        <f>T("[연재]후회 없게 해 드립니다")</f>
        <v>[연재]후회 없게 해 드립니다</v>
      </c>
      <c r="K277">
        <v>100</v>
      </c>
      <c r="L277">
        <v>16500</v>
      </c>
      <c r="M277">
        <v>165</v>
      </c>
      <c r="N277">
        <v>0</v>
      </c>
      <c r="O277">
        <v>0</v>
      </c>
      <c r="P277">
        <v>0</v>
      </c>
      <c r="Q277">
        <v>4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-300</v>
      </c>
      <c r="Y277">
        <v>3</v>
      </c>
      <c r="Z277">
        <v>-300</v>
      </c>
      <c r="AA277">
        <v>3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9720</v>
      </c>
      <c r="AN277" t="str">
        <f>T("9791190142953")</f>
        <v>9791190142953</v>
      </c>
      <c r="AP277" t="str">
        <f>T("로맨스 웹소설 &gt; 판타지물")</f>
        <v>로맨스 웹소설 &gt; 판타지물</v>
      </c>
    </row>
    <row r="278" spans="1:43" x14ac:dyDescent="0.4">
      <c r="A278" t="s">
        <v>43</v>
      </c>
      <c r="B278">
        <v>3822000031</v>
      </c>
      <c r="C278">
        <v>3822000032</v>
      </c>
      <c r="D278" t="str">
        <f>T("가짜 오빠 2권 (완결)")</f>
        <v>가짜 오빠 2권 (완결)</v>
      </c>
      <c r="E278" t="str">
        <f>T("2")</f>
        <v>2</v>
      </c>
      <c r="F278" t="str">
        <f>T("savesave")</f>
        <v>savesave</v>
      </c>
      <c r="I278" t="str">
        <f>T("애프터선셋")</f>
        <v>애프터선셋</v>
      </c>
      <c r="J278" t="str">
        <f>T("가짜 오빠")</f>
        <v>가짜 오빠</v>
      </c>
      <c r="K278">
        <v>3300</v>
      </c>
      <c r="L278">
        <v>16500</v>
      </c>
      <c r="M278">
        <v>5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11550</v>
      </c>
      <c r="AL278" t="str">
        <f>T("0000000000000")</f>
        <v>0000000000000</v>
      </c>
      <c r="AN278" t="str">
        <f>T("9791190142281")</f>
        <v>9791190142281</v>
      </c>
      <c r="AP278" t="str">
        <f>T("로맨스 e북 &gt; 현대물")</f>
        <v>로맨스 e북 &gt; 현대물</v>
      </c>
      <c r="AQ278" t="str">
        <f>T("로맨스 e북 &gt; 19+")</f>
        <v>로맨스 e북 &gt; 19+</v>
      </c>
    </row>
    <row r="279" spans="1:43" x14ac:dyDescent="0.4">
      <c r="A279" t="s">
        <v>43</v>
      </c>
      <c r="B279">
        <v>3822000994</v>
      </c>
      <c r="C279">
        <v>3822001246</v>
      </c>
      <c r="D279" t="str">
        <f>T("[연재]후회 없게 해 드립니다 106화")</f>
        <v>[연재]후회 없게 해 드립니다 106화</v>
      </c>
      <c r="E279" t="str">
        <f>T("106")</f>
        <v>106</v>
      </c>
      <c r="F279" t="str">
        <f t="shared" ref="F279:F284" si="61">T("소하")</f>
        <v>소하</v>
      </c>
      <c r="I279" t="str">
        <f t="shared" ref="I279:I284" si="62">T("비포선셋")</f>
        <v>비포선셋</v>
      </c>
      <c r="J279" t="str">
        <f t="shared" ref="J279:J284" si="63">T("[연재]후회 없게 해 드립니다")</f>
        <v>[연재]후회 없게 해 드립니다</v>
      </c>
      <c r="K279">
        <v>100</v>
      </c>
      <c r="L279">
        <v>16400</v>
      </c>
      <c r="M279">
        <v>164</v>
      </c>
      <c r="N279">
        <v>0</v>
      </c>
      <c r="O279">
        <v>0</v>
      </c>
      <c r="P279">
        <v>0</v>
      </c>
      <c r="Q279">
        <v>4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-300</v>
      </c>
      <c r="Y279">
        <v>3</v>
      </c>
      <c r="Z279">
        <v>-300</v>
      </c>
      <c r="AA279">
        <v>3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9660</v>
      </c>
      <c r="AN279" t="str">
        <f t="shared" ref="AN279:AN284" si="64">T("9791190142953")</f>
        <v>9791190142953</v>
      </c>
      <c r="AP279" t="str">
        <f t="shared" ref="AP279:AP284" si="65">T("로맨스 웹소설 &gt; 판타지물")</f>
        <v>로맨스 웹소설 &gt; 판타지물</v>
      </c>
    </row>
    <row r="280" spans="1:43" x14ac:dyDescent="0.4">
      <c r="A280" t="s">
        <v>43</v>
      </c>
      <c r="B280">
        <v>3822000994</v>
      </c>
      <c r="C280">
        <v>3822001228</v>
      </c>
      <c r="D280" t="str">
        <f>T("[연재]후회 없게 해 드립니다 97화")</f>
        <v>[연재]후회 없게 해 드립니다 97화</v>
      </c>
      <c r="E280" t="str">
        <f>T("97")</f>
        <v>97</v>
      </c>
      <c r="F280" t="str">
        <f t="shared" si="61"/>
        <v>소하</v>
      </c>
      <c r="I280" t="str">
        <f t="shared" si="62"/>
        <v>비포선셋</v>
      </c>
      <c r="J280" t="str">
        <f t="shared" si="63"/>
        <v>[연재]후회 없게 해 드립니다</v>
      </c>
      <c r="K280">
        <v>100</v>
      </c>
      <c r="L280">
        <v>16300</v>
      </c>
      <c r="M280">
        <v>163</v>
      </c>
      <c r="N280">
        <v>0</v>
      </c>
      <c r="O280">
        <v>0</v>
      </c>
      <c r="P280">
        <v>0</v>
      </c>
      <c r="Q280">
        <v>3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-200</v>
      </c>
      <c r="Y280">
        <v>2</v>
      </c>
      <c r="Z280">
        <v>-200</v>
      </c>
      <c r="AA280">
        <v>2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9660</v>
      </c>
      <c r="AN280" t="str">
        <f t="shared" si="64"/>
        <v>9791190142953</v>
      </c>
      <c r="AP280" t="str">
        <f t="shared" si="65"/>
        <v>로맨스 웹소설 &gt; 판타지물</v>
      </c>
    </row>
    <row r="281" spans="1:43" x14ac:dyDescent="0.4">
      <c r="A281" t="s">
        <v>43</v>
      </c>
      <c r="B281">
        <v>3822000994</v>
      </c>
      <c r="C281">
        <v>3822001243</v>
      </c>
      <c r="D281" t="str">
        <f>T("[연재]후회 없게 해 드립니다 103화")</f>
        <v>[연재]후회 없게 해 드립니다 103화</v>
      </c>
      <c r="E281" t="str">
        <f>T("103")</f>
        <v>103</v>
      </c>
      <c r="F281" t="str">
        <f t="shared" si="61"/>
        <v>소하</v>
      </c>
      <c r="I281" t="str">
        <f t="shared" si="62"/>
        <v>비포선셋</v>
      </c>
      <c r="J281" t="str">
        <f t="shared" si="63"/>
        <v>[연재]후회 없게 해 드립니다</v>
      </c>
      <c r="K281">
        <v>100</v>
      </c>
      <c r="L281">
        <v>16300</v>
      </c>
      <c r="M281">
        <v>163</v>
      </c>
      <c r="N281">
        <v>0</v>
      </c>
      <c r="O281">
        <v>0</v>
      </c>
      <c r="P281">
        <v>0</v>
      </c>
      <c r="Q281">
        <v>6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-300</v>
      </c>
      <c r="Y281">
        <v>3</v>
      </c>
      <c r="Z281">
        <v>-300</v>
      </c>
      <c r="AA281">
        <v>3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9600</v>
      </c>
      <c r="AN281" t="str">
        <f t="shared" si="64"/>
        <v>9791190142953</v>
      </c>
      <c r="AP281" t="str">
        <f t="shared" si="65"/>
        <v>로맨스 웹소설 &gt; 판타지물</v>
      </c>
    </row>
    <row r="282" spans="1:43" x14ac:dyDescent="0.4">
      <c r="A282" t="s">
        <v>43</v>
      </c>
      <c r="B282">
        <v>3822000994</v>
      </c>
      <c r="C282">
        <v>3822001259</v>
      </c>
      <c r="D282" t="str">
        <f>T("[연재]후회 없게 해 드립니다 115화")</f>
        <v>[연재]후회 없게 해 드립니다 115화</v>
      </c>
      <c r="E282" t="str">
        <f>T("115")</f>
        <v>115</v>
      </c>
      <c r="F282" t="str">
        <f t="shared" si="61"/>
        <v>소하</v>
      </c>
      <c r="I282" t="str">
        <f t="shared" si="62"/>
        <v>비포선셋</v>
      </c>
      <c r="J282" t="str">
        <f t="shared" si="63"/>
        <v>[연재]후회 없게 해 드립니다</v>
      </c>
      <c r="K282">
        <v>100</v>
      </c>
      <c r="L282">
        <v>16300</v>
      </c>
      <c r="M282">
        <v>163</v>
      </c>
      <c r="N282">
        <v>0</v>
      </c>
      <c r="O282">
        <v>0</v>
      </c>
      <c r="P282">
        <v>0</v>
      </c>
      <c r="Q282">
        <v>6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-300</v>
      </c>
      <c r="Y282">
        <v>3</v>
      </c>
      <c r="Z282">
        <v>-300</v>
      </c>
      <c r="AA282">
        <v>3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9600</v>
      </c>
      <c r="AN282" t="str">
        <f t="shared" si="64"/>
        <v>9791190142953</v>
      </c>
      <c r="AP282" t="str">
        <f t="shared" si="65"/>
        <v>로맨스 웹소설 &gt; 판타지물</v>
      </c>
    </row>
    <row r="283" spans="1:43" x14ac:dyDescent="0.4">
      <c r="A283" t="s">
        <v>43</v>
      </c>
      <c r="B283">
        <v>3822000994</v>
      </c>
      <c r="C283">
        <v>3822001229</v>
      </c>
      <c r="D283" t="str">
        <f>T("[연재]후회 없게 해 드립니다 98화")</f>
        <v>[연재]후회 없게 해 드립니다 98화</v>
      </c>
      <c r="E283" t="str">
        <f>T("98")</f>
        <v>98</v>
      </c>
      <c r="F283" t="str">
        <f t="shared" si="61"/>
        <v>소하</v>
      </c>
      <c r="I283" t="str">
        <f t="shared" si="62"/>
        <v>비포선셋</v>
      </c>
      <c r="J283" t="str">
        <f t="shared" si="63"/>
        <v>[연재]후회 없게 해 드립니다</v>
      </c>
      <c r="K283">
        <v>100</v>
      </c>
      <c r="L283">
        <v>16200</v>
      </c>
      <c r="M283">
        <v>162</v>
      </c>
      <c r="N283">
        <v>0</v>
      </c>
      <c r="O283">
        <v>0</v>
      </c>
      <c r="P283">
        <v>0</v>
      </c>
      <c r="Q283">
        <v>3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-400</v>
      </c>
      <c r="Y283">
        <v>4</v>
      </c>
      <c r="Z283">
        <v>-400</v>
      </c>
      <c r="AA283">
        <v>4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9480</v>
      </c>
      <c r="AN283" t="str">
        <f t="shared" si="64"/>
        <v>9791190142953</v>
      </c>
      <c r="AP283" t="str">
        <f t="shared" si="65"/>
        <v>로맨스 웹소설 &gt; 판타지물</v>
      </c>
    </row>
    <row r="284" spans="1:43" x14ac:dyDescent="0.4">
      <c r="A284" t="s">
        <v>43</v>
      </c>
      <c r="B284">
        <v>3822000994</v>
      </c>
      <c r="C284">
        <v>3822001258</v>
      </c>
      <c r="D284" t="str">
        <f>T("[연재]후회 없게 해 드립니다 114화")</f>
        <v>[연재]후회 없게 해 드립니다 114화</v>
      </c>
      <c r="E284" t="str">
        <f>T("114")</f>
        <v>114</v>
      </c>
      <c r="F284" t="str">
        <f t="shared" si="61"/>
        <v>소하</v>
      </c>
      <c r="I284" t="str">
        <f t="shared" si="62"/>
        <v>비포선셋</v>
      </c>
      <c r="J284" t="str">
        <f t="shared" si="63"/>
        <v>[연재]후회 없게 해 드립니다</v>
      </c>
      <c r="K284">
        <v>100</v>
      </c>
      <c r="L284">
        <v>16100</v>
      </c>
      <c r="M284">
        <v>161</v>
      </c>
      <c r="N284">
        <v>0</v>
      </c>
      <c r="O284">
        <v>0</v>
      </c>
      <c r="P284">
        <v>0</v>
      </c>
      <c r="Q284">
        <v>7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-400</v>
      </c>
      <c r="Y284">
        <v>4</v>
      </c>
      <c r="Z284">
        <v>-400</v>
      </c>
      <c r="AA284">
        <v>4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9420</v>
      </c>
      <c r="AN284" t="str">
        <f t="shared" si="64"/>
        <v>9791190142953</v>
      </c>
      <c r="AP284" t="str">
        <f t="shared" si="65"/>
        <v>로맨스 웹소설 &gt; 판타지물</v>
      </c>
    </row>
    <row r="285" spans="1:43" x14ac:dyDescent="0.4">
      <c r="A285" t="s">
        <v>43</v>
      </c>
      <c r="B285">
        <v>3822000645</v>
      </c>
      <c r="C285">
        <v>3822001191</v>
      </c>
      <c r="D285" t="str">
        <f>T("[연재]방송 켜셔야죠 114화")</f>
        <v>[연재]방송 켜셔야죠 114화</v>
      </c>
      <c r="E285" t="str">
        <f>T("114")</f>
        <v>114</v>
      </c>
      <c r="F285" t="str">
        <f>T("파란비")</f>
        <v>파란비</v>
      </c>
      <c r="I285" t="str">
        <f>T("딥블렌드")</f>
        <v>딥블렌드</v>
      </c>
      <c r="J285" t="str">
        <f>T("[연재]방송 켜셔야죠")</f>
        <v>[연재]방송 켜셔야죠</v>
      </c>
      <c r="K285">
        <v>100</v>
      </c>
      <c r="L285">
        <v>16100</v>
      </c>
      <c r="M285">
        <v>161</v>
      </c>
      <c r="N285">
        <v>0</v>
      </c>
      <c r="O285">
        <v>0</v>
      </c>
      <c r="P285">
        <v>0</v>
      </c>
      <c r="Q285">
        <v>11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-400</v>
      </c>
      <c r="Y285">
        <v>4</v>
      </c>
      <c r="Z285">
        <v>-400</v>
      </c>
      <c r="AA285">
        <v>4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9420</v>
      </c>
      <c r="AN285" t="str">
        <f>T("9791190142717")</f>
        <v>9791190142717</v>
      </c>
      <c r="AP285" t="str">
        <f>T("BL 웹소설 &gt; 현대물")</f>
        <v>BL 웹소설 &gt; 현대물</v>
      </c>
    </row>
    <row r="286" spans="1:43" x14ac:dyDescent="0.4">
      <c r="A286" t="s">
        <v>43</v>
      </c>
      <c r="B286">
        <v>3822000008</v>
      </c>
      <c r="C286">
        <v>3822000010</v>
      </c>
      <c r="D286" t="str">
        <f>T("[GL]깊이 더 깊이 3권 (완결)")</f>
        <v>[GL]깊이 더 깊이 3권 (완결)</v>
      </c>
      <c r="E286" t="str">
        <f>T("3")</f>
        <v>3</v>
      </c>
      <c r="F286" t="str">
        <f>T("주아일")</f>
        <v>주아일</v>
      </c>
      <c r="I286" t="str">
        <f>T("애프터선셋")</f>
        <v>애프터선셋</v>
      </c>
      <c r="J286" t="str">
        <f>T("[GL]깊이 더 깊이")</f>
        <v>[GL]깊이 더 깊이</v>
      </c>
      <c r="K286">
        <v>3200</v>
      </c>
      <c r="L286">
        <v>16000</v>
      </c>
      <c r="M286">
        <v>5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11200</v>
      </c>
      <c r="AL286" t="str">
        <f>T("0000000000000")</f>
        <v>0000000000000</v>
      </c>
      <c r="AN286" t="str">
        <f>T("9791190142021")</f>
        <v>9791190142021</v>
      </c>
      <c r="AP286" t="str">
        <f>T("로맨스 e북 &gt; 현대물")</f>
        <v>로맨스 e북 &gt; 현대물</v>
      </c>
      <c r="AQ286" t="str">
        <f>T("로맨스 e북 &gt; 19+")</f>
        <v>로맨스 e북 &gt; 19+</v>
      </c>
    </row>
    <row r="287" spans="1:43" x14ac:dyDescent="0.4">
      <c r="A287" t="s">
        <v>43</v>
      </c>
      <c r="B287">
        <v>3822000994</v>
      </c>
      <c r="C287">
        <v>3822001244</v>
      </c>
      <c r="D287" t="str">
        <f>T("[연재]후회 없게 해 드립니다 104화")</f>
        <v>[연재]후회 없게 해 드립니다 104화</v>
      </c>
      <c r="E287" t="str">
        <f>T("104")</f>
        <v>104</v>
      </c>
      <c r="F287" t="str">
        <f t="shared" ref="F287:F294" si="66">T("소하")</f>
        <v>소하</v>
      </c>
      <c r="I287" t="str">
        <f t="shared" ref="I287:I294" si="67">T("비포선셋")</f>
        <v>비포선셋</v>
      </c>
      <c r="J287" t="str">
        <f t="shared" ref="J287:J294" si="68">T("[연재]후회 없게 해 드립니다")</f>
        <v>[연재]후회 없게 해 드립니다</v>
      </c>
      <c r="K287">
        <v>100</v>
      </c>
      <c r="L287">
        <v>15900</v>
      </c>
      <c r="M287">
        <v>159</v>
      </c>
      <c r="N287">
        <v>0</v>
      </c>
      <c r="O287">
        <v>0</v>
      </c>
      <c r="P287">
        <v>0</v>
      </c>
      <c r="Q287">
        <v>3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-300</v>
      </c>
      <c r="Y287">
        <v>3</v>
      </c>
      <c r="Z287">
        <v>-300</v>
      </c>
      <c r="AA287">
        <v>3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9360</v>
      </c>
      <c r="AN287" t="str">
        <f t="shared" ref="AN287:AN294" si="69">T("9791190142953")</f>
        <v>9791190142953</v>
      </c>
      <c r="AP287" t="str">
        <f t="shared" ref="AP287:AP294" si="70">T("로맨스 웹소설 &gt; 판타지물")</f>
        <v>로맨스 웹소설 &gt; 판타지물</v>
      </c>
    </row>
    <row r="288" spans="1:43" x14ac:dyDescent="0.4">
      <c r="A288" t="s">
        <v>43</v>
      </c>
      <c r="B288">
        <v>3822000994</v>
      </c>
      <c r="C288">
        <v>3822001261</v>
      </c>
      <c r="D288" t="str">
        <f>T("[연재]후회 없게 해 드립니다 117화")</f>
        <v>[연재]후회 없게 해 드립니다 117화</v>
      </c>
      <c r="E288" t="str">
        <f>T("117")</f>
        <v>117</v>
      </c>
      <c r="F288" t="str">
        <f t="shared" si="66"/>
        <v>소하</v>
      </c>
      <c r="I288" t="str">
        <f t="shared" si="67"/>
        <v>비포선셋</v>
      </c>
      <c r="J288" t="str">
        <f t="shared" si="68"/>
        <v>[연재]후회 없게 해 드립니다</v>
      </c>
      <c r="K288">
        <v>100</v>
      </c>
      <c r="L288">
        <v>15900</v>
      </c>
      <c r="M288">
        <v>159</v>
      </c>
      <c r="N288">
        <v>0</v>
      </c>
      <c r="O288">
        <v>0</v>
      </c>
      <c r="P288">
        <v>0</v>
      </c>
      <c r="Q288">
        <v>7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-300</v>
      </c>
      <c r="Y288">
        <v>3</v>
      </c>
      <c r="Z288">
        <v>-300</v>
      </c>
      <c r="AA288">
        <v>3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9360</v>
      </c>
      <c r="AN288" t="str">
        <f t="shared" si="69"/>
        <v>9791190142953</v>
      </c>
      <c r="AP288" t="str">
        <f t="shared" si="70"/>
        <v>로맨스 웹소설 &gt; 판타지물</v>
      </c>
    </row>
    <row r="289" spans="1:42" x14ac:dyDescent="0.4">
      <c r="A289" t="s">
        <v>43</v>
      </c>
      <c r="B289">
        <v>3822000994</v>
      </c>
      <c r="C289">
        <v>3822001242</v>
      </c>
      <c r="D289" t="str">
        <f>T("[연재]후회 없게 해 드립니다 102화")</f>
        <v>[연재]후회 없게 해 드립니다 102화</v>
      </c>
      <c r="E289" t="str">
        <f>T("102")</f>
        <v>102</v>
      </c>
      <c r="F289" t="str">
        <f t="shared" si="66"/>
        <v>소하</v>
      </c>
      <c r="I289" t="str">
        <f t="shared" si="67"/>
        <v>비포선셋</v>
      </c>
      <c r="J289" t="str">
        <f t="shared" si="68"/>
        <v>[연재]후회 없게 해 드립니다</v>
      </c>
      <c r="K289">
        <v>100</v>
      </c>
      <c r="L289">
        <v>15800</v>
      </c>
      <c r="M289">
        <v>158</v>
      </c>
      <c r="N289">
        <v>0</v>
      </c>
      <c r="O289">
        <v>0</v>
      </c>
      <c r="P289">
        <v>0</v>
      </c>
      <c r="Q289">
        <v>5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-300</v>
      </c>
      <c r="Y289">
        <v>3</v>
      </c>
      <c r="Z289">
        <v>-300</v>
      </c>
      <c r="AA289">
        <v>3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9300</v>
      </c>
      <c r="AN289" t="str">
        <f t="shared" si="69"/>
        <v>9791190142953</v>
      </c>
      <c r="AP289" t="str">
        <f t="shared" si="70"/>
        <v>로맨스 웹소설 &gt; 판타지물</v>
      </c>
    </row>
    <row r="290" spans="1:42" x14ac:dyDescent="0.4">
      <c r="A290" t="s">
        <v>43</v>
      </c>
      <c r="B290">
        <v>3822000994</v>
      </c>
      <c r="C290">
        <v>3822001249</v>
      </c>
      <c r="D290" t="str">
        <f>T("[연재]후회 없게 해 드립니다 109화")</f>
        <v>[연재]후회 없게 해 드립니다 109화</v>
      </c>
      <c r="E290" t="str">
        <f>T("109")</f>
        <v>109</v>
      </c>
      <c r="F290" t="str">
        <f t="shared" si="66"/>
        <v>소하</v>
      </c>
      <c r="I290" t="str">
        <f t="shared" si="67"/>
        <v>비포선셋</v>
      </c>
      <c r="J290" t="str">
        <f t="shared" si="68"/>
        <v>[연재]후회 없게 해 드립니다</v>
      </c>
      <c r="K290">
        <v>100</v>
      </c>
      <c r="L290">
        <v>15800</v>
      </c>
      <c r="M290">
        <v>158</v>
      </c>
      <c r="N290">
        <v>0</v>
      </c>
      <c r="O290">
        <v>0</v>
      </c>
      <c r="P290">
        <v>0</v>
      </c>
      <c r="Q290">
        <v>4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-300</v>
      </c>
      <c r="Y290">
        <v>3</v>
      </c>
      <c r="Z290">
        <v>-300</v>
      </c>
      <c r="AA290">
        <v>3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9300</v>
      </c>
      <c r="AN290" t="str">
        <f t="shared" si="69"/>
        <v>9791190142953</v>
      </c>
      <c r="AP290" t="str">
        <f t="shared" si="70"/>
        <v>로맨스 웹소설 &gt; 판타지물</v>
      </c>
    </row>
    <row r="291" spans="1:42" x14ac:dyDescent="0.4">
      <c r="A291" t="s">
        <v>43</v>
      </c>
      <c r="B291">
        <v>3822000994</v>
      </c>
      <c r="C291">
        <v>3822001248</v>
      </c>
      <c r="D291" t="str">
        <f>T("[연재]후회 없게 해 드립니다 108화")</f>
        <v>[연재]후회 없게 해 드립니다 108화</v>
      </c>
      <c r="E291" t="str">
        <f>T("108")</f>
        <v>108</v>
      </c>
      <c r="F291" t="str">
        <f t="shared" si="66"/>
        <v>소하</v>
      </c>
      <c r="I291" t="str">
        <f t="shared" si="67"/>
        <v>비포선셋</v>
      </c>
      <c r="J291" t="str">
        <f t="shared" si="68"/>
        <v>[연재]후회 없게 해 드립니다</v>
      </c>
      <c r="K291">
        <v>100</v>
      </c>
      <c r="L291">
        <v>15700</v>
      </c>
      <c r="M291">
        <v>157</v>
      </c>
      <c r="N291">
        <v>0</v>
      </c>
      <c r="O291">
        <v>0</v>
      </c>
      <c r="P291">
        <v>0</v>
      </c>
      <c r="Q291">
        <v>1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-300</v>
      </c>
      <c r="Y291">
        <v>3</v>
      </c>
      <c r="Z291">
        <v>-300</v>
      </c>
      <c r="AA291">
        <v>3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9240</v>
      </c>
      <c r="AN291" t="str">
        <f t="shared" si="69"/>
        <v>9791190142953</v>
      </c>
      <c r="AP291" t="str">
        <f t="shared" si="70"/>
        <v>로맨스 웹소설 &gt; 판타지물</v>
      </c>
    </row>
    <row r="292" spans="1:42" x14ac:dyDescent="0.4">
      <c r="A292" t="s">
        <v>43</v>
      </c>
      <c r="B292">
        <v>3822000994</v>
      </c>
      <c r="C292">
        <v>3822001231</v>
      </c>
      <c r="D292" t="str">
        <f>T("[연재]후회 없게 해 드립니다 100화")</f>
        <v>[연재]후회 없게 해 드립니다 100화</v>
      </c>
      <c r="E292" t="str">
        <f>T("100")</f>
        <v>100</v>
      </c>
      <c r="F292" t="str">
        <f t="shared" si="66"/>
        <v>소하</v>
      </c>
      <c r="I292" t="str">
        <f t="shared" si="67"/>
        <v>비포선셋</v>
      </c>
      <c r="J292" t="str">
        <f t="shared" si="68"/>
        <v>[연재]후회 없게 해 드립니다</v>
      </c>
      <c r="K292">
        <v>100</v>
      </c>
      <c r="L292">
        <v>15600</v>
      </c>
      <c r="M292">
        <v>156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-300</v>
      </c>
      <c r="Y292">
        <v>3</v>
      </c>
      <c r="Z292">
        <v>-300</v>
      </c>
      <c r="AA292">
        <v>3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9180</v>
      </c>
      <c r="AN292" t="str">
        <f t="shared" si="69"/>
        <v>9791190142953</v>
      </c>
      <c r="AP292" t="str">
        <f t="shared" si="70"/>
        <v>로맨스 웹소설 &gt; 판타지물</v>
      </c>
    </row>
    <row r="293" spans="1:42" x14ac:dyDescent="0.4">
      <c r="A293" t="s">
        <v>43</v>
      </c>
      <c r="B293">
        <v>3822000994</v>
      </c>
      <c r="C293">
        <v>3822001260</v>
      </c>
      <c r="D293" t="str">
        <f>T("[연재]후회 없게 해 드립니다 116화")</f>
        <v>[연재]후회 없게 해 드립니다 116화</v>
      </c>
      <c r="E293" t="str">
        <f>T("116")</f>
        <v>116</v>
      </c>
      <c r="F293" t="str">
        <f t="shared" si="66"/>
        <v>소하</v>
      </c>
      <c r="I293" t="str">
        <f t="shared" si="67"/>
        <v>비포선셋</v>
      </c>
      <c r="J293" t="str">
        <f t="shared" si="68"/>
        <v>[연재]후회 없게 해 드립니다</v>
      </c>
      <c r="K293">
        <v>100</v>
      </c>
      <c r="L293">
        <v>15600</v>
      </c>
      <c r="M293">
        <v>156</v>
      </c>
      <c r="N293">
        <v>0</v>
      </c>
      <c r="O293">
        <v>0</v>
      </c>
      <c r="P293">
        <v>0</v>
      </c>
      <c r="Q293">
        <v>7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-300</v>
      </c>
      <c r="Y293">
        <v>3</v>
      </c>
      <c r="Z293">
        <v>-300</v>
      </c>
      <c r="AA293">
        <v>3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9180</v>
      </c>
      <c r="AN293" t="str">
        <f t="shared" si="69"/>
        <v>9791190142953</v>
      </c>
      <c r="AP293" t="str">
        <f t="shared" si="70"/>
        <v>로맨스 웹소설 &gt; 판타지물</v>
      </c>
    </row>
    <row r="294" spans="1:42" x14ac:dyDescent="0.4">
      <c r="A294" t="s">
        <v>43</v>
      </c>
      <c r="B294">
        <v>3822000994</v>
      </c>
      <c r="C294">
        <v>3822001230</v>
      </c>
      <c r="D294" t="str">
        <f>T("[연재]후회 없게 해 드립니다 99화")</f>
        <v>[연재]후회 없게 해 드립니다 99화</v>
      </c>
      <c r="E294" t="str">
        <f>T("99")</f>
        <v>99</v>
      </c>
      <c r="F294" t="str">
        <f t="shared" si="66"/>
        <v>소하</v>
      </c>
      <c r="I294" t="str">
        <f t="shared" si="67"/>
        <v>비포선셋</v>
      </c>
      <c r="J294" t="str">
        <f t="shared" si="68"/>
        <v>[연재]후회 없게 해 드립니다</v>
      </c>
      <c r="K294">
        <v>100</v>
      </c>
      <c r="L294">
        <v>15500</v>
      </c>
      <c r="M294">
        <v>155</v>
      </c>
      <c r="N294">
        <v>0</v>
      </c>
      <c r="O294">
        <v>0</v>
      </c>
      <c r="P294">
        <v>0</v>
      </c>
      <c r="Q294">
        <v>3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-400</v>
      </c>
      <c r="Y294">
        <v>4</v>
      </c>
      <c r="Z294">
        <v>-400</v>
      </c>
      <c r="AA294">
        <v>4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9060</v>
      </c>
      <c r="AN294" t="str">
        <f t="shared" si="69"/>
        <v>9791190142953</v>
      </c>
      <c r="AP294" t="str">
        <f t="shared" si="70"/>
        <v>로맨스 웹소설 &gt; 판타지물</v>
      </c>
    </row>
    <row r="295" spans="1:42" x14ac:dyDescent="0.4">
      <c r="A295" t="s">
        <v>43</v>
      </c>
      <c r="B295">
        <v>3822000645</v>
      </c>
      <c r="C295">
        <v>3822001178</v>
      </c>
      <c r="D295" t="str">
        <f>T("[연재]방송 켜셔야죠 113화")</f>
        <v>[연재]방송 켜셔야죠 113화</v>
      </c>
      <c r="E295" t="str">
        <f>T("113")</f>
        <v>113</v>
      </c>
      <c r="F295" t="str">
        <f>T("파란비")</f>
        <v>파란비</v>
      </c>
      <c r="I295" t="str">
        <f>T("딥블렌드")</f>
        <v>딥블렌드</v>
      </c>
      <c r="J295" t="str">
        <f>T("[연재]방송 켜셔야죠")</f>
        <v>[연재]방송 켜셔야죠</v>
      </c>
      <c r="K295">
        <v>100</v>
      </c>
      <c r="L295">
        <v>15500</v>
      </c>
      <c r="M295">
        <v>155</v>
      </c>
      <c r="N295">
        <v>0</v>
      </c>
      <c r="O295">
        <v>0</v>
      </c>
      <c r="P295">
        <v>0</v>
      </c>
      <c r="Q295">
        <v>13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-300</v>
      </c>
      <c r="Y295">
        <v>3</v>
      </c>
      <c r="Z295">
        <v>-300</v>
      </c>
      <c r="AA295">
        <v>3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9120</v>
      </c>
      <c r="AN295" t="str">
        <f>T("9791190142717")</f>
        <v>9791190142717</v>
      </c>
      <c r="AP295" t="str">
        <f>T("BL 웹소설 &gt; 현대물")</f>
        <v>BL 웹소설 &gt; 현대물</v>
      </c>
    </row>
    <row r="296" spans="1:42" x14ac:dyDescent="0.4">
      <c r="A296" t="s">
        <v>43</v>
      </c>
      <c r="B296">
        <v>3822000994</v>
      </c>
      <c r="C296">
        <v>3822001263</v>
      </c>
      <c r="D296" t="str">
        <f>T("[연재]후회 없게 해 드립니다 119화")</f>
        <v>[연재]후회 없게 해 드립니다 119화</v>
      </c>
      <c r="E296" t="str">
        <f>T("119")</f>
        <v>119</v>
      </c>
      <c r="F296" t="str">
        <f>T("소하")</f>
        <v>소하</v>
      </c>
      <c r="I296" t="str">
        <f>T("비포선셋")</f>
        <v>비포선셋</v>
      </c>
      <c r="J296" t="str">
        <f>T("[연재]후회 없게 해 드립니다")</f>
        <v>[연재]후회 없게 해 드립니다</v>
      </c>
      <c r="K296">
        <v>100</v>
      </c>
      <c r="L296">
        <v>15300</v>
      </c>
      <c r="M296">
        <v>153</v>
      </c>
      <c r="N296">
        <v>0</v>
      </c>
      <c r="O296">
        <v>0</v>
      </c>
      <c r="P296">
        <v>0</v>
      </c>
      <c r="Q296">
        <v>8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-200</v>
      </c>
      <c r="Y296">
        <v>2</v>
      </c>
      <c r="Z296">
        <v>-200</v>
      </c>
      <c r="AA296">
        <v>2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9060</v>
      </c>
      <c r="AN296" t="str">
        <f>T("9791190142953")</f>
        <v>9791190142953</v>
      </c>
      <c r="AP296" t="str">
        <f>T("로맨스 웹소설 &gt; 판타지물")</f>
        <v>로맨스 웹소설 &gt; 판타지물</v>
      </c>
    </row>
    <row r="297" spans="1:42" x14ac:dyDescent="0.4">
      <c r="A297" t="s">
        <v>43</v>
      </c>
      <c r="B297">
        <v>3822000994</v>
      </c>
      <c r="C297">
        <v>3822001257</v>
      </c>
      <c r="D297" t="str">
        <f>T("[연재]후회 없게 해 드립니다 113화")</f>
        <v>[연재]후회 없게 해 드립니다 113화</v>
      </c>
      <c r="E297" t="str">
        <f>T("113")</f>
        <v>113</v>
      </c>
      <c r="F297" t="str">
        <f>T("소하")</f>
        <v>소하</v>
      </c>
      <c r="I297" t="str">
        <f>T("비포선셋")</f>
        <v>비포선셋</v>
      </c>
      <c r="J297" t="str">
        <f>T("[연재]후회 없게 해 드립니다")</f>
        <v>[연재]후회 없게 해 드립니다</v>
      </c>
      <c r="K297">
        <v>100</v>
      </c>
      <c r="L297">
        <v>15200</v>
      </c>
      <c r="M297">
        <v>152</v>
      </c>
      <c r="N297">
        <v>0</v>
      </c>
      <c r="O297">
        <v>0</v>
      </c>
      <c r="P297">
        <v>0</v>
      </c>
      <c r="Q297">
        <v>3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-400</v>
      </c>
      <c r="Y297">
        <v>4</v>
      </c>
      <c r="Z297">
        <v>-400</v>
      </c>
      <c r="AA297">
        <v>4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8880</v>
      </c>
      <c r="AN297" t="str">
        <f>T("9791190142953")</f>
        <v>9791190142953</v>
      </c>
      <c r="AP297" t="str">
        <f>T("로맨스 웹소설 &gt; 판타지물")</f>
        <v>로맨스 웹소설 &gt; 판타지물</v>
      </c>
    </row>
    <row r="298" spans="1:42" x14ac:dyDescent="0.4">
      <c r="A298" t="s">
        <v>43</v>
      </c>
      <c r="B298">
        <v>3822000994</v>
      </c>
      <c r="C298">
        <v>3822001251</v>
      </c>
      <c r="D298" t="str">
        <f>T("[연재]후회 없게 해 드립니다 111화")</f>
        <v>[연재]후회 없게 해 드립니다 111화</v>
      </c>
      <c r="E298" t="str">
        <f>T("111")</f>
        <v>111</v>
      </c>
      <c r="F298" t="str">
        <f>T("소하")</f>
        <v>소하</v>
      </c>
      <c r="I298" t="str">
        <f>T("비포선셋")</f>
        <v>비포선셋</v>
      </c>
      <c r="J298" t="str">
        <f>T("[연재]후회 없게 해 드립니다")</f>
        <v>[연재]후회 없게 해 드립니다</v>
      </c>
      <c r="K298">
        <v>100</v>
      </c>
      <c r="L298">
        <v>15200</v>
      </c>
      <c r="M298">
        <v>152</v>
      </c>
      <c r="N298">
        <v>0</v>
      </c>
      <c r="O298">
        <v>0</v>
      </c>
      <c r="P298">
        <v>0</v>
      </c>
      <c r="Q298">
        <v>4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-400</v>
      </c>
      <c r="Y298">
        <v>4</v>
      </c>
      <c r="Z298">
        <v>-400</v>
      </c>
      <c r="AA298">
        <v>4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8880</v>
      </c>
      <c r="AN298" t="str">
        <f>T("9791190142953")</f>
        <v>9791190142953</v>
      </c>
      <c r="AP298" t="str">
        <f>T("로맨스 웹소설 &gt; 판타지물")</f>
        <v>로맨스 웹소설 &gt; 판타지물</v>
      </c>
    </row>
    <row r="299" spans="1:42" x14ac:dyDescent="0.4">
      <c r="A299" t="s">
        <v>43</v>
      </c>
      <c r="B299">
        <v>3822000994</v>
      </c>
      <c r="C299">
        <v>3822001262</v>
      </c>
      <c r="D299" t="str">
        <f>T("[연재]후회 없게 해 드립니다 118화")</f>
        <v>[연재]후회 없게 해 드립니다 118화</v>
      </c>
      <c r="E299" t="str">
        <f>T("118")</f>
        <v>118</v>
      </c>
      <c r="F299" t="str">
        <f>T("소하")</f>
        <v>소하</v>
      </c>
      <c r="I299" t="str">
        <f>T("비포선셋")</f>
        <v>비포선셋</v>
      </c>
      <c r="J299" t="str">
        <f>T("[연재]후회 없게 해 드립니다")</f>
        <v>[연재]후회 없게 해 드립니다</v>
      </c>
      <c r="K299">
        <v>100</v>
      </c>
      <c r="L299">
        <v>15000</v>
      </c>
      <c r="M299">
        <v>150</v>
      </c>
      <c r="N299">
        <v>0</v>
      </c>
      <c r="O299">
        <v>0</v>
      </c>
      <c r="P299">
        <v>0</v>
      </c>
      <c r="Q299">
        <v>6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-200</v>
      </c>
      <c r="Y299">
        <v>2</v>
      </c>
      <c r="Z299">
        <v>-200</v>
      </c>
      <c r="AA299">
        <v>2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8880</v>
      </c>
      <c r="AN299" t="str">
        <f>T("9791190142953")</f>
        <v>9791190142953</v>
      </c>
      <c r="AP299" t="str">
        <f>T("로맨스 웹소설 &gt; 판타지물")</f>
        <v>로맨스 웹소설 &gt; 판타지물</v>
      </c>
    </row>
    <row r="300" spans="1:42" x14ac:dyDescent="0.4">
      <c r="A300" t="s">
        <v>43</v>
      </c>
      <c r="B300">
        <v>3822000994</v>
      </c>
      <c r="C300">
        <v>3822001250</v>
      </c>
      <c r="D300" t="str">
        <f>T("[연재]후회 없게 해 드립니다 110화")</f>
        <v>[연재]후회 없게 해 드립니다 110화</v>
      </c>
      <c r="E300" t="str">
        <f>T("110")</f>
        <v>110</v>
      </c>
      <c r="F300" t="str">
        <f>T("소하")</f>
        <v>소하</v>
      </c>
      <c r="I300" t="str">
        <f>T("비포선셋")</f>
        <v>비포선셋</v>
      </c>
      <c r="J300" t="str">
        <f>T("[연재]후회 없게 해 드립니다")</f>
        <v>[연재]후회 없게 해 드립니다</v>
      </c>
      <c r="K300">
        <v>100</v>
      </c>
      <c r="L300">
        <v>14900</v>
      </c>
      <c r="M300">
        <v>149</v>
      </c>
      <c r="N300">
        <v>0</v>
      </c>
      <c r="O300">
        <v>0</v>
      </c>
      <c r="P300">
        <v>0</v>
      </c>
      <c r="Q300">
        <v>4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-300</v>
      </c>
      <c r="Y300">
        <v>3</v>
      </c>
      <c r="Z300">
        <v>-300</v>
      </c>
      <c r="AA300">
        <v>3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8760</v>
      </c>
      <c r="AN300" t="str">
        <f>T("9791190142953")</f>
        <v>9791190142953</v>
      </c>
      <c r="AP300" t="str">
        <f>T("로맨스 웹소설 &gt; 판타지물")</f>
        <v>로맨스 웹소설 &gt; 판타지물</v>
      </c>
    </row>
    <row r="301" spans="1:42" x14ac:dyDescent="0.4">
      <c r="A301" t="s">
        <v>43</v>
      </c>
      <c r="B301">
        <v>3822000645</v>
      </c>
      <c r="C301">
        <v>3822001160</v>
      </c>
      <c r="D301" t="str">
        <f>T("[연재]방송 켜셔야죠 112화")</f>
        <v>[연재]방송 켜셔야죠 112화</v>
      </c>
      <c r="E301" t="str">
        <f>T("112")</f>
        <v>112</v>
      </c>
      <c r="F301" t="str">
        <f>T("파란비")</f>
        <v>파란비</v>
      </c>
      <c r="I301" t="str">
        <f>T("딥블렌드")</f>
        <v>딥블렌드</v>
      </c>
      <c r="J301" t="str">
        <f>T("[연재]방송 켜셔야죠")</f>
        <v>[연재]방송 켜셔야죠</v>
      </c>
      <c r="K301">
        <v>100</v>
      </c>
      <c r="L301">
        <v>14800</v>
      </c>
      <c r="M301">
        <v>148</v>
      </c>
      <c r="N301">
        <v>0</v>
      </c>
      <c r="O301">
        <v>0</v>
      </c>
      <c r="P301">
        <v>0</v>
      </c>
      <c r="Q301">
        <v>11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-300</v>
      </c>
      <c r="Y301">
        <v>3</v>
      </c>
      <c r="Z301">
        <v>-300</v>
      </c>
      <c r="AA301">
        <v>3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8700</v>
      </c>
      <c r="AN301" t="str">
        <f>T("9791190142717")</f>
        <v>9791190142717</v>
      </c>
      <c r="AP301" t="str">
        <f>T("BL 웹소설 &gt; 현대물")</f>
        <v>BL 웹소설 &gt; 현대물</v>
      </c>
    </row>
    <row r="302" spans="1:42" x14ac:dyDescent="0.4">
      <c r="A302" t="s">
        <v>43</v>
      </c>
      <c r="B302">
        <v>3822000994</v>
      </c>
      <c r="C302">
        <v>3822001265</v>
      </c>
      <c r="D302" t="str">
        <f>T("[연재]후회 없게 해 드립니다 121화")</f>
        <v>[연재]후회 없게 해 드립니다 121화</v>
      </c>
      <c r="E302" t="str">
        <f>T("121")</f>
        <v>121</v>
      </c>
      <c r="F302" t="str">
        <f t="shared" ref="F302:F309" si="71">T("소하")</f>
        <v>소하</v>
      </c>
      <c r="I302" t="str">
        <f t="shared" ref="I302:I309" si="72">T("비포선셋")</f>
        <v>비포선셋</v>
      </c>
      <c r="J302" t="str">
        <f t="shared" ref="J302:J309" si="73">T("[연재]후회 없게 해 드립니다")</f>
        <v>[연재]후회 없게 해 드립니다</v>
      </c>
      <c r="K302">
        <v>100</v>
      </c>
      <c r="L302">
        <v>14800</v>
      </c>
      <c r="M302">
        <v>148</v>
      </c>
      <c r="N302">
        <v>0</v>
      </c>
      <c r="O302">
        <v>0</v>
      </c>
      <c r="P302">
        <v>0</v>
      </c>
      <c r="Q302">
        <v>24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-100</v>
      </c>
      <c r="Y302">
        <v>1</v>
      </c>
      <c r="Z302">
        <v>-100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8820</v>
      </c>
      <c r="AN302" t="str">
        <f t="shared" ref="AN302:AN309" si="74">T("9791190142953")</f>
        <v>9791190142953</v>
      </c>
      <c r="AP302" t="str">
        <f t="shared" ref="AP302:AP309" si="75">T("로맨스 웹소설 &gt; 판타지물")</f>
        <v>로맨스 웹소설 &gt; 판타지물</v>
      </c>
    </row>
    <row r="303" spans="1:42" x14ac:dyDescent="0.4">
      <c r="A303" t="s">
        <v>43</v>
      </c>
      <c r="B303">
        <v>3822000994</v>
      </c>
      <c r="C303">
        <v>3822001252</v>
      </c>
      <c r="D303" t="str">
        <f>T("[연재]후회 없게 해 드립니다 112화")</f>
        <v>[연재]후회 없게 해 드립니다 112화</v>
      </c>
      <c r="E303" t="str">
        <f>T("112")</f>
        <v>112</v>
      </c>
      <c r="F303" t="str">
        <f t="shared" si="71"/>
        <v>소하</v>
      </c>
      <c r="I303" t="str">
        <f t="shared" si="72"/>
        <v>비포선셋</v>
      </c>
      <c r="J303" t="str">
        <f t="shared" si="73"/>
        <v>[연재]후회 없게 해 드립니다</v>
      </c>
      <c r="K303">
        <v>100</v>
      </c>
      <c r="L303">
        <v>14800</v>
      </c>
      <c r="M303">
        <v>148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-400</v>
      </c>
      <c r="Y303">
        <v>4</v>
      </c>
      <c r="Z303">
        <v>-400</v>
      </c>
      <c r="AA303">
        <v>4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8640</v>
      </c>
      <c r="AN303" t="str">
        <f t="shared" si="74"/>
        <v>9791190142953</v>
      </c>
      <c r="AP303" t="str">
        <f t="shared" si="75"/>
        <v>로맨스 웹소설 &gt; 판타지물</v>
      </c>
    </row>
    <row r="304" spans="1:42" x14ac:dyDescent="0.4">
      <c r="A304" t="s">
        <v>43</v>
      </c>
      <c r="B304">
        <v>3822000994</v>
      </c>
      <c r="C304">
        <v>3822001264</v>
      </c>
      <c r="D304" t="str">
        <f>T("[연재]후회 없게 해 드립니다 120화")</f>
        <v>[연재]후회 없게 해 드립니다 120화</v>
      </c>
      <c r="E304" t="str">
        <f>T("120")</f>
        <v>120</v>
      </c>
      <c r="F304" t="str">
        <f t="shared" si="71"/>
        <v>소하</v>
      </c>
      <c r="I304" t="str">
        <f t="shared" si="72"/>
        <v>비포선셋</v>
      </c>
      <c r="J304" t="str">
        <f t="shared" si="73"/>
        <v>[연재]후회 없게 해 드립니다</v>
      </c>
      <c r="K304">
        <v>100</v>
      </c>
      <c r="L304">
        <v>14700</v>
      </c>
      <c r="M304">
        <v>147</v>
      </c>
      <c r="N304">
        <v>0</v>
      </c>
      <c r="O304">
        <v>0</v>
      </c>
      <c r="P304">
        <v>0</v>
      </c>
      <c r="Q304">
        <v>7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-100</v>
      </c>
      <c r="Y304">
        <v>1</v>
      </c>
      <c r="Z304">
        <v>-100</v>
      </c>
      <c r="AA304">
        <v>1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8760</v>
      </c>
      <c r="AN304" t="str">
        <f t="shared" si="74"/>
        <v>9791190142953</v>
      </c>
      <c r="AP304" t="str">
        <f t="shared" si="75"/>
        <v>로맨스 웹소설 &gt; 판타지물</v>
      </c>
    </row>
    <row r="305" spans="1:43" x14ac:dyDescent="0.4">
      <c r="A305" t="s">
        <v>43</v>
      </c>
      <c r="B305">
        <v>3822000994</v>
      </c>
      <c r="C305">
        <v>3822001266</v>
      </c>
      <c r="D305" t="str">
        <f>T("[연재]후회 없게 해 드립니다 122화")</f>
        <v>[연재]후회 없게 해 드립니다 122화</v>
      </c>
      <c r="E305" t="str">
        <f>T("122")</f>
        <v>122</v>
      </c>
      <c r="F305" t="str">
        <f t="shared" si="71"/>
        <v>소하</v>
      </c>
      <c r="I305" t="str">
        <f t="shared" si="72"/>
        <v>비포선셋</v>
      </c>
      <c r="J305" t="str">
        <f t="shared" si="73"/>
        <v>[연재]후회 없게 해 드립니다</v>
      </c>
      <c r="K305">
        <v>100</v>
      </c>
      <c r="L305">
        <v>14500</v>
      </c>
      <c r="M305">
        <v>145</v>
      </c>
      <c r="N305">
        <v>0</v>
      </c>
      <c r="O305">
        <v>0</v>
      </c>
      <c r="P305">
        <v>0</v>
      </c>
      <c r="Q305">
        <v>28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-200</v>
      </c>
      <c r="Y305">
        <v>2</v>
      </c>
      <c r="Z305">
        <v>-200</v>
      </c>
      <c r="AA305">
        <v>2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8580</v>
      </c>
      <c r="AN305" t="str">
        <f t="shared" si="74"/>
        <v>9791190142953</v>
      </c>
      <c r="AP305" t="str">
        <f t="shared" si="75"/>
        <v>로맨스 웹소설 &gt; 판타지물</v>
      </c>
    </row>
    <row r="306" spans="1:43" x14ac:dyDescent="0.4">
      <c r="A306" t="s">
        <v>43</v>
      </c>
      <c r="B306">
        <v>3822000994</v>
      </c>
      <c r="C306">
        <v>3822001190</v>
      </c>
      <c r="D306" t="str">
        <f>T("[연재]후회 없게 해 드립니다 86화")</f>
        <v>[연재]후회 없게 해 드립니다 86화</v>
      </c>
      <c r="E306" t="str">
        <f>T("86")</f>
        <v>86</v>
      </c>
      <c r="F306" t="str">
        <f t="shared" si="71"/>
        <v>소하</v>
      </c>
      <c r="I306" t="str">
        <f t="shared" si="72"/>
        <v>비포선셋</v>
      </c>
      <c r="J306" t="str">
        <f t="shared" si="73"/>
        <v>[연재]후회 없게 해 드립니다</v>
      </c>
      <c r="K306">
        <v>100</v>
      </c>
      <c r="L306">
        <v>14400</v>
      </c>
      <c r="M306">
        <v>144</v>
      </c>
      <c r="N306">
        <v>0</v>
      </c>
      <c r="O306">
        <v>0</v>
      </c>
      <c r="P306">
        <v>0</v>
      </c>
      <c r="Q306">
        <v>3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-300</v>
      </c>
      <c r="Y306">
        <v>3</v>
      </c>
      <c r="Z306">
        <v>-300</v>
      </c>
      <c r="AA306">
        <v>3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8460</v>
      </c>
      <c r="AN306" t="str">
        <f t="shared" si="74"/>
        <v>9791190142953</v>
      </c>
      <c r="AP306" t="str">
        <f t="shared" si="75"/>
        <v>로맨스 웹소설 &gt; 판타지물</v>
      </c>
    </row>
    <row r="307" spans="1:43" x14ac:dyDescent="0.4">
      <c r="A307" t="s">
        <v>43</v>
      </c>
      <c r="B307">
        <v>3822000994</v>
      </c>
      <c r="C307">
        <v>3822001002</v>
      </c>
      <c r="D307" t="str">
        <f>T("[연재]후회 없게 해 드립니다 9화")</f>
        <v>[연재]후회 없게 해 드립니다 9화</v>
      </c>
      <c r="E307" t="str">
        <f>T("9")</f>
        <v>9</v>
      </c>
      <c r="F307" t="str">
        <f t="shared" si="71"/>
        <v>소하</v>
      </c>
      <c r="I307" t="str">
        <f t="shared" si="72"/>
        <v>비포선셋</v>
      </c>
      <c r="J307" t="str">
        <f t="shared" si="73"/>
        <v>[연재]후회 없게 해 드립니다</v>
      </c>
      <c r="K307">
        <v>100</v>
      </c>
      <c r="L307">
        <v>13500</v>
      </c>
      <c r="M307">
        <v>135</v>
      </c>
      <c r="N307">
        <v>0</v>
      </c>
      <c r="O307">
        <v>0</v>
      </c>
      <c r="P307">
        <v>0</v>
      </c>
      <c r="Q307">
        <v>117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-200</v>
      </c>
      <c r="Y307">
        <v>2</v>
      </c>
      <c r="Z307">
        <v>-200</v>
      </c>
      <c r="AA307">
        <v>2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7980</v>
      </c>
      <c r="AN307" t="str">
        <f t="shared" si="74"/>
        <v>9791190142953</v>
      </c>
      <c r="AP307" t="str">
        <f t="shared" si="75"/>
        <v>로맨스 웹소설 &gt; 판타지물</v>
      </c>
    </row>
    <row r="308" spans="1:43" x14ac:dyDescent="0.4">
      <c r="A308" t="s">
        <v>43</v>
      </c>
      <c r="B308">
        <v>3822000994</v>
      </c>
      <c r="C308">
        <v>3822001001</v>
      </c>
      <c r="D308" t="str">
        <f>T("[연재]후회 없게 해 드립니다 8화")</f>
        <v>[연재]후회 없게 해 드립니다 8화</v>
      </c>
      <c r="E308" t="str">
        <f>T("8")</f>
        <v>8</v>
      </c>
      <c r="F308" t="str">
        <f t="shared" si="71"/>
        <v>소하</v>
      </c>
      <c r="I308" t="str">
        <f t="shared" si="72"/>
        <v>비포선셋</v>
      </c>
      <c r="J308" t="str">
        <f t="shared" si="73"/>
        <v>[연재]후회 없게 해 드립니다</v>
      </c>
      <c r="K308">
        <v>100</v>
      </c>
      <c r="L308">
        <v>13400</v>
      </c>
      <c r="M308">
        <v>134</v>
      </c>
      <c r="N308">
        <v>0</v>
      </c>
      <c r="O308">
        <v>0</v>
      </c>
      <c r="P308">
        <v>0</v>
      </c>
      <c r="Q308">
        <v>128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-200</v>
      </c>
      <c r="Y308">
        <v>2</v>
      </c>
      <c r="Z308">
        <v>-200</v>
      </c>
      <c r="AA308">
        <v>2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7920</v>
      </c>
      <c r="AN308" t="str">
        <f t="shared" si="74"/>
        <v>9791190142953</v>
      </c>
      <c r="AP308" t="str">
        <f t="shared" si="75"/>
        <v>로맨스 웹소설 &gt; 판타지물</v>
      </c>
    </row>
    <row r="309" spans="1:43" x14ac:dyDescent="0.4">
      <c r="A309" t="s">
        <v>43</v>
      </c>
      <c r="B309">
        <v>3822000994</v>
      </c>
      <c r="C309">
        <v>3822001003</v>
      </c>
      <c r="D309" t="str">
        <f>T("[연재]후회 없게 해 드립니다 10화")</f>
        <v>[연재]후회 없게 해 드립니다 10화</v>
      </c>
      <c r="E309" t="str">
        <f>T("10")</f>
        <v>10</v>
      </c>
      <c r="F309" t="str">
        <f t="shared" si="71"/>
        <v>소하</v>
      </c>
      <c r="I309" t="str">
        <f t="shared" si="72"/>
        <v>비포선셋</v>
      </c>
      <c r="J309" t="str">
        <f t="shared" si="73"/>
        <v>[연재]후회 없게 해 드립니다</v>
      </c>
      <c r="K309">
        <v>100</v>
      </c>
      <c r="L309">
        <v>13100</v>
      </c>
      <c r="M309">
        <v>131</v>
      </c>
      <c r="N309">
        <v>0</v>
      </c>
      <c r="O309">
        <v>0</v>
      </c>
      <c r="P309">
        <v>0</v>
      </c>
      <c r="Q309">
        <v>128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-200</v>
      </c>
      <c r="Y309">
        <v>2</v>
      </c>
      <c r="Z309">
        <v>-200</v>
      </c>
      <c r="AA309">
        <v>2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7740</v>
      </c>
      <c r="AN309" t="str">
        <f t="shared" si="74"/>
        <v>9791190142953</v>
      </c>
      <c r="AP309" t="str">
        <f t="shared" si="75"/>
        <v>로맨스 웹소설 &gt; 판타지물</v>
      </c>
    </row>
    <row r="310" spans="1:43" x14ac:dyDescent="0.4">
      <c r="A310" t="s">
        <v>43</v>
      </c>
      <c r="B310">
        <v>3822000008</v>
      </c>
      <c r="C310">
        <v>3822000008</v>
      </c>
      <c r="D310" t="str">
        <f>T("[GL]깊이 더 깊이 1권")</f>
        <v>[GL]깊이 더 깊이 1권</v>
      </c>
      <c r="E310" t="str">
        <f>T("1")</f>
        <v>1</v>
      </c>
      <c r="F310" t="str">
        <f>T("주아일")</f>
        <v>주아일</v>
      </c>
      <c r="I310" t="str">
        <f>T("애프터선셋")</f>
        <v>애프터선셋</v>
      </c>
      <c r="J310" t="str">
        <f>T("[GL]깊이 더 깊이")</f>
        <v>[GL]깊이 더 깊이</v>
      </c>
      <c r="K310">
        <v>3200</v>
      </c>
      <c r="L310">
        <v>12800</v>
      </c>
      <c r="M310">
        <v>4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8960</v>
      </c>
      <c r="AL310" t="str">
        <f>T("0000000000000")</f>
        <v>0000000000000</v>
      </c>
      <c r="AN310" t="str">
        <f>T("9791190142007")</f>
        <v>9791190142007</v>
      </c>
      <c r="AP310" t="str">
        <f>T("로맨스 e북 &gt; 현대물")</f>
        <v>로맨스 e북 &gt; 현대물</v>
      </c>
      <c r="AQ310" t="str">
        <f>T("로맨스 e북 &gt; 19+")</f>
        <v>로맨스 e북 &gt; 19+</v>
      </c>
    </row>
    <row r="311" spans="1:43" x14ac:dyDescent="0.4">
      <c r="A311" t="s">
        <v>43</v>
      </c>
      <c r="B311">
        <v>3822000008</v>
      </c>
      <c r="C311">
        <v>3822000009</v>
      </c>
      <c r="D311" t="str">
        <f>T("[GL]깊이 더 깊이 2권")</f>
        <v>[GL]깊이 더 깊이 2권</v>
      </c>
      <c r="E311" t="str">
        <f>T("2")</f>
        <v>2</v>
      </c>
      <c r="F311" t="str">
        <f>T("주아일")</f>
        <v>주아일</v>
      </c>
      <c r="I311" t="str">
        <f>T("애프터선셋")</f>
        <v>애프터선셋</v>
      </c>
      <c r="J311" t="str">
        <f>T("[GL]깊이 더 깊이")</f>
        <v>[GL]깊이 더 깊이</v>
      </c>
      <c r="K311">
        <v>3200</v>
      </c>
      <c r="L311">
        <v>12800</v>
      </c>
      <c r="M311">
        <v>4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8960</v>
      </c>
      <c r="AL311" t="str">
        <f>T("0000000000000")</f>
        <v>0000000000000</v>
      </c>
      <c r="AN311" t="str">
        <f>T("9791190142014")</f>
        <v>9791190142014</v>
      </c>
      <c r="AP311" t="str">
        <f>T("로맨스 e북 &gt; 현대물")</f>
        <v>로맨스 e북 &gt; 현대물</v>
      </c>
      <c r="AQ311" t="str">
        <f>T("로맨스 e북 &gt; 19+")</f>
        <v>로맨스 e북 &gt; 19+</v>
      </c>
    </row>
    <row r="312" spans="1:43" x14ac:dyDescent="0.4">
      <c r="A312" t="s">
        <v>43</v>
      </c>
      <c r="B312">
        <v>3822000645</v>
      </c>
      <c r="C312">
        <v>3822000675</v>
      </c>
      <c r="D312" t="str">
        <f>T("[연재]방송 켜셔야죠 31화")</f>
        <v>[연재]방송 켜셔야죠 31화</v>
      </c>
      <c r="E312" t="str">
        <f>T("31")</f>
        <v>31</v>
      </c>
      <c r="F312" t="str">
        <f>T("파란비")</f>
        <v>파란비</v>
      </c>
      <c r="I312" t="str">
        <f>T("딥블렌드")</f>
        <v>딥블렌드</v>
      </c>
      <c r="J312" t="str">
        <f>T("[연재]방송 켜셔야죠")</f>
        <v>[연재]방송 켜셔야죠</v>
      </c>
      <c r="K312">
        <v>100</v>
      </c>
      <c r="L312">
        <v>12400</v>
      </c>
      <c r="M312">
        <v>124</v>
      </c>
      <c r="N312">
        <v>0</v>
      </c>
      <c r="O312">
        <v>0</v>
      </c>
      <c r="P312">
        <v>0</v>
      </c>
      <c r="Q312">
        <v>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7440</v>
      </c>
      <c r="AN312" t="str">
        <f>T("9791190142717")</f>
        <v>9791190142717</v>
      </c>
      <c r="AP312" t="str">
        <f>T("BL 웹소설 &gt; 현대물")</f>
        <v>BL 웹소설 &gt; 현대물</v>
      </c>
    </row>
    <row r="313" spans="1:43" x14ac:dyDescent="0.4">
      <c r="A313" t="s">
        <v>43</v>
      </c>
      <c r="B313">
        <v>3822000645</v>
      </c>
      <c r="C313">
        <v>3822000677</v>
      </c>
      <c r="D313" t="str">
        <f>T("[연재]방송 켜셔야죠 33화")</f>
        <v>[연재]방송 켜셔야죠 33화</v>
      </c>
      <c r="E313" t="str">
        <f>T("33")</f>
        <v>33</v>
      </c>
      <c r="F313" t="str">
        <f>T("파란비")</f>
        <v>파란비</v>
      </c>
      <c r="I313" t="str">
        <f>T("딥블렌드")</f>
        <v>딥블렌드</v>
      </c>
      <c r="J313" t="str">
        <f>T("[연재]방송 켜셔야죠")</f>
        <v>[연재]방송 켜셔야죠</v>
      </c>
      <c r="K313">
        <v>100</v>
      </c>
      <c r="L313">
        <v>12400</v>
      </c>
      <c r="M313">
        <v>124</v>
      </c>
      <c r="N313">
        <v>0</v>
      </c>
      <c r="O313">
        <v>0</v>
      </c>
      <c r="P313">
        <v>0</v>
      </c>
      <c r="Q313">
        <v>2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-100</v>
      </c>
      <c r="Y313">
        <v>1</v>
      </c>
      <c r="Z313">
        <v>-100</v>
      </c>
      <c r="AA313">
        <v>1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7380</v>
      </c>
      <c r="AN313" t="str">
        <f>T("9791190142717")</f>
        <v>9791190142717</v>
      </c>
      <c r="AP313" t="str">
        <f>T("BL 웹소설 &gt; 현대물")</f>
        <v>BL 웹소설 &gt; 현대물</v>
      </c>
    </row>
    <row r="314" spans="1:43" x14ac:dyDescent="0.4">
      <c r="A314" t="s">
        <v>43</v>
      </c>
      <c r="B314">
        <v>3822000994</v>
      </c>
      <c r="C314">
        <v>3822001004</v>
      </c>
      <c r="D314" t="str">
        <f>T("[연재]후회 없게 해 드립니다 11화")</f>
        <v>[연재]후회 없게 해 드립니다 11화</v>
      </c>
      <c r="E314" t="str">
        <f>T("11")</f>
        <v>11</v>
      </c>
      <c r="F314" t="str">
        <f>T("소하")</f>
        <v>소하</v>
      </c>
      <c r="I314" t="str">
        <f>T("비포선셋")</f>
        <v>비포선셋</v>
      </c>
      <c r="J314" t="str">
        <f>T("[연재]후회 없게 해 드립니다")</f>
        <v>[연재]후회 없게 해 드립니다</v>
      </c>
      <c r="K314">
        <v>100</v>
      </c>
      <c r="L314">
        <v>12400</v>
      </c>
      <c r="M314">
        <v>124</v>
      </c>
      <c r="N314">
        <v>0</v>
      </c>
      <c r="O314">
        <v>0</v>
      </c>
      <c r="P314">
        <v>0</v>
      </c>
      <c r="Q314">
        <v>7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-200</v>
      </c>
      <c r="Y314">
        <v>2</v>
      </c>
      <c r="Z314">
        <v>-200</v>
      </c>
      <c r="AA314">
        <v>2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7320</v>
      </c>
      <c r="AN314" t="str">
        <f>T("9791190142953")</f>
        <v>9791190142953</v>
      </c>
      <c r="AP314" t="str">
        <f>T("로맨스 웹소설 &gt; 판타지물")</f>
        <v>로맨스 웹소설 &gt; 판타지물</v>
      </c>
    </row>
    <row r="315" spans="1:43" x14ac:dyDescent="0.4">
      <c r="A315" t="s">
        <v>43</v>
      </c>
      <c r="B315">
        <v>3822000994</v>
      </c>
      <c r="C315">
        <v>3822000998</v>
      </c>
      <c r="D315" t="str">
        <f>T("[연재]후회 없게 해 드립니다 5화")</f>
        <v>[연재]후회 없게 해 드립니다 5화</v>
      </c>
      <c r="E315" t="str">
        <f>T("5")</f>
        <v>5</v>
      </c>
      <c r="F315" t="str">
        <f>T("소하")</f>
        <v>소하</v>
      </c>
      <c r="I315" t="str">
        <f>T("비포선셋")</f>
        <v>비포선셋</v>
      </c>
      <c r="J315" t="str">
        <f>T("[연재]후회 없게 해 드립니다")</f>
        <v>[연재]후회 없게 해 드립니다</v>
      </c>
      <c r="K315">
        <v>100</v>
      </c>
      <c r="L315">
        <v>12400</v>
      </c>
      <c r="M315">
        <v>124</v>
      </c>
      <c r="N315">
        <v>0</v>
      </c>
      <c r="O315">
        <v>0</v>
      </c>
      <c r="P315">
        <v>0</v>
      </c>
      <c r="Q315">
        <v>241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-200</v>
      </c>
      <c r="Y315">
        <v>2</v>
      </c>
      <c r="Z315">
        <v>-200</v>
      </c>
      <c r="AA315">
        <v>2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7320</v>
      </c>
      <c r="AN315" t="str">
        <f>T("9791190142953")</f>
        <v>9791190142953</v>
      </c>
      <c r="AP315" t="str">
        <f>T("로맨스 웹소설 &gt; 판타지물")</f>
        <v>로맨스 웹소설 &gt; 판타지물</v>
      </c>
    </row>
    <row r="316" spans="1:43" x14ac:dyDescent="0.4">
      <c r="A316" t="s">
        <v>43</v>
      </c>
      <c r="B316">
        <v>3822000645</v>
      </c>
      <c r="C316">
        <v>3822000676</v>
      </c>
      <c r="D316" t="str">
        <f>T("[연재]방송 켜셔야죠 32화")</f>
        <v>[연재]방송 켜셔야죠 32화</v>
      </c>
      <c r="E316" t="str">
        <f>T("32")</f>
        <v>32</v>
      </c>
      <c r="F316" t="str">
        <f t="shared" ref="F316:F326" si="76">T("파란비")</f>
        <v>파란비</v>
      </c>
      <c r="I316" t="str">
        <f t="shared" ref="I316:I326" si="77">T("딥블렌드")</f>
        <v>딥블렌드</v>
      </c>
      <c r="J316" t="str">
        <f t="shared" ref="J316:J326" si="78">T("[연재]방송 켜셔야죠")</f>
        <v>[연재]방송 켜셔야죠</v>
      </c>
      <c r="K316">
        <v>100</v>
      </c>
      <c r="L316">
        <v>12100</v>
      </c>
      <c r="M316">
        <v>121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7260</v>
      </c>
      <c r="AN316" t="str">
        <f t="shared" ref="AN316:AN326" si="79">T("9791190142717")</f>
        <v>9791190142717</v>
      </c>
      <c r="AP316" t="str">
        <f t="shared" ref="AP316:AP326" si="80">T("BL 웹소설 &gt; 현대물")</f>
        <v>BL 웹소설 &gt; 현대물</v>
      </c>
    </row>
    <row r="317" spans="1:43" x14ac:dyDescent="0.4">
      <c r="A317" t="s">
        <v>43</v>
      </c>
      <c r="B317">
        <v>3822000645</v>
      </c>
      <c r="C317">
        <v>3822000678</v>
      </c>
      <c r="D317" t="str">
        <f>T("[연재]방송 켜셔야죠 34화")</f>
        <v>[연재]방송 켜셔야죠 34화</v>
      </c>
      <c r="E317" t="str">
        <f>T("34")</f>
        <v>34</v>
      </c>
      <c r="F317" t="str">
        <f t="shared" si="76"/>
        <v>파란비</v>
      </c>
      <c r="I317" t="str">
        <f t="shared" si="77"/>
        <v>딥블렌드</v>
      </c>
      <c r="J317" t="str">
        <f t="shared" si="78"/>
        <v>[연재]방송 켜셔야죠</v>
      </c>
      <c r="K317">
        <v>100</v>
      </c>
      <c r="L317">
        <v>12100</v>
      </c>
      <c r="M317">
        <v>121</v>
      </c>
      <c r="N317">
        <v>0</v>
      </c>
      <c r="O317">
        <v>0</v>
      </c>
      <c r="P317">
        <v>0</v>
      </c>
      <c r="Q317">
        <v>2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7260</v>
      </c>
      <c r="AN317" t="str">
        <f t="shared" si="79"/>
        <v>9791190142717</v>
      </c>
      <c r="AP317" t="str">
        <f t="shared" si="80"/>
        <v>BL 웹소설 &gt; 현대물</v>
      </c>
    </row>
    <row r="318" spans="1:43" x14ac:dyDescent="0.4">
      <c r="A318" t="s">
        <v>43</v>
      </c>
      <c r="B318">
        <v>3822000645</v>
      </c>
      <c r="C318">
        <v>3822000659</v>
      </c>
      <c r="D318" t="str">
        <f>T("[연재]방송 켜셔야죠 15화")</f>
        <v>[연재]방송 켜셔야죠 15화</v>
      </c>
      <c r="E318" t="str">
        <f>T("15")</f>
        <v>15</v>
      </c>
      <c r="F318" t="str">
        <f t="shared" si="76"/>
        <v>파란비</v>
      </c>
      <c r="I318" t="str">
        <f t="shared" si="77"/>
        <v>딥블렌드</v>
      </c>
      <c r="J318" t="str">
        <f t="shared" si="78"/>
        <v>[연재]방송 켜셔야죠</v>
      </c>
      <c r="K318">
        <v>100</v>
      </c>
      <c r="L318">
        <v>12100</v>
      </c>
      <c r="M318">
        <v>121</v>
      </c>
      <c r="N318">
        <v>0</v>
      </c>
      <c r="O318">
        <v>0</v>
      </c>
      <c r="P318">
        <v>0</v>
      </c>
      <c r="Q318">
        <v>7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7260</v>
      </c>
      <c r="AN318" t="str">
        <f t="shared" si="79"/>
        <v>9791190142717</v>
      </c>
      <c r="AP318" t="str">
        <f t="shared" si="80"/>
        <v>BL 웹소설 &gt; 현대물</v>
      </c>
    </row>
    <row r="319" spans="1:43" x14ac:dyDescent="0.4">
      <c r="A319" t="s">
        <v>43</v>
      </c>
      <c r="B319">
        <v>3822000645</v>
      </c>
      <c r="C319">
        <v>3822000674</v>
      </c>
      <c r="D319" t="str">
        <f>T("[연재]방송 켜셔야죠 30화")</f>
        <v>[연재]방송 켜셔야죠 30화</v>
      </c>
      <c r="E319" t="str">
        <f>T("30")</f>
        <v>30</v>
      </c>
      <c r="F319" t="str">
        <f t="shared" si="76"/>
        <v>파란비</v>
      </c>
      <c r="I319" t="str">
        <f t="shared" si="77"/>
        <v>딥블렌드</v>
      </c>
      <c r="J319" t="str">
        <f t="shared" si="78"/>
        <v>[연재]방송 켜셔야죠</v>
      </c>
      <c r="K319">
        <v>100</v>
      </c>
      <c r="L319">
        <v>11900</v>
      </c>
      <c r="M319">
        <v>119</v>
      </c>
      <c r="N319">
        <v>0</v>
      </c>
      <c r="O319">
        <v>0</v>
      </c>
      <c r="P319">
        <v>0</v>
      </c>
      <c r="Q319">
        <v>1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7140</v>
      </c>
      <c r="AN319" t="str">
        <f t="shared" si="79"/>
        <v>9791190142717</v>
      </c>
      <c r="AP319" t="str">
        <f t="shared" si="80"/>
        <v>BL 웹소설 &gt; 현대물</v>
      </c>
    </row>
    <row r="320" spans="1:43" x14ac:dyDescent="0.4">
      <c r="A320" t="s">
        <v>43</v>
      </c>
      <c r="B320">
        <v>3822000645</v>
      </c>
      <c r="C320">
        <v>3822000661</v>
      </c>
      <c r="D320" t="str">
        <f>T("[연재]방송 켜셔야죠 17화")</f>
        <v>[연재]방송 켜셔야죠 17화</v>
      </c>
      <c r="E320" t="str">
        <f>T("17")</f>
        <v>17</v>
      </c>
      <c r="F320" t="str">
        <f t="shared" si="76"/>
        <v>파란비</v>
      </c>
      <c r="I320" t="str">
        <f t="shared" si="77"/>
        <v>딥블렌드</v>
      </c>
      <c r="J320" t="str">
        <f t="shared" si="78"/>
        <v>[연재]방송 켜셔야죠</v>
      </c>
      <c r="K320">
        <v>100</v>
      </c>
      <c r="L320">
        <v>11900</v>
      </c>
      <c r="M320">
        <v>119</v>
      </c>
      <c r="N320">
        <v>0</v>
      </c>
      <c r="O320">
        <v>0</v>
      </c>
      <c r="P320">
        <v>0</v>
      </c>
      <c r="Q320">
        <v>4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7140</v>
      </c>
      <c r="AN320" t="str">
        <f t="shared" si="79"/>
        <v>9791190142717</v>
      </c>
      <c r="AP320" t="str">
        <f t="shared" si="80"/>
        <v>BL 웹소설 &gt; 현대물</v>
      </c>
    </row>
    <row r="321" spans="1:43" x14ac:dyDescent="0.4">
      <c r="A321" t="s">
        <v>43</v>
      </c>
      <c r="B321">
        <v>3822000645</v>
      </c>
      <c r="C321">
        <v>3822000685</v>
      </c>
      <c r="D321" t="str">
        <f>T("[연재]방송 켜셔야죠 38화")</f>
        <v>[연재]방송 켜셔야죠 38화</v>
      </c>
      <c r="E321" t="str">
        <f>T("38")</f>
        <v>38</v>
      </c>
      <c r="F321" t="str">
        <f t="shared" si="76"/>
        <v>파란비</v>
      </c>
      <c r="I321" t="str">
        <f t="shared" si="77"/>
        <v>딥블렌드</v>
      </c>
      <c r="J321" t="str">
        <f t="shared" si="78"/>
        <v>[연재]방송 켜셔야죠</v>
      </c>
      <c r="K321">
        <v>100</v>
      </c>
      <c r="L321">
        <v>11900</v>
      </c>
      <c r="M321">
        <v>119</v>
      </c>
      <c r="N321">
        <v>0</v>
      </c>
      <c r="O321">
        <v>0</v>
      </c>
      <c r="P321">
        <v>0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7140</v>
      </c>
      <c r="AN321" t="str">
        <f t="shared" si="79"/>
        <v>9791190142717</v>
      </c>
      <c r="AP321" t="str">
        <f t="shared" si="80"/>
        <v>BL 웹소설 &gt; 현대물</v>
      </c>
    </row>
    <row r="322" spans="1:43" x14ac:dyDescent="0.4">
      <c r="A322" t="s">
        <v>43</v>
      </c>
      <c r="B322">
        <v>3822000645</v>
      </c>
      <c r="C322">
        <v>3822000660</v>
      </c>
      <c r="D322" t="str">
        <f>T("[연재]방송 켜셔야죠 16화")</f>
        <v>[연재]방송 켜셔야죠 16화</v>
      </c>
      <c r="E322" t="str">
        <f>T("16")</f>
        <v>16</v>
      </c>
      <c r="F322" t="str">
        <f t="shared" si="76"/>
        <v>파란비</v>
      </c>
      <c r="I322" t="str">
        <f t="shared" si="77"/>
        <v>딥블렌드</v>
      </c>
      <c r="J322" t="str">
        <f t="shared" si="78"/>
        <v>[연재]방송 켜셔야죠</v>
      </c>
      <c r="K322">
        <v>100</v>
      </c>
      <c r="L322">
        <v>11800</v>
      </c>
      <c r="M322">
        <v>118</v>
      </c>
      <c r="N322">
        <v>0</v>
      </c>
      <c r="O322">
        <v>0</v>
      </c>
      <c r="P322">
        <v>0</v>
      </c>
      <c r="Q322">
        <v>2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7080</v>
      </c>
      <c r="AN322" t="str">
        <f t="shared" si="79"/>
        <v>9791190142717</v>
      </c>
      <c r="AP322" t="str">
        <f t="shared" si="80"/>
        <v>BL 웹소설 &gt; 현대물</v>
      </c>
    </row>
    <row r="323" spans="1:43" x14ac:dyDescent="0.4">
      <c r="A323" t="s">
        <v>43</v>
      </c>
      <c r="B323">
        <v>3822000645</v>
      </c>
      <c r="C323">
        <v>3822001157</v>
      </c>
      <c r="D323" t="str">
        <f>T("[연재]방송 켜셔야죠 111화")</f>
        <v>[연재]방송 켜셔야죠 111화</v>
      </c>
      <c r="E323" t="str">
        <f>T("111")</f>
        <v>111</v>
      </c>
      <c r="F323" t="str">
        <f t="shared" si="76"/>
        <v>파란비</v>
      </c>
      <c r="I323" t="str">
        <f t="shared" si="77"/>
        <v>딥블렌드</v>
      </c>
      <c r="J323" t="str">
        <f t="shared" si="78"/>
        <v>[연재]방송 켜셔야죠</v>
      </c>
      <c r="K323">
        <v>100</v>
      </c>
      <c r="L323">
        <v>11800</v>
      </c>
      <c r="M323">
        <v>118</v>
      </c>
      <c r="N323">
        <v>0</v>
      </c>
      <c r="O323">
        <v>0</v>
      </c>
      <c r="P323">
        <v>0</v>
      </c>
      <c r="Q323">
        <v>3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-100</v>
      </c>
      <c r="Y323">
        <v>1</v>
      </c>
      <c r="Z323">
        <v>-100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7020</v>
      </c>
      <c r="AN323" t="str">
        <f t="shared" si="79"/>
        <v>9791190142717</v>
      </c>
      <c r="AP323" t="str">
        <f t="shared" si="80"/>
        <v>BL 웹소설 &gt; 현대물</v>
      </c>
    </row>
    <row r="324" spans="1:43" x14ac:dyDescent="0.4">
      <c r="A324" t="s">
        <v>43</v>
      </c>
      <c r="B324">
        <v>3822000645</v>
      </c>
      <c r="C324">
        <v>3822000667</v>
      </c>
      <c r="D324" t="str">
        <f>T("[연재]방송 켜셔야죠 23화")</f>
        <v>[연재]방송 켜셔야죠 23화</v>
      </c>
      <c r="E324" t="str">
        <f>T("23")</f>
        <v>23</v>
      </c>
      <c r="F324" t="str">
        <f t="shared" si="76"/>
        <v>파란비</v>
      </c>
      <c r="I324" t="str">
        <f t="shared" si="77"/>
        <v>딥블렌드</v>
      </c>
      <c r="J324" t="str">
        <f t="shared" si="78"/>
        <v>[연재]방송 켜셔야죠</v>
      </c>
      <c r="K324">
        <v>100</v>
      </c>
      <c r="L324">
        <v>11800</v>
      </c>
      <c r="M324">
        <v>118</v>
      </c>
      <c r="N324">
        <v>0</v>
      </c>
      <c r="O324">
        <v>0</v>
      </c>
      <c r="P324">
        <v>0</v>
      </c>
      <c r="Q324">
        <v>4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7080</v>
      </c>
      <c r="AN324" t="str">
        <f t="shared" si="79"/>
        <v>9791190142717</v>
      </c>
      <c r="AP324" t="str">
        <f t="shared" si="80"/>
        <v>BL 웹소설 &gt; 현대물</v>
      </c>
    </row>
    <row r="325" spans="1:43" x14ac:dyDescent="0.4">
      <c r="A325" t="s">
        <v>43</v>
      </c>
      <c r="B325">
        <v>3822000645</v>
      </c>
      <c r="C325">
        <v>3822000663</v>
      </c>
      <c r="D325" t="str">
        <f>T("[연재]방송 켜셔야죠 19화")</f>
        <v>[연재]방송 켜셔야죠 19화</v>
      </c>
      <c r="E325" t="str">
        <f>T("19")</f>
        <v>19</v>
      </c>
      <c r="F325" t="str">
        <f t="shared" si="76"/>
        <v>파란비</v>
      </c>
      <c r="I325" t="str">
        <f t="shared" si="77"/>
        <v>딥블렌드</v>
      </c>
      <c r="J325" t="str">
        <f t="shared" si="78"/>
        <v>[연재]방송 켜셔야죠</v>
      </c>
      <c r="K325">
        <v>100</v>
      </c>
      <c r="L325">
        <v>11700</v>
      </c>
      <c r="M325">
        <v>117</v>
      </c>
      <c r="N325">
        <v>0</v>
      </c>
      <c r="O325">
        <v>0</v>
      </c>
      <c r="P325">
        <v>0</v>
      </c>
      <c r="Q325">
        <v>4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7020</v>
      </c>
      <c r="AN325" t="str">
        <f t="shared" si="79"/>
        <v>9791190142717</v>
      </c>
      <c r="AP325" t="str">
        <f t="shared" si="80"/>
        <v>BL 웹소설 &gt; 현대물</v>
      </c>
    </row>
    <row r="326" spans="1:43" x14ac:dyDescent="0.4">
      <c r="A326" t="s">
        <v>43</v>
      </c>
      <c r="B326">
        <v>3822000645</v>
      </c>
      <c r="C326">
        <v>3822000679</v>
      </c>
      <c r="D326" t="str">
        <f>T("[연재]방송 켜셔야죠 35화")</f>
        <v>[연재]방송 켜셔야죠 35화</v>
      </c>
      <c r="E326" t="str">
        <f>T("35")</f>
        <v>35</v>
      </c>
      <c r="F326" t="str">
        <f t="shared" si="76"/>
        <v>파란비</v>
      </c>
      <c r="I326" t="str">
        <f t="shared" si="77"/>
        <v>딥블렌드</v>
      </c>
      <c r="J326" t="str">
        <f t="shared" si="78"/>
        <v>[연재]방송 켜셔야죠</v>
      </c>
      <c r="K326">
        <v>100</v>
      </c>
      <c r="L326">
        <v>11700</v>
      </c>
      <c r="M326">
        <v>117</v>
      </c>
      <c r="N326">
        <v>0</v>
      </c>
      <c r="O326">
        <v>0</v>
      </c>
      <c r="P326">
        <v>0</v>
      </c>
      <c r="Q326">
        <v>2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7020</v>
      </c>
      <c r="AN326" t="str">
        <f t="shared" si="79"/>
        <v>9791190142717</v>
      </c>
      <c r="AP326" t="str">
        <f t="shared" si="80"/>
        <v>BL 웹소설 &gt; 현대물</v>
      </c>
    </row>
    <row r="327" spans="1:43" x14ac:dyDescent="0.4">
      <c r="A327" t="s">
        <v>43</v>
      </c>
      <c r="C327">
        <v>3822000983</v>
      </c>
      <c r="D327" t="str">
        <f>T("봄앓이")</f>
        <v>봄앓이</v>
      </c>
      <c r="F327" t="str">
        <f>T("워럭")</f>
        <v>워럭</v>
      </c>
      <c r="I327" t="str">
        <f>T("애프터선셋")</f>
        <v>애프터선셋</v>
      </c>
      <c r="K327">
        <v>1300</v>
      </c>
      <c r="L327">
        <v>11700</v>
      </c>
      <c r="M327">
        <v>9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8190</v>
      </c>
      <c r="AN327" t="str">
        <f>T("9791190142946")</f>
        <v>9791190142946</v>
      </c>
      <c r="AP327" t="str">
        <f>T("로맨스 e북 &gt; 현대물")</f>
        <v>로맨스 e북 &gt; 현대물</v>
      </c>
      <c r="AQ327" t="str">
        <f>T("로맨스 e북 &gt; 19+")</f>
        <v>로맨스 e북 &gt; 19+</v>
      </c>
    </row>
    <row r="328" spans="1:43" x14ac:dyDescent="0.4">
      <c r="A328" t="s">
        <v>43</v>
      </c>
      <c r="B328">
        <v>3822000645</v>
      </c>
      <c r="C328">
        <v>3822000664</v>
      </c>
      <c r="D328" t="str">
        <f>T("[연재]방송 켜셔야죠 20화")</f>
        <v>[연재]방송 켜셔야죠 20화</v>
      </c>
      <c r="E328" t="str">
        <f>T("20")</f>
        <v>20</v>
      </c>
      <c r="F328" t="str">
        <f t="shared" ref="F328:F343" si="81">T("파란비")</f>
        <v>파란비</v>
      </c>
      <c r="I328" t="str">
        <f t="shared" ref="I328:I343" si="82">T("딥블렌드")</f>
        <v>딥블렌드</v>
      </c>
      <c r="J328" t="str">
        <f t="shared" ref="J328:J343" si="83">T("[연재]방송 켜셔야죠")</f>
        <v>[연재]방송 켜셔야죠</v>
      </c>
      <c r="K328">
        <v>100</v>
      </c>
      <c r="L328">
        <v>11600</v>
      </c>
      <c r="M328">
        <v>116</v>
      </c>
      <c r="N328">
        <v>0</v>
      </c>
      <c r="O328">
        <v>0</v>
      </c>
      <c r="P328">
        <v>0</v>
      </c>
      <c r="Q328">
        <v>3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6960</v>
      </c>
      <c r="AN328" t="str">
        <f t="shared" ref="AN328:AN343" si="84">T("9791190142717")</f>
        <v>9791190142717</v>
      </c>
      <c r="AP328" t="str">
        <f t="shared" ref="AP328:AP343" si="85">T("BL 웹소설 &gt; 현대물")</f>
        <v>BL 웹소설 &gt; 현대물</v>
      </c>
    </row>
    <row r="329" spans="1:43" x14ac:dyDescent="0.4">
      <c r="A329" t="s">
        <v>43</v>
      </c>
      <c r="B329">
        <v>3822000645</v>
      </c>
      <c r="C329">
        <v>3822000666</v>
      </c>
      <c r="D329" t="str">
        <f>T("[연재]방송 켜셔야죠 22화")</f>
        <v>[연재]방송 켜셔야죠 22화</v>
      </c>
      <c r="E329" t="str">
        <f>T("22")</f>
        <v>22</v>
      </c>
      <c r="F329" t="str">
        <f t="shared" si="81"/>
        <v>파란비</v>
      </c>
      <c r="I329" t="str">
        <f t="shared" si="82"/>
        <v>딥블렌드</v>
      </c>
      <c r="J329" t="str">
        <f t="shared" si="83"/>
        <v>[연재]방송 켜셔야죠</v>
      </c>
      <c r="K329">
        <v>100</v>
      </c>
      <c r="L329">
        <v>11600</v>
      </c>
      <c r="M329">
        <v>116</v>
      </c>
      <c r="N329">
        <v>0</v>
      </c>
      <c r="O329">
        <v>0</v>
      </c>
      <c r="P329">
        <v>0</v>
      </c>
      <c r="Q329">
        <v>4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6960</v>
      </c>
      <c r="AN329" t="str">
        <f t="shared" si="84"/>
        <v>9791190142717</v>
      </c>
      <c r="AP329" t="str">
        <f t="shared" si="85"/>
        <v>BL 웹소설 &gt; 현대물</v>
      </c>
    </row>
    <row r="330" spans="1:43" x14ac:dyDescent="0.4">
      <c r="A330" t="s">
        <v>43</v>
      </c>
      <c r="B330">
        <v>3822000645</v>
      </c>
      <c r="C330">
        <v>3822000683</v>
      </c>
      <c r="D330" t="str">
        <f>T("[연재]방송 켜셔야죠 36화")</f>
        <v>[연재]방송 켜셔야죠 36화</v>
      </c>
      <c r="E330" t="str">
        <f>T("36")</f>
        <v>36</v>
      </c>
      <c r="F330" t="str">
        <f t="shared" si="81"/>
        <v>파란비</v>
      </c>
      <c r="I330" t="str">
        <f t="shared" si="82"/>
        <v>딥블렌드</v>
      </c>
      <c r="J330" t="str">
        <f t="shared" si="83"/>
        <v>[연재]방송 켜셔야죠</v>
      </c>
      <c r="K330">
        <v>100</v>
      </c>
      <c r="L330">
        <v>11600</v>
      </c>
      <c r="M330">
        <v>116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6960</v>
      </c>
      <c r="AN330" t="str">
        <f t="shared" si="84"/>
        <v>9791190142717</v>
      </c>
      <c r="AP330" t="str">
        <f t="shared" si="85"/>
        <v>BL 웹소설 &gt; 현대물</v>
      </c>
    </row>
    <row r="331" spans="1:43" x14ac:dyDescent="0.4">
      <c r="A331" t="s">
        <v>43</v>
      </c>
      <c r="B331">
        <v>3822000645</v>
      </c>
      <c r="C331">
        <v>3822000662</v>
      </c>
      <c r="D331" t="str">
        <f>T("[연재]방송 켜셔야죠 18화")</f>
        <v>[연재]방송 켜셔야죠 18화</v>
      </c>
      <c r="E331" t="str">
        <f>T("18")</f>
        <v>18</v>
      </c>
      <c r="F331" t="str">
        <f t="shared" si="81"/>
        <v>파란비</v>
      </c>
      <c r="I331" t="str">
        <f t="shared" si="82"/>
        <v>딥블렌드</v>
      </c>
      <c r="J331" t="str">
        <f t="shared" si="83"/>
        <v>[연재]방송 켜셔야죠</v>
      </c>
      <c r="K331">
        <v>100</v>
      </c>
      <c r="L331">
        <v>11500</v>
      </c>
      <c r="M331">
        <v>115</v>
      </c>
      <c r="N331">
        <v>0</v>
      </c>
      <c r="O331">
        <v>0</v>
      </c>
      <c r="P331">
        <v>0</v>
      </c>
      <c r="Q331">
        <v>2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-100</v>
      </c>
      <c r="Y331">
        <v>1</v>
      </c>
      <c r="Z331">
        <v>-100</v>
      </c>
      <c r="AA331">
        <v>1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6840</v>
      </c>
      <c r="AN331" t="str">
        <f t="shared" si="84"/>
        <v>9791190142717</v>
      </c>
      <c r="AP331" t="str">
        <f t="shared" si="85"/>
        <v>BL 웹소설 &gt; 현대물</v>
      </c>
    </row>
    <row r="332" spans="1:43" x14ac:dyDescent="0.4">
      <c r="A332" t="s">
        <v>43</v>
      </c>
      <c r="B332">
        <v>3822000645</v>
      </c>
      <c r="C332">
        <v>3822000671</v>
      </c>
      <c r="D332" t="str">
        <f>T("[연재]방송 켜셔야죠 27화")</f>
        <v>[연재]방송 켜셔야죠 27화</v>
      </c>
      <c r="E332" t="str">
        <f>T("27")</f>
        <v>27</v>
      </c>
      <c r="F332" t="str">
        <f t="shared" si="81"/>
        <v>파란비</v>
      </c>
      <c r="I332" t="str">
        <f t="shared" si="82"/>
        <v>딥블렌드</v>
      </c>
      <c r="J332" t="str">
        <f t="shared" si="83"/>
        <v>[연재]방송 켜셔야죠</v>
      </c>
      <c r="K332">
        <v>100</v>
      </c>
      <c r="L332">
        <v>11500</v>
      </c>
      <c r="M332">
        <v>115</v>
      </c>
      <c r="N332">
        <v>0</v>
      </c>
      <c r="O332">
        <v>0</v>
      </c>
      <c r="P332">
        <v>0</v>
      </c>
      <c r="Q332">
        <v>2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-100</v>
      </c>
      <c r="Y332">
        <v>1</v>
      </c>
      <c r="Z332">
        <v>-100</v>
      </c>
      <c r="AA332">
        <v>1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6840</v>
      </c>
      <c r="AN332" t="str">
        <f t="shared" si="84"/>
        <v>9791190142717</v>
      </c>
      <c r="AP332" t="str">
        <f t="shared" si="85"/>
        <v>BL 웹소설 &gt; 현대물</v>
      </c>
    </row>
    <row r="333" spans="1:43" x14ac:dyDescent="0.4">
      <c r="A333" t="s">
        <v>43</v>
      </c>
      <c r="B333">
        <v>3822000645</v>
      </c>
      <c r="C333">
        <v>3822001154</v>
      </c>
      <c r="D333" t="str">
        <f>T("[연재]방송 켜셔야죠 110화")</f>
        <v>[연재]방송 켜셔야죠 110화</v>
      </c>
      <c r="E333" t="str">
        <f>T("110")</f>
        <v>110</v>
      </c>
      <c r="F333" t="str">
        <f t="shared" si="81"/>
        <v>파란비</v>
      </c>
      <c r="I333" t="str">
        <f t="shared" si="82"/>
        <v>딥블렌드</v>
      </c>
      <c r="J333" t="str">
        <f t="shared" si="83"/>
        <v>[연재]방송 켜셔야죠</v>
      </c>
      <c r="K333">
        <v>100</v>
      </c>
      <c r="L333">
        <v>11500</v>
      </c>
      <c r="M333">
        <v>115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-100</v>
      </c>
      <c r="Y333">
        <v>1</v>
      </c>
      <c r="Z333">
        <v>-100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6840</v>
      </c>
      <c r="AN333" t="str">
        <f t="shared" si="84"/>
        <v>9791190142717</v>
      </c>
      <c r="AP333" t="str">
        <f t="shared" si="85"/>
        <v>BL 웹소설 &gt; 현대물</v>
      </c>
    </row>
    <row r="334" spans="1:43" x14ac:dyDescent="0.4">
      <c r="A334" t="s">
        <v>43</v>
      </c>
      <c r="B334">
        <v>3822000645</v>
      </c>
      <c r="C334">
        <v>3822000672</v>
      </c>
      <c r="D334" t="str">
        <f>T("[연재]방송 켜셔야죠 28화")</f>
        <v>[연재]방송 켜셔야죠 28화</v>
      </c>
      <c r="E334" t="str">
        <f>T("28")</f>
        <v>28</v>
      </c>
      <c r="F334" t="str">
        <f t="shared" si="81"/>
        <v>파란비</v>
      </c>
      <c r="I334" t="str">
        <f t="shared" si="82"/>
        <v>딥블렌드</v>
      </c>
      <c r="J334" t="str">
        <f t="shared" si="83"/>
        <v>[연재]방송 켜셔야죠</v>
      </c>
      <c r="K334">
        <v>100</v>
      </c>
      <c r="L334">
        <v>11500</v>
      </c>
      <c r="M334">
        <v>115</v>
      </c>
      <c r="N334">
        <v>0</v>
      </c>
      <c r="O334">
        <v>0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6900</v>
      </c>
      <c r="AN334" t="str">
        <f t="shared" si="84"/>
        <v>9791190142717</v>
      </c>
      <c r="AP334" t="str">
        <f t="shared" si="85"/>
        <v>BL 웹소설 &gt; 현대물</v>
      </c>
    </row>
    <row r="335" spans="1:43" x14ac:dyDescent="0.4">
      <c r="A335" t="s">
        <v>43</v>
      </c>
      <c r="B335">
        <v>3822000645</v>
      </c>
      <c r="C335">
        <v>3822000686</v>
      </c>
      <c r="D335" t="str">
        <f>T("[연재]방송 켜셔야죠 39화")</f>
        <v>[연재]방송 켜셔야죠 39화</v>
      </c>
      <c r="E335" t="str">
        <f>T("39")</f>
        <v>39</v>
      </c>
      <c r="F335" t="str">
        <f t="shared" si="81"/>
        <v>파란비</v>
      </c>
      <c r="I335" t="str">
        <f t="shared" si="82"/>
        <v>딥블렌드</v>
      </c>
      <c r="J335" t="str">
        <f t="shared" si="83"/>
        <v>[연재]방송 켜셔야죠</v>
      </c>
      <c r="K335">
        <v>100</v>
      </c>
      <c r="L335">
        <v>11500</v>
      </c>
      <c r="M335">
        <v>115</v>
      </c>
      <c r="N335">
        <v>0</v>
      </c>
      <c r="O335">
        <v>0</v>
      </c>
      <c r="P335">
        <v>0</v>
      </c>
      <c r="Q335">
        <v>1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6900</v>
      </c>
      <c r="AN335" t="str">
        <f t="shared" si="84"/>
        <v>9791190142717</v>
      </c>
      <c r="AP335" t="str">
        <f t="shared" si="85"/>
        <v>BL 웹소설 &gt; 현대물</v>
      </c>
    </row>
    <row r="336" spans="1:43" x14ac:dyDescent="0.4">
      <c r="A336" t="s">
        <v>43</v>
      </c>
      <c r="B336">
        <v>3822000645</v>
      </c>
      <c r="C336">
        <v>3822000702</v>
      </c>
      <c r="D336" t="str">
        <f>T("[연재]방송 켜셔야죠 41화")</f>
        <v>[연재]방송 켜셔야죠 41화</v>
      </c>
      <c r="E336" t="str">
        <f>T("41")</f>
        <v>41</v>
      </c>
      <c r="F336" t="str">
        <f t="shared" si="81"/>
        <v>파란비</v>
      </c>
      <c r="I336" t="str">
        <f t="shared" si="82"/>
        <v>딥블렌드</v>
      </c>
      <c r="J336" t="str">
        <f t="shared" si="83"/>
        <v>[연재]방송 켜셔야죠</v>
      </c>
      <c r="K336">
        <v>100</v>
      </c>
      <c r="L336">
        <v>11400</v>
      </c>
      <c r="M336">
        <v>114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6840</v>
      </c>
      <c r="AN336" t="str">
        <f t="shared" si="84"/>
        <v>9791190142717</v>
      </c>
      <c r="AP336" t="str">
        <f t="shared" si="85"/>
        <v>BL 웹소설 &gt; 현대물</v>
      </c>
    </row>
    <row r="337" spans="1:42" x14ac:dyDescent="0.4">
      <c r="A337" t="s">
        <v>43</v>
      </c>
      <c r="B337">
        <v>3822000645</v>
      </c>
      <c r="C337">
        <v>3822000704</v>
      </c>
      <c r="D337" t="str">
        <f>T("[연재]방송 켜셔야죠 42화")</f>
        <v>[연재]방송 켜셔야죠 42화</v>
      </c>
      <c r="E337" t="str">
        <f>T("42")</f>
        <v>42</v>
      </c>
      <c r="F337" t="str">
        <f t="shared" si="81"/>
        <v>파란비</v>
      </c>
      <c r="I337" t="str">
        <f t="shared" si="82"/>
        <v>딥블렌드</v>
      </c>
      <c r="J337" t="str">
        <f t="shared" si="83"/>
        <v>[연재]방송 켜셔야죠</v>
      </c>
      <c r="K337">
        <v>100</v>
      </c>
      <c r="L337">
        <v>11400</v>
      </c>
      <c r="M337">
        <v>114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6840</v>
      </c>
      <c r="AN337" t="str">
        <f t="shared" si="84"/>
        <v>9791190142717</v>
      </c>
      <c r="AP337" t="str">
        <f t="shared" si="85"/>
        <v>BL 웹소설 &gt; 현대물</v>
      </c>
    </row>
    <row r="338" spans="1:42" x14ac:dyDescent="0.4">
      <c r="A338" t="s">
        <v>43</v>
      </c>
      <c r="B338">
        <v>3822000645</v>
      </c>
      <c r="C338">
        <v>3822000665</v>
      </c>
      <c r="D338" t="str">
        <f>T("[연재]방송 켜셔야죠 21화")</f>
        <v>[연재]방송 켜셔야죠 21화</v>
      </c>
      <c r="E338" t="str">
        <f>T("21")</f>
        <v>21</v>
      </c>
      <c r="F338" t="str">
        <f t="shared" si="81"/>
        <v>파란비</v>
      </c>
      <c r="I338" t="str">
        <f t="shared" si="82"/>
        <v>딥블렌드</v>
      </c>
      <c r="J338" t="str">
        <f t="shared" si="83"/>
        <v>[연재]방송 켜셔야죠</v>
      </c>
      <c r="K338">
        <v>100</v>
      </c>
      <c r="L338">
        <v>11400</v>
      </c>
      <c r="M338">
        <v>114</v>
      </c>
      <c r="N338">
        <v>0</v>
      </c>
      <c r="O338">
        <v>0</v>
      </c>
      <c r="P338">
        <v>0</v>
      </c>
      <c r="Q338">
        <v>3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6840</v>
      </c>
      <c r="AN338" t="str">
        <f t="shared" si="84"/>
        <v>9791190142717</v>
      </c>
      <c r="AP338" t="str">
        <f t="shared" si="85"/>
        <v>BL 웹소설 &gt; 현대물</v>
      </c>
    </row>
    <row r="339" spans="1:42" x14ac:dyDescent="0.4">
      <c r="A339" t="s">
        <v>43</v>
      </c>
      <c r="B339">
        <v>3822000645</v>
      </c>
      <c r="C339">
        <v>3822000668</v>
      </c>
      <c r="D339" t="str">
        <f>T("[연재]방송 켜셔야죠 24화")</f>
        <v>[연재]방송 켜셔야죠 24화</v>
      </c>
      <c r="E339" t="str">
        <f>T("24")</f>
        <v>24</v>
      </c>
      <c r="F339" t="str">
        <f t="shared" si="81"/>
        <v>파란비</v>
      </c>
      <c r="I339" t="str">
        <f t="shared" si="82"/>
        <v>딥블렌드</v>
      </c>
      <c r="J339" t="str">
        <f t="shared" si="83"/>
        <v>[연재]방송 켜셔야죠</v>
      </c>
      <c r="K339">
        <v>100</v>
      </c>
      <c r="L339">
        <v>11400</v>
      </c>
      <c r="M339">
        <v>114</v>
      </c>
      <c r="N339">
        <v>0</v>
      </c>
      <c r="O339">
        <v>0</v>
      </c>
      <c r="P339">
        <v>0</v>
      </c>
      <c r="Q339">
        <v>3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6840</v>
      </c>
      <c r="AN339" t="str">
        <f t="shared" si="84"/>
        <v>9791190142717</v>
      </c>
      <c r="AP339" t="str">
        <f t="shared" si="85"/>
        <v>BL 웹소설 &gt; 현대물</v>
      </c>
    </row>
    <row r="340" spans="1:42" x14ac:dyDescent="0.4">
      <c r="A340" t="s">
        <v>43</v>
      </c>
      <c r="B340">
        <v>3822000645</v>
      </c>
      <c r="C340">
        <v>3822000684</v>
      </c>
      <c r="D340" t="str">
        <f>T("[연재]방송 켜셔야죠 37화")</f>
        <v>[연재]방송 켜셔야죠 37화</v>
      </c>
      <c r="E340" t="str">
        <f>T("37")</f>
        <v>37</v>
      </c>
      <c r="F340" t="str">
        <f t="shared" si="81"/>
        <v>파란비</v>
      </c>
      <c r="I340" t="str">
        <f t="shared" si="82"/>
        <v>딥블렌드</v>
      </c>
      <c r="J340" t="str">
        <f t="shared" si="83"/>
        <v>[연재]방송 켜셔야죠</v>
      </c>
      <c r="K340">
        <v>100</v>
      </c>
      <c r="L340">
        <v>11400</v>
      </c>
      <c r="M340">
        <v>114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6840</v>
      </c>
      <c r="AN340" t="str">
        <f t="shared" si="84"/>
        <v>9791190142717</v>
      </c>
      <c r="AP340" t="str">
        <f t="shared" si="85"/>
        <v>BL 웹소설 &gt; 현대물</v>
      </c>
    </row>
    <row r="341" spans="1:42" x14ac:dyDescent="0.4">
      <c r="A341" t="s">
        <v>43</v>
      </c>
      <c r="B341">
        <v>3822000645</v>
      </c>
      <c r="C341">
        <v>3822001039</v>
      </c>
      <c r="D341" t="str">
        <f>T("[연재]방송 켜셔야죠 91화")</f>
        <v>[연재]방송 켜셔야죠 91화</v>
      </c>
      <c r="E341" t="str">
        <f>T("91")</f>
        <v>91</v>
      </c>
      <c r="F341" t="str">
        <f t="shared" si="81"/>
        <v>파란비</v>
      </c>
      <c r="I341" t="str">
        <f t="shared" si="82"/>
        <v>딥블렌드</v>
      </c>
      <c r="J341" t="str">
        <f t="shared" si="83"/>
        <v>[연재]방송 켜셔야죠</v>
      </c>
      <c r="K341">
        <v>100</v>
      </c>
      <c r="L341">
        <v>11400</v>
      </c>
      <c r="M341">
        <v>114</v>
      </c>
      <c r="N341">
        <v>0</v>
      </c>
      <c r="O341">
        <v>0</v>
      </c>
      <c r="P341">
        <v>0</v>
      </c>
      <c r="Q341">
        <v>2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6840</v>
      </c>
      <c r="AN341" t="str">
        <f t="shared" si="84"/>
        <v>9791190142717</v>
      </c>
      <c r="AP341" t="str">
        <f t="shared" si="85"/>
        <v>BL 웹소설 &gt; 현대물</v>
      </c>
    </row>
    <row r="342" spans="1:42" x14ac:dyDescent="0.4">
      <c r="A342" t="s">
        <v>43</v>
      </c>
      <c r="B342">
        <v>3822000645</v>
      </c>
      <c r="C342">
        <v>3822000709</v>
      </c>
      <c r="D342" t="str">
        <f>T("[연재]방송 켜셔야죠 43화")</f>
        <v>[연재]방송 켜셔야죠 43화</v>
      </c>
      <c r="E342" t="str">
        <f>T("43")</f>
        <v>43</v>
      </c>
      <c r="F342" t="str">
        <f t="shared" si="81"/>
        <v>파란비</v>
      </c>
      <c r="I342" t="str">
        <f t="shared" si="82"/>
        <v>딥블렌드</v>
      </c>
      <c r="J342" t="str">
        <f t="shared" si="83"/>
        <v>[연재]방송 켜셔야죠</v>
      </c>
      <c r="K342">
        <v>100</v>
      </c>
      <c r="L342">
        <v>11300</v>
      </c>
      <c r="M342">
        <v>113</v>
      </c>
      <c r="N342">
        <v>0</v>
      </c>
      <c r="O342">
        <v>0</v>
      </c>
      <c r="P342">
        <v>0</v>
      </c>
      <c r="Q342">
        <v>2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6780</v>
      </c>
      <c r="AN342" t="str">
        <f t="shared" si="84"/>
        <v>9791190142717</v>
      </c>
      <c r="AP342" t="str">
        <f t="shared" si="85"/>
        <v>BL 웹소설 &gt; 현대물</v>
      </c>
    </row>
    <row r="343" spans="1:42" x14ac:dyDescent="0.4">
      <c r="A343" t="s">
        <v>43</v>
      </c>
      <c r="B343">
        <v>3822000645</v>
      </c>
      <c r="C343">
        <v>3822000670</v>
      </c>
      <c r="D343" t="str">
        <f>T("[연재]방송 켜셔야죠 26화")</f>
        <v>[연재]방송 켜셔야죠 26화</v>
      </c>
      <c r="E343" t="str">
        <f>T("26")</f>
        <v>26</v>
      </c>
      <c r="F343" t="str">
        <f t="shared" si="81"/>
        <v>파란비</v>
      </c>
      <c r="I343" t="str">
        <f t="shared" si="82"/>
        <v>딥블렌드</v>
      </c>
      <c r="J343" t="str">
        <f t="shared" si="83"/>
        <v>[연재]방송 켜셔야죠</v>
      </c>
      <c r="K343">
        <v>100</v>
      </c>
      <c r="L343">
        <v>11300</v>
      </c>
      <c r="M343">
        <v>113</v>
      </c>
      <c r="N343">
        <v>0</v>
      </c>
      <c r="O343">
        <v>0</v>
      </c>
      <c r="P343">
        <v>0</v>
      </c>
      <c r="Q343">
        <v>2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6780</v>
      </c>
      <c r="AN343" t="str">
        <f t="shared" si="84"/>
        <v>9791190142717</v>
      </c>
      <c r="AP343" t="str">
        <f t="shared" si="85"/>
        <v>BL 웹소설 &gt; 현대물</v>
      </c>
    </row>
    <row r="344" spans="1:42" x14ac:dyDescent="0.4">
      <c r="A344" t="s">
        <v>43</v>
      </c>
      <c r="B344">
        <v>3822000994</v>
      </c>
      <c r="C344">
        <v>3822001005</v>
      </c>
      <c r="D344" t="str">
        <f>T("[연재]후회 없게 해 드립니다 12화")</f>
        <v>[연재]후회 없게 해 드립니다 12화</v>
      </c>
      <c r="E344" t="str">
        <f>T("12")</f>
        <v>12</v>
      </c>
      <c r="F344" t="str">
        <f>T("소하")</f>
        <v>소하</v>
      </c>
      <c r="I344" t="str">
        <f>T("비포선셋")</f>
        <v>비포선셋</v>
      </c>
      <c r="J344" t="str">
        <f>T("[연재]후회 없게 해 드립니다")</f>
        <v>[연재]후회 없게 해 드립니다</v>
      </c>
      <c r="K344">
        <v>100</v>
      </c>
      <c r="L344">
        <v>11200</v>
      </c>
      <c r="M344">
        <v>112</v>
      </c>
      <c r="N344">
        <v>0</v>
      </c>
      <c r="O344">
        <v>0</v>
      </c>
      <c r="P344">
        <v>0</v>
      </c>
      <c r="Q344">
        <v>43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-200</v>
      </c>
      <c r="Y344">
        <v>2</v>
      </c>
      <c r="Z344">
        <v>-200</v>
      </c>
      <c r="AA344">
        <v>2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6600</v>
      </c>
      <c r="AN344" t="str">
        <f>T("9791190142953")</f>
        <v>9791190142953</v>
      </c>
      <c r="AP344" t="str">
        <f>T("로맨스 웹소설 &gt; 판타지물")</f>
        <v>로맨스 웹소설 &gt; 판타지물</v>
      </c>
    </row>
    <row r="345" spans="1:42" x14ac:dyDescent="0.4">
      <c r="A345" t="s">
        <v>43</v>
      </c>
      <c r="B345">
        <v>3822000645</v>
      </c>
      <c r="C345">
        <v>3822000669</v>
      </c>
      <c r="D345" t="str">
        <f>T("[연재]방송 켜셔야죠 25화")</f>
        <v>[연재]방송 켜셔야죠 25화</v>
      </c>
      <c r="E345" t="str">
        <f>T("25")</f>
        <v>25</v>
      </c>
      <c r="F345" t="str">
        <f t="shared" ref="F345:F375" si="86">T("파란비")</f>
        <v>파란비</v>
      </c>
      <c r="I345" t="str">
        <f t="shared" ref="I345:I375" si="87">T("딥블렌드")</f>
        <v>딥블렌드</v>
      </c>
      <c r="J345" t="str">
        <f t="shared" ref="J345:J375" si="88">T("[연재]방송 켜셔야죠")</f>
        <v>[연재]방송 켜셔야죠</v>
      </c>
      <c r="K345">
        <v>100</v>
      </c>
      <c r="L345">
        <v>11200</v>
      </c>
      <c r="M345">
        <v>112</v>
      </c>
      <c r="N345">
        <v>0</v>
      </c>
      <c r="O345">
        <v>0</v>
      </c>
      <c r="P345">
        <v>0</v>
      </c>
      <c r="Q345">
        <v>2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6720</v>
      </c>
      <c r="AN345" t="str">
        <f t="shared" ref="AN345:AN375" si="89">T("9791190142717")</f>
        <v>9791190142717</v>
      </c>
      <c r="AP345" t="str">
        <f t="shared" ref="AP345:AP375" si="90">T("BL 웹소설 &gt; 현대물")</f>
        <v>BL 웹소설 &gt; 현대물</v>
      </c>
    </row>
    <row r="346" spans="1:42" x14ac:dyDescent="0.4">
      <c r="A346" t="s">
        <v>43</v>
      </c>
      <c r="B346">
        <v>3822000645</v>
      </c>
      <c r="C346">
        <v>3822000673</v>
      </c>
      <c r="D346" t="str">
        <f>T("[연재]방송 켜셔야죠 29화")</f>
        <v>[연재]방송 켜셔야죠 29화</v>
      </c>
      <c r="E346" t="str">
        <f>T("29")</f>
        <v>29</v>
      </c>
      <c r="F346" t="str">
        <f t="shared" si="86"/>
        <v>파란비</v>
      </c>
      <c r="I346" t="str">
        <f t="shared" si="87"/>
        <v>딥블렌드</v>
      </c>
      <c r="J346" t="str">
        <f t="shared" si="88"/>
        <v>[연재]방송 켜셔야죠</v>
      </c>
      <c r="K346">
        <v>100</v>
      </c>
      <c r="L346">
        <v>11200</v>
      </c>
      <c r="M346">
        <v>112</v>
      </c>
      <c r="N346">
        <v>0</v>
      </c>
      <c r="O346">
        <v>0</v>
      </c>
      <c r="P346">
        <v>0</v>
      </c>
      <c r="Q346">
        <v>2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6720</v>
      </c>
      <c r="AN346" t="str">
        <f t="shared" si="89"/>
        <v>9791190142717</v>
      </c>
      <c r="AP346" t="str">
        <f t="shared" si="90"/>
        <v>BL 웹소설 &gt; 현대물</v>
      </c>
    </row>
    <row r="347" spans="1:42" x14ac:dyDescent="0.4">
      <c r="A347" t="s">
        <v>43</v>
      </c>
      <c r="B347">
        <v>3822000645</v>
      </c>
      <c r="C347">
        <v>3822000855</v>
      </c>
      <c r="D347" t="str">
        <f>T("[연재]방송 켜셔야죠 64화")</f>
        <v>[연재]방송 켜셔야죠 64화</v>
      </c>
      <c r="E347" t="str">
        <f>T("64")</f>
        <v>64</v>
      </c>
      <c r="F347" t="str">
        <f t="shared" si="86"/>
        <v>파란비</v>
      </c>
      <c r="I347" t="str">
        <f t="shared" si="87"/>
        <v>딥블렌드</v>
      </c>
      <c r="J347" t="str">
        <f t="shared" si="88"/>
        <v>[연재]방송 켜셔야죠</v>
      </c>
      <c r="K347">
        <v>100</v>
      </c>
      <c r="L347">
        <v>11200</v>
      </c>
      <c r="M347">
        <v>112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-100</v>
      </c>
      <c r="Y347">
        <v>1</v>
      </c>
      <c r="Z347">
        <v>-100</v>
      </c>
      <c r="AA347">
        <v>1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6660</v>
      </c>
      <c r="AN347" t="str">
        <f t="shared" si="89"/>
        <v>9791190142717</v>
      </c>
      <c r="AP347" t="str">
        <f t="shared" si="90"/>
        <v>BL 웹소설 &gt; 현대물</v>
      </c>
    </row>
    <row r="348" spans="1:42" x14ac:dyDescent="0.4">
      <c r="A348" t="s">
        <v>43</v>
      </c>
      <c r="B348">
        <v>3822000645</v>
      </c>
      <c r="C348">
        <v>3822001142</v>
      </c>
      <c r="D348" t="str">
        <f>T("[연재]방송 켜셔야죠 108화")</f>
        <v>[연재]방송 켜셔야죠 108화</v>
      </c>
      <c r="E348" t="str">
        <f>T("108")</f>
        <v>108</v>
      </c>
      <c r="F348" t="str">
        <f t="shared" si="86"/>
        <v>파란비</v>
      </c>
      <c r="I348" t="str">
        <f t="shared" si="87"/>
        <v>딥블렌드</v>
      </c>
      <c r="J348" t="str">
        <f t="shared" si="88"/>
        <v>[연재]방송 켜셔야죠</v>
      </c>
      <c r="K348">
        <v>100</v>
      </c>
      <c r="L348">
        <v>11100</v>
      </c>
      <c r="M348">
        <v>111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-100</v>
      </c>
      <c r="Y348">
        <v>1</v>
      </c>
      <c r="Z348">
        <v>-100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6600</v>
      </c>
      <c r="AN348" t="str">
        <f t="shared" si="89"/>
        <v>9791190142717</v>
      </c>
      <c r="AP348" t="str">
        <f t="shared" si="90"/>
        <v>BL 웹소설 &gt; 현대물</v>
      </c>
    </row>
    <row r="349" spans="1:42" x14ac:dyDescent="0.4">
      <c r="A349" t="s">
        <v>43</v>
      </c>
      <c r="B349">
        <v>3822000645</v>
      </c>
      <c r="C349">
        <v>3822001042</v>
      </c>
      <c r="D349" t="str">
        <f>T("[연재]방송 켜셔야죠 92화")</f>
        <v>[연재]방송 켜셔야죠 92화</v>
      </c>
      <c r="E349" t="str">
        <f>T("92")</f>
        <v>92</v>
      </c>
      <c r="F349" t="str">
        <f t="shared" si="86"/>
        <v>파란비</v>
      </c>
      <c r="I349" t="str">
        <f t="shared" si="87"/>
        <v>딥블렌드</v>
      </c>
      <c r="J349" t="str">
        <f t="shared" si="88"/>
        <v>[연재]방송 켜셔야죠</v>
      </c>
      <c r="K349">
        <v>100</v>
      </c>
      <c r="L349">
        <v>11100</v>
      </c>
      <c r="M349">
        <v>111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6660</v>
      </c>
      <c r="AN349" t="str">
        <f t="shared" si="89"/>
        <v>9791190142717</v>
      </c>
      <c r="AP349" t="str">
        <f t="shared" si="90"/>
        <v>BL 웹소설 &gt; 현대물</v>
      </c>
    </row>
    <row r="350" spans="1:42" x14ac:dyDescent="0.4">
      <c r="A350" t="s">
        <v>43</v>
      </c>
      <c r="B350">
        <v>3822000645</v>
      </c>
      <c r="C350">
        <v>3822001043</v>
      </c>
      <c r="D350" t="str">
        <f>T("[연재]방송 켜셔야죠 93화")</f>
        <v>[연재]방송 켜셔야죠 93화</v>
      </c>
      <c r="E350" t="str">
        <f>T("93")</f>
        <v>93</v>
      </c>
      <c r="F350" t="str">
        <f t="shared" si="86"/>
        <v>파란비</v>
      </c>
      <c r="I350" t="str">
        <f t="shared" si="87"/>
        <v>딥블렌드</v>
      </c>
      <c r="J350" t="str">
        <f t="shared" si="88"/>
        <v>[연재]방송 켜셔야죠</v>
      </c>
      <c r="K350">
        <v>100</v>
      </c>
      <c r="L350">
        <v>11100</v>
      </c>
      <c r="M350">
        <v>111</v>
      </c>
      <c r="N350">
        <v>0</v>
      </c>
      <c r="O350">
        <v>0</v>
      </c>
      <c r="P350">
        <v>0</v>
      </c>
      <c r="Q350">
        <v>2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6660</v>
      </c>
      <c r="AN350" t="str">
        <f t="shared" si="89"/>
        <v>9791190142717</v>
      </c>
      <c r="AP350" t="str">
        <f t="shared" si="90"/>
        <v>BL 웹소설 &gt; 현대물</v>
      </c>
    </row>
    <row r="351" spans="1:42" x14ac:dyDescent="0.4">
      <c r="A351" t="s">
        <v>43</v>
      </c>
      <c r="B351">
        <v>3822000645</v>
      </c>
      <c r="C351">
        <v>3822001088</v>
      </c>
      <c r="D351" t="str">
        <f>T("[연재]방송 켜셔야죠 100화")</f>
        <v>[연재]방송 켜셔야죠 100화</v>
      </c>
      <c r="E351" t="str">
        <f>T("100")</f>
        <v>100</v>
      </c>
      <c r="F351" t="str">
        <f t="shared" si="86"/>
        <v>파란비</v>
      </c>
      <c r="I351" t="str">
        <f t="shared" si="87"/>
        <v>딥블렌드</v>
      </c>
      <c r="J351" t="str">
        <f t="shared" si="88"/>
        <v>[연재]방송 켜셔야죠</v>
      </c>
      <c r="K351">
        <v>100</v>
      </c>
      <c r="L351">
        <v>11100</v>
      </c>
      <c r="M351">
        <v>111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6660</v>
      </c>
      <c r="AN351" t="str">
        <f t="shared" si="89"/>
        <v>9791190142717</v>
      </c>
      <c r="AP351" t="str">
        <f t="shared" si="90"/>
        <v>BL 웹소설 &gt; 현대물</v>
      </c>
    </row>
    <row r="352" spans="1:42" x14ac:dyDescent="0.4">
      <c r="A352" t="s">
        <v>43</v>
      </c>
      <c r="B352">
        <v>3822000645</v>
      </c>
      <c r="C352">
        <v>3822000847</v>
      </c>
      <c r="D352" t="str">
        <f>T("[연재]방송 켜셔야죠 60화")</f>
        <v>[연재]방송 켜셔야죠 60화</v>
      </c>
      <c r="E352" t="str">
        <f>T("60")</f>
        <v>60</v>
      </c>
      <c r="F352" t="str">
        <f t="shared" si="86"/>
        <v>파란비</v>
      </c>
      <c r="I352" t="str">
        <f t="shared" si="87"/>
        <v>딥블렌드</v>
      </c>
      <c r="J352" t="str">
        <f t="shared" si="88"/>
        <v>[연재]방송 켜셔야죠</v>
      </c>
      <c r="K352">
        <v>100</v>
      </c>
      <c r="L352">
        <v>11100</v>
      </c>
      <c r="M352">
        <v>111</v>
      </c>
      <c r="N352">
        <v>0</v>
      </c>
      <c r="O352">
        <v>0</v>
      </c>
      <c r="P352">
        <v>0</v>
      </c>
      <c r="Q352">
        <v>4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6660</v>
      </c>
      <c r="AN352" t="str">
        <f t="shared" si="89"/>
        <v>9791190142717</v>
      </c>
      <c r="AP352" t="str">
        <f t="shared" si="90"/>
        <v>BL 웹소설 &gt; 현대물</v>
      </c>
    </row>
    <row r="353" spans="1:42" x14ac:dyDescent="0.4">
      <c r="A353" t="s">
        <v>43</v>
      </c>
      <c r="B353">
        <v>3822000645</v>
      </c>
      <c r="C353">
        <v>3822001121</v>
      </c>
      <c r="D353" t="str">
        <f>T("[연재]방송 켜셔야죠 105화")</f>
        <v>[연재]방송 켜셔야죠 105화</v>
      </c>
      <c r="E353" t="str">
        <f>T("105")</f>
        <v>105</v>
      </c>
      <c r="F353" t="str">
        <f t="shared" si="86"/>
        <v>파란비</v>
      </c>
      <c r="I353" t="str">
        <f t="shared" si="87"/>
        <v>딥블렌드</v>
      </c>
      <c r="J353" t="str">
        <f t="shared" si="88"/>
        <v>[연재]방송 켜셔야죠</v>
      </c>
      <c r="K353">
        <v>100</v>
      </c>
      <c r="L353">
        <v>11100</v>
      </c>
      <c r="M353">
        <v>111</v>
      </c>
      <c r="N353">
        <v>0</v>
      </c>
      <c r="O353">
        <v>0</v>
      </c>
      <c r="P353">
        <v>0</v>
      </c>
      <c r="Q353">
        <v>3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6660</v>
      </c>
      <c r="AN353" t="str">
        <f t="shared" si="89"/>
        <v>9791190142717</v>
      </c>
      <c r="AP353" t="str">
        <f t="shared" si="90"/>
        <v>BL 웹소설 &gt; 현대물</v>
      </c>
    </row>
    <row r="354" spans="1:42" x14ac:dyDescent="0.4">
      <c r="A354" t="s">
        <v>43</v>
      </c>
      <c r="B354">
        <v>3822000645</v>
      </c>
      <c r="C354">
        <v>3822000866</v>
      </c>
      <c r="D354" t="str">
        <f>T("[연재]방송 켜셔야죠 65화")</f>
        <v>[연재]방송 켜셔야죠 65화</v>
      </c>
      <c r="E354" t="str">
        <f>T("65")</f>
        <v>65</v>
      </c>
      <c r="F354" t="str">
        <f t="shared" si="86"/>
        <v>파란비</v>
      </c>
      <c r="I354" t="str">
        <f t="shared" si="87"/>
        <v>딥블렌드</v>
      </c>
      <c r="J354" t="str">
        <f t="shared" si="88"/>
        <v>[연재]방송 켜셔야죠</v>
      </c>
      <c r="K354">
        <v>100</v>
      </c>
      <c r="L354">
        <v>11100</v>
      </c>
      <c r="M354">
        <v>111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6660</v>
      </c>
      <c r="AN354" t="str">
        <f t="shared" si="89"/>
        <v>9791190142717</v>
      </c>
      <c r="AP354" t="str">
        <f t="shared" si="90"/>
        <v>BL 웹소설 &gt; 현대물</v>
      </c>
    </row>
    <row r="355" spans="1:42" x14ac:dyDescent="0.4">
      <c r="A355" t="s">
        <v>43</v>
      </c>
      <c r="B355">
        <v>3822000645</v>
      </c>
      <c r="C355">
        <v>3822001152</v>
      </c>
      <c r="D355" t="str">
        <f>T("[연재]방송 켜셔야죠 109화")</f>
        <v>[연재]방송 켜셔야죠 109화</v>
      </c>
      <c r="E355" t="str">
        <f>T("109")</f>
        <v>109</v>
      </c>
      <c r="F355" t="str">
        <f t="shared" si="86"/>
        <v>파란비</v>
      </c>
      <c r="I355" t="str">
        <f t="shared" si="87"/>
        <v>딥블렌드</v>
      </c>
      <c r="J355" t="str">
        <f t="shared" si="88"/>
        <v>[연재]방송 켜셔야죠</v>
      </c>
      <c r="K355">
        <v>100</v>
      </c>
      <c r="L355">
        <v>11100</v>
      </c>
      <c r="M355">
        <v>111</v>
      </c>
      <c r="N355">
        <v>0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-100</v>
      </c>
      <c r="Y355">
        <v>1</v>
      </c>
      <c r="Z355">
        <v>-100</v>
      </c>
      <c r="AA355">
        <v>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6600</v>
      </c>
      <c r="AN355" t="str">
        <f t="shared" si="89"/>
        <v>9791190142717</v>
      </c>
      <c r="AP355" t="str">
        <f t="shared" si="90"/>
        <v>BL 웹소설 &gt; 현대물</v>
      </c>
    </row>
    <row r="356" spans="1:42" x14ac:dyDescent="0.4">
      <c r="A356" t="s">
        <v>43</v>
      </c>
      <c r="B356">
        <v>3822000645</v>
      </c>
      <c r="C356">
        <v>3822000726</v>
      </c>
      <c r="D356" t="str">
        <f>T("[연재]방송 켜셔야죠 49화")</f>
        <v>[연재]방송 켜셔야죠 49화</v>
      </c>
      <c r="E356" t="str">
        <f>T("49")</f>
        <v>49</v>
      </c>
      <c r="F356" t="str">
        <f t="shared" si="86"/>
        <v>파란비</v>
      </c>
      <c r="I356" t="str">
        <f t="shared" si="87"/>
        <v>딥블렌드</v>
      </c>
      <c r="J356" t="str">
        <f t="shared" si="88"/>
        <v>[연재]방송 켜셔야죠</v>
      </c>
      <c r="K356">
        <v>100</v>
      </c>
      <c r="L356">
        <v>11100</v>
      </c>
      <c r="M356">
        <v>111</v>
      </c>
      <c r="N356">
        <v>0</v>
      </c>
      <c r="O356">
        <v>0</v>
      </c>
      <c r="P356">
        <v>0</v>
      </c>
      <c r="Q356">
        <v>4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-100</v>
      </c>
      <c r="Y356">
        <v>1</v>
      </c>
      <c r="Z356">
        <v>-100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6600</v>
      </c>
      <c r="AN356" t="str">
        <f t="shared" si="89"/>
        <v>9791190142717</v>
      </c>
      <c r="AP356" t="str">
        <f t="shared" si="90"/>
        <v>BL 웹소설 &gt; 현대물</v>
      </c>
    </row>
    <row r="357" spans="1:42" x14ac:dyDescent="0.4">
      <c r="A357" t="s">
        <v>43</v>
      </c>
      <c r="B357">
        <v>3822000645</v>
      </c>
      <c r="C357">
        <v>3822000687</v>
      </c>
      <c r="D357" t="str">
        <f>T("[연재]방송 켜셔야죠 40화")</f>
        <v>[연재]방송 켜셔야죠 40화</v>
      </c>
      <c r="E357" t="str">
        <f>T("40")</f>
        <v>40</v>
      </c>
      <c r="F357" t="str">
        <f t="shared" si="86"/>
        <v>파란비</v>
      </c>
      <c r="I357" t="str">
        <f t="shared" si="87"/>
        <v>딥블렌드</v>
      </c>
      <c r="J357" t="str">
        <f t="shared" si="88"/>
        <v>[연재]방송 켜셔야죠</v>
      </c>
      <c r="K357">
        <v>100</v>
      </c>
      <c r="L357">
        <v>11100</v>
      </c>
      <c r="M357">
        <v>111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6660</v>
      </c>
      <c r="AN357" t="str">
        <f t="shared" si="89"/>
        <v>9791190142717</v>
      </c>
      <c r="AP357" t="str">
        <f t="shared" si="90"/>
        <v>BL 웹소설 &gt; 현대물</v>
      </c>
    </row>
    <row r="358" spans="1:42" x14ac:dyDescent="0.4">
      <c r="A358" t="s">
        <v>43</v>
      </c>
      <c r="B358">
        <v>3822000645</v>
      </c>
      <c r="C358">
        <v>3822001044</v>
      </c>
      <c r="D358" t="str">
        <f>T("[연재]방송 켜셔야죠 94화")</f>
        <v>[연재]방송 켜셔야죠 94화</v>
      </c>
      <c r="E358" t="str">
        <f>T("94")</f>
        <v>94</v>
      </c>
      <c r="F358" t="str">
        <f t="shared" si="86"/>
        <v>파란비</v>
      </c>
      <c r="I358" t="str">
        <f t="shared" si="87"/>
        <v>딥블렌드</v>
      </c>
      <c r="J358" t="str">
        <f t="shared" si="88"/>
        <v>[연재]방송 켜셔야죠</v>
      </c>
      <c r="K358">
        <v>100</v>
      </c>
      <c r="L358">
        <v>11000</v>
      </c>
      <c r="M358">
        <v>110</v>
      </c>
      <c r="N358">
        <v>0</v>
      </c>
      <c r="O358">
        <v>0</v>
      </c>
      <c r="P358">
        <v>0</v>
      </c>
      <c r="Q358">
        <v>2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6600</v>
      </c>
      <c r="AN358" t="str">
        <f t="shared" si="89"/>
        <v>9791190142717</v>
      </c>
      <c r="AP358" t="str">
        <f t="shared" si="90"/>
        <v>BL 웹소설 &gt; 현대물</v>
      </c>
    </row>
    <row r="359" spans="1:42" x14ac:dyDescent="0.4">
      <c r="A359" t="s">
        <v>43</v>
      </c>
      <c r="B359">
        <v>3822000645</v>
      </c>
      <c r="C359">
        <v>3822001091</v>
      </c>
      <c r="D359" t="str">
        <f>T("[연재]방송 켜셔야죠 101화")</f>
        <v>[연재]방송 켜셔야죠 101화</v>
      </c>
      <c r="E359" t="str">
        <f>T("101")</f>
        <v>101</v>
      </c>
      <c r="F359" t="str">
        <f t="shared" si="86"/>
        <v>파란비</v>
      </c>
      <c r="I359" t="str">
        <f t="shared" si="87"/>
        <v>딥블렌드</v>
      </c>
      <c r="J359" t="str">
        <f t="shared" si="88"/>
        <v>[연재]방송 켜셔야죠</v>
      </c>
      <c r="K359">
        <v>100</v>
      </c>
      <c r="L359">
        <v>11000</v>
      </c>
      <c r="M359">
        <v>110</v>
      </c>
      <c r="N359">
        <v>0</v>
      </c>
      <c r="O359">
        <v>0</v>
      </c>
      <c r="P359">
        <v>0</v>
      </c>
      <c r="Q359">
        <v>1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6600</v>
      </c>
      <c r="AN359" t="str">
        <f t="shared" si="89"/>
        <v>9791190142717</v>
      </c>
      <c r="AP359" t="str">
        <f t="shared" si="90"/>
        <v>BL 웹소설 &gt; 현대물</v>
      </c>
    </row>
    <row r="360" spans="1:42" x14ac:dyDescent="0.4">
      <c r="A360" t="s">
        <v>43</v>
      </c>
      <c r="B360">
        <v>3822000645</v>
      </c>
      <c r="C360">
        <v>3822000992</v>
      </c>
      <c r="D360" t="str">
        <f>T("[연재]방송 켜셔야죠 90화")</f>
        <v>[연재]방송 켜셔야죠 90화</v>
      </c>
      <c r="E360" t="str">
        <f>T("90")</f>
        <v>90</v>
      </c>
      <c r="F360" t="str">
        <f t="shared" si="86"/>
        <v>파란비</v>
      </c>
      <c r="I360" t="str">
        <f t="shared" si="87"/>
        <v>딥블렌드</v>
      </c>
      <c r="J360" t="str">
        <f t="shared" si="88"/>
        <v>[연재]방송 켜셔야죠</v>
      </c>
      <c r="K360">
        <v>100</v>
      </c>
      <c r="L360">
        <v>11000</v>
      </c>
      <c r="M360">
        <v>110</v>
      </c>
      <c r="N360">
        <v>0</v>
      </c>
      <c r="O360">
        <v>0</v>
      </c>
      <c r="P360">
        <v>0</v>
      </c>
      <c r="Q360">
        <v>2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6600</v>
      </c>
      <c r="AN360" t="str">
        <f t="shared" si="89"/>
        <v>9791190142717</v>
      </c>
      <c r="AP360" t="str">
        <f t="shared" si="90"/>
        <v>BL 웹소설 &gt; 현대물</v>
      </c>
    </row>
    <row r="361" spans="1:42" x14ac:dyDescent="0.4">
      <c r="A361" t="s">
        <v>43</v>
      </c>
      <c r="B361">
        <v>3822000645</v>
      </c>
      <c r="C361">
        <v>3822000711</v>
      </c>
      <c r="D361" t="str">
        <f>T("[연재]방송 켜셔야죠 44화")</f>
        <v>[연재]방송 켜셔야죠 44화</v>
      </c>
      <c r="E361" t="str">
        <f>T("44")</f>
        <v>44</v>
      </c>
      <c r="F361" t="str">
        <f t="shared" si="86"/>
        <v>파란비</v>
      </c>
      <c r="I361" t="str">
        <f t="shared" si="87"/>
        <v>딥블렌드</v>
      </c>
      <c r="J361" t="str">
        <f t="shared" si="88"/>
        <v>[연재]방송 켜셔야죠</v>
      </c>
      <c r="K361">
        <v>100</v>
      </c>
      <c r="L361">
        <v>11000</v>
      </c>
      <c r="M361">
        <v>110</v>
      </c>
      <c r="N361">
        <v>0</v>
      </c>
      <c r="O361">
        <v>0</v>
      </c>
      <c r="P361">
        <v>0</v>
      </c>
      <c r="Q361">
        <v>3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6600</v>
      </c>
      <c r="AN361" t="str">
        <f t="shared" si="89"/>
        <v>9791190142717</v>
      </c>
      <c r="AP361" t="str">
        <f t="shared" si="90"/>
        <v>BL 웹소설 &gt; 현대물</v>
      </c>
    </row>
    <row r="362" spans="1:42" x14ac:dyDescent="0.4">
      <c r="A362" t="s">
        <v>43</v>
      </c>
      <c r="B362">
        <v>3822000645</v>
      </c>
      <c r="C362">
        <v>3822001096</v>
      </c>
      <c r="D362" t="str">
        <f>T("[연재]방송 켜셔야죠 102화")</f>
        <v>[연재]방송 켜셔야죠 102화</v>
      </c>
      <c r="E362" t="str">
        <f>T("102")</f>
        <v>102</v>
      </c>
      <c r="F362" t="str">
        <f t="shared" si="86"/>
        <v>파란비</v>
      </c>
      <c r="I362" t="str">
        <f t="shared" si="87"/>
        <v>딥블렌드</v>
      </c>
      <c r="J362" t="str">
        <f t="shared" si="88"/>
        <v>[연재]방송 켜셔야죠</v>
      </c>
      <c r="K362">
        <v>100</v>
      </c>
      <c r="L362">
        <v>11000</v>
      </c>
      <c r="M362">
        <v>110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6600</v>
      </c>
      <c r="AN362" t="str">
        <f t="shared" si="89"/>
        <v>9791190142717</v>
      </c>
      <c r="AP362" t="str">
        <f t="shared" si="90"/>
        <v>BL 웹소설 &gt; 현대물</v>
      </c>
    </row>
    <row r="363" spans="1:42" x14ac:dyDescent="0.4">
      <c r="A363" t="s">
        <v>43</v>
      </c>
      <c r="B363">
        <v>3822000645</v>
      </c>
      <c r="C363">
        <v>3822000747</v>
      </c>
      <c r="D363" t="str">
        <f>T("[연재]방송 켜셔야죠 55화")</f>
        <v>[연재]방송 켜셔야죠 55화</v>
      </c>
      <c r="E363" t="str">
        <f>T("55")</f>
        <v>55</v>
      </c>
      <c r="F363" t="str">
        <f t="shared" si="86"/>
        <v>파란비</v>
      </c>
      <c r="I363" t="str">
        <f t="shared" si="87"/>
        <v>딥블렌드</v>
      </c>
      <c r="J363" t="str">
        <f t="shared" si="88"/>
        <v>[연재]방송 켜셔야죠</v>
      </c>
      <c r="K363">
        <v>100</v>
      </c>
      <c r="L363">
        <v>10900</v>
      </c>
      <c r="M363">
        <v>109</v>
      </c>
      <c r="N363">
        <v>0</v>
      </c>
      <c r="O363">
        <v>0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-100</v>
      </c>
      <c r="Y363">
        <v>1</v>
      </c>
      <c r="Z363">
        <v>-100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6480</v>
      </c>
      <c r="AN363" t="str">
        <f t="shared" si="89"/>
        <v>9791190142717</v>
      </c>
      <c r="AP363" t="str">
        <f t="shared" si="90"/>
        <v>BL 웹소설 &gt; 현대물</v>
      </c>
    </row>
    <row r="364" spans="1:42" x14ac:dyDescent="0.4">
      <c r="A364" t="s">
        <v>43</v>
      </c>
      <c r="B364">
        <v>3822000645</v>
      </c>
      <c r="C364">
        <v>3822000846</v>
      </c>
      <c r="D364" t="str">
        <f>T("[연재]방송 켜셔야죠 59화")</f>
        <v>[연재]방송 켜셔야죠 59화</v>
      </c>
      <c r="E364" t="str">
        <f>T("59")</f>
        <v>59</v>
      </c>
      <c r="F364" t="str">
        <f t="shared" si="86"/>
        <v>파란비</v>
      </c>
      <c r="I364" t="str">
        <f t="shared" si="87"/>
        <v>딥블렌드</v>
      </c>
      <c r="J364" t="str">
        <f t="shared" si="88"/>
        <v>[연재]방송 켜셔야죠</v>
      </c>
      <c r="K364">
        <v>100</v>
      </c>
      <c r="L364">
        <v>10900</v>
      </c>
      <c r="M364">
        <v>109</v>
      </c>
      <c r="N364">
        <v>0</v>
      </c>
      <c r="O364">
        <v>0</v>
      </c>
      <c r="P364">
        <v>0</v>
      </c>
      <c r="Q364">
        <v>3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6540</v>
      </c>
      <c r="AN364" t="str">
        <f t="shared" si="89"/>
        <v>9791190142717</v>
      </c>
      <c r="AP364" t="str">
        <f t="shared" si="90"/>
        <v>BL 웹소설 &gt; 현대물</v>
      </c>
    </row>
    <row r="365" spans="1:42" x14ac:dyDescent="0.4">
      <c r="A365" t="s">
        <v>43</v>
      </c>
      <c r="B365">
        <v>3822000645</v>
      </c>
      <c r="C365">
        <v>3822001080</v>
      </c>
      <c r="D365" t="str">
        <f>T("[연재]방송 켜셔야죠 99화")</f>
        <v>[연재]방송 켜셔야죠 99화</v>
      </c>
      <c r="E365" t="str">
        <f>T("99")</f>
        <v>99</v>
      </c>
      <c r="F365" t="str">
        <f t="shared" si="86"/>
        <v>파란비</v>
      </c>
      <c r="I365" t="str">
        <f t="shared" si="87"/>
        <v>딥블렌드</v>
      </c>
      <c r="J365" t="str">
        <f t="shared" si="88"/>
        <v>[연재]방송 켜셔야죠</v>
      </c>
      <c r="K365">
        <v>100</v>
      </c>
      <c r="L365">
        <v>10900</v>
      </c>
      <c r="M365">
        <v>109</v>
      </c>
      <c r="N365">
        <v>0</v>
      </c>
      <c r="O365">
        <v>0</v>
      </c>
      <c r="P365">
        <v>0</v>
      </c>
      <c r="Q365">
        <v>3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6540</v>
      </c>
      <c r="AN365" t="str">
        <f t="shared" si="89"/>
        <v>9791190142717</v>
      </c>
      <c r="AP365" t="str">
        <f t="shared" si="90"/>
        <v>BL 웹소설 &gt; 현대물</v>
      </c>
    </row>
    <row r="366" spans="1:42" x14ac:dyDescent="0.4">
      <c r="A366" t="s">
        <v>43</v>
      </c>
      <c r="B366">
        <v>3822000645</v>
      </c>
      <c r="C366">
        <v>3822001097</v>
      </c>
      <c r="D366" t="str">
        <f>T("[연재]방송 켜셔야죠 103화")</f>
        <v>[연재]방송 켜셔야죠 103화</v>
      </c>
      <c r="E366" t="str">
        <f>T("103")</f>
        <v>103</v>
      </c>
      <c r="F366" t="str">
        <f t="shared" si="86"/>
        <v>파란비</v>
      </c>
      <c r="I366" t="str">
        <f t="shared" si="87"/>
        <v>딥블렌드</v>
      </c>
      <c r="J366" t="str">
        <f t="shared" si="88"/>
        <v>[연재]방송 켜셔야죠</v>
      </c>
      <c r="K366">
        <v>100</v>
      </c>
      <c r="L366">
        <v>10900</v>
      </c>
      <c r="M366">
        <v>109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6540</v>
      </c>
      <c r="AN366" t="str">
        <f t="shared" si="89"/>
        <v>9791190142717</v>
      </c>
      <c r="AP366" t="str">
        <f t="shared" si="90"/>
        <v>BL 웹소설 &gt; 현대물</v>
      </c>
    </row>
    <row r="367" spans="1:42" x14ac:dyDescent="0.4">
      <c r="A367" t="s">
        <v>43</v>
      </c>
      <c r="B367">
        <v>3822000645</v>
      </c>
      <c r="C367">
        <v>3822000732</v>
      </c>
      <c r="D367" t="str">
        <f>T("[연재]방송 켜셔야죠 50화")</f>
        <v>[연재]방송 켜셔야죠 50화</v>
      </c>
      <c r="E367" t="str">
        <f>T("50")</f>
        <v>50</v>
      </c>
      <c r="F367" t="str">
        <f t="shared" si="86"/>
        <v>파란비</v>
      </c>
      <c r="I367" t="str">
        <f t="shared" si="87"/>
        <v>딥블렌드</v>
      </c>
      <c r="J367" t="str">
        <f t="shared" si="88"/>
        <v>[연재]방송 켜셔야죠</v>
      </c>
      <c r="K367">
        <v>100</v>
      </c>
      <c r="L367">
        <v>10800</v>
      </c>
      <c r="M367">
        <v>108</v>
      </c>
      <c r="N367">
        <v>0</v>
      </c>
      <c r="O367">
        <v>0</v>
      </c>
      <c r="P367">
        <v>0</v>
      </c>
      <c r="Q367">
        <v>3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-100</v>
      </c>
      <c r="Y367">
        <v>1</v>
      </c>
      <c r="Z367">
        <v>-100</v>
      </c>
      <c r="AA367">
        <v>1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6420</v>
      </c>
      <c r="AN367" t="str">
        <f t="shared" si="89"/>
        <v>9791190142717</v>
      </c>
      <c r="AP367" t="str">
        <f t="shared" si="90"/>
        <v>BL 웹소설 &gt; 현대물</v>
      </c>
    </row>
    <row r="368" spans="1:42" x14ac:dyDescent="0.4">
      <c r="A368" t="s">
        <v>43</v>
      </c>
      <c r="B368">
        <v>3822000645</v>
      </c>
      <c r="C368">
        <v>3822001119</v>
      </c>
      <c r="D368" t="str">
        <f>T("[연재]방송 켜셔야죠 104화")</f>
        <v>[연재]방송 켜셔야죠 104화</v>
      </c>
      <c r="E368" t="str">
        <f>T("104")</f>
        <v>104</v>
      </c>
      <c r="F368" t="str">
        <f t="shared" si="86"/>
        <v>파란비</v>
      </c>
      <c r="I368" t="str">
        <f t="shared" si="87"/>
        <v>딥블렌드</v>
      </c>
      <c r="J368" t="str">
        <f t="shared" si="88"/>
        <v>[연재]방송 켜셔야죠</v>
      </c>
      <c r="K368">
        <v>100</v>
      </c>
      <c r="L368">
        <v>10800</v>
      </c>
      <c r="M368">
        <v>108</v>
      </c>
      <c r="N368">
        <v>0</v>
      </c>
      <c r="O368">
        <v>0</v>
      </c>
      <c r="P368">
        <v>0</v>
      </c>
      <c r="Q368">
        <v>2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6480</v>
      </c>
      <c r="AN368" t="str">
        <f t="shared" si="89"/>
        <v>9791190142717</v>
      </c>
      <c r="AP368" t="str">
        <f t="shared" si="90"/>
        <v>BL 웹소설 &gt; 현대물</v>
      </c>
    </row>
    <row r="369" spans="1:42" x14ac:dyDescent="0.4">
      <c r="A369" t="s">
        <v>43</v>
      </c>
      <c r="B369">
        <v>3822000645</v>
      </c>
      <c r="C369">
        <v>3822000990</v>
      </c>
      <c r="D369" t="str">
        <f>T("[연재]방송 켜셔야죠 89화")</f>
        <v>[연재]방송 켜셔야죠 89화</v>
      </c>
      <c r="E369" t="str">
        <f>T("89")</f>
        <v>89</v>
      </c>
      <c r="F369" t="str">
        <f t="shared" si="86"/>
        <v>파란비</v>
      </c>
      <c r="I369" t="str">
        <f t="shared" si="87"/>
        <v>딥블렌드</v>
      </c>
      <c r="J369" t="str">
        <f t="shared" si="88"/>
        <v>[연재]방송 켜셔야죠</v>
      </c>
      <c r="K369">
        <v>100</v>
      </c>
      <c r="L369">
        <v>10800</v>
      </c>
      <c r="M369">
        <v>108</v>
      </c>
      <c r="N369">
        <v>0</v>
      </c>
      <c r="O369">
        <v>0</v>
      </c>
      <c r="P369">
        <v>0</v>
      </c>
      <c r="Q369">
        <v>1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6480</v>
      </c>
      <c r="AN369" t="str">
        <f t="shared" si="89"/>
        <v>9791190142717</v>
      </c>
      <c r="AP369" t="str">
        <f t="shared" si="90"/>
        <v>BL 웹소설 &gt; 현대물</v>
      </c>
    </row>
    <row r="370" spans="1:42" x14ac:dyDescent="0.4">
      <c r="A370" t="s">
        <v>43</v>
      </c>
      <c r="B370">
        <v>3822000645</v>
      </c>
      <c r="C370">
        <v>3822000722</v>
      </c>
      <c r="D370" t="str">
        <f>T("[연재]방송 켜셔야죠 47화")</f>
        <v>[연재]방송 켜셔야죠 47화</v>
      </c>
      <c r="E370" t="str">
        <f>T("47")</f>
        <v>47</v>
      </c>
      <c r="F370" t="str">
        <f t="shared" si="86"/>
        <v>파란비</v>
      </c>
      <c r="I370" t="str">
        <f t="shared" si="87"/>
        <v>딥블렌드</v>
      </c>
      <c r="J370" t="str">
        <f t="shared" si="88"/>
        <v>[연재]방송 켜셔야죠</v>
      </c>
      <c r="K370">
        <v>100</v>
      </c>
      <c r="L370">
        <v>10800</v>
      </c>
      <c r="M370">
        <v>108</v>
      </c>
      <c r="N370">
        <v>0</v>
      </c>
      <c r="O370">
        <v>0</v>
      </c>
      <c r="P370">
        <v>0</v>
      </c>
      <c r="Q370">
        <v>3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-100</v>
      </c>
      <c r="Y370">
        <v>1</v>
      </c>
      <c r="Z370">
        <v>-100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6420</v>
      </c>
      <c r="AN370" t="str">
        <f t="shared" si="89"/>
        <v>9791190142717</v>
      </c>
      <c r="AP370" t="str">
        <f t="shared" si="90"/>
        <v>BL 웹소설 &gt; 현대물</v>
      </c>
    </row>
    <row r="371" spans="1:42" x14ac:dyDescent="0.4">
      <c r="A371" t="s">
        <v>43</v>
      </c>
      <c r="B371">
        <v>3822000645</v>
      </c>
      <c r="C371">
        <v>3822000851</v>
      </c>
      <c r="D371" t="str">
        <f>T("[연재]방송 켜셔야죠 62화")</f>
        <v>[연재]방송 켜셔야죠 62화</v>
      </c>
      <c r="E371" t="str">
        <f>T("62")</f>
        <v>62</v>
      </c>
      <c r="F371" t="str">
        <f t="shared" si="86"/>
        <v>파란비</v>
      </c>
      <c r="I371" t="str">
        <f t="shared" si="87"/>
        <v>딥블렌드</v>
      </c>
      <c r="J371" t="str">
        <f t="shared" si="88"/>
        <v>[연재]방송 켜셔야죠</v>
      </c>
      <c r="K371">
        <v>100</v>
      </c>
      <c r="L371">
        <v>10800</v>
      </c>
      <c r="M371">
        <v>108</v>
      </c>
      <c r="N371">
        <v>0</v>
      </c>
      <c r="O371">
        <v>0</v>
      </c>
      <c r="P371">
        <v>0</v>
      </c>
      <c r="Q371">
        <v>2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6480</v>
      </c>
      <c r="AN371" t="str">
        <f t="shared" si="89"/>
        <v>9791190142717</v>
      </c>
      <c r="AP371" t="str">
        <f t="shared" si="90"/>
        <v>BL 웹소설 &gt; 현대물</v>
      </c>
    </row>
    <row r="372" spans="1:42" x14ac:dyDescent="0.4">
      <c r="A372" t="s">
        <v>43</v>
      </c>
      <c r="B372">
        <v>3822000645</v>
      </c>
      <c r="C372">
        <v>3822001139</v>
      </c>
      <c r="D372" t="str">
        <f>T("[연재]방송 켜셔야죠 107화")</f>
        <v>[연재]방송 켜셔야죠 107화</v>
      </c>
      <c r="E372" t="str">
        <f>T("107")</f>
        <v>107</v>
      </c>
      <c r="F372" t="str">
        <f t="shared" si="86"/>
        <v>파란비</v>
      </c>
      <c r="I372" t="str">
        <f t="shared" si="87"/>
        <v>딥블렌드</v>
      </c>
      <c r="J372" t="str">
        <f t="shared" si="88"/>
        <v>[연재]방송 켜셔야죠</v>
      </c>
      <c r="K372">
        <v>100</v>
      </c>
      <c r="L372">
        <v>10800</v>
      </c>
      <c r="M372">
        <v>108</v>
      </c>
      <c r="N372">
        <v>0</v>
      </c>
      <c r="O372">
        <v>0</v>
      </c>
      <c r="P372">
        <v>0</v>
      </c>
      <c r="Q372">
        <v>2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-100</v>
      </c>
      <c r="Y372">
        <v>1</v>
      </c>
      <c r="Z372">
        <v>-100</v>
      </c>
      <c r="AA372">
        <v>1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6420</v>
      </c>
      <c r="AN372" t="str">
        <f t="shared" si="89"/>
        <v>9791190142717</v>
      </c>
      <c r="AP372" t="str">
        <f t="shared" si="90"/>
        <v>BL 웹소설 &gt; 현대물</v>
      </c>
    </row>
    <row r="373" spans="1:42" x14ac:dyDescent="0.4">
      <c r="A373" t="s">
        <v>43</v>
      </c>
      <c r="B373">
        <v>3822000645</v>
      </c>
      <c r="C373">
        <v>3822000842</v>
      </c>
      <c r="D373" t="str">
        <f>T("[연재]방송 켜셔야죠 56화")</f>
        <v>[연재]방송 켜셔야죠 56화</v>
      </c>
      <c r="E373" t="str">
        <f>T("56")</f>
        <v>56</v>
      </c>
      <c r="F373" t="str">
        <f t="shared" si="86"/>
        <v>파란비</v>
      </c>
      <c r="I373" t="str">
        <f t="shared" si="87"/>
        <v>딥블렌드</v>
      </c>
      <c r="J373" t="str">
        <f t="shared" si="88"/>
        <v>[연재]방송 켜셔야죠</v>
      </c>
      <c r="K373">
        <v>100</v>
      </c>
      <c r="L373">
        <v>10800</v>
      </c>
      <c r="M373">
        <v>108</v>
      </c>
      <c r="N373">
        <v>0</v>
      </c>
      <c r="O373">
        <v>0</v>
      </c>
      <c r="P373">
        <v>0</v>
      </c>
      <c r="Q373">
        <v>2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6480</v>
      </c>
      <c r="AN373" t="str">
        <f t="shared" si="89"/>
        <v>9791190142717</v>
      </c>
      <c r="AP373" t="str">
        <f t="shared" si="90"/>
        <v>BL 웹소설 &gt; 현대물</v>
      </c>
    </row>
    <row r="374" spans="1:42" x14ac:dyDescent="0.4">
      <c r="A374" t="s">
        <v>43</v>
      </c>
      <c r="B374">
        <v>3822000645</v>
      </c>
      <c r="C374">
        <v>3822000844</v>
      </c>
      <c r="D374" t="str">
        <f>T("[연재]방송 켜셔야죠 57화")</f>
        <v>[연재]방송 켜셔야죠 57화</v>
      </c>
      <c r="E374" t="str">
        <f>T("57")</f>
        <v>57</v>
      </c>
      <c r="F374" t="str">
        <f t="shared" si="86"/>
        <v>파란비</v>
      </c>
      <c r="I374" t="str">
        <f t="shared" si="87"/>
        <v>딥블렌드</v>
      </c>
      <c r="J374" t="str">
        <f t="shared" si="88"/>
        <v>[연재]방송 켜셔야죠</v>
      </c>
      <c r="K374">
        <v>100</v>
      </c>
      <c r="L374">
        <v>10700</v>
      </c>
      <c r="M374">
        <v>107</v>
      </c>
      <c r="N374">
        <v>0</v>
      </c>
      <c r="O374">
        <v>0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6420</v>
      </c>
      <c r="AN374" t="str">
        <f t="shared" si="89"/>
        <v>9791190142717</v>
      </c>
      <c r="AP374" t="str">
        <f t="shared" si="90"/>
        <v>BL 웹소설 &gt; 현대물</v>
      </c>
    </row>
    <row r="375" spans="1:42" x14ac:dyDescent="0.4">
      <c r="A375" t="s">
        <v>43</v>
      </c>
      <c r="B375">
        <v>3822000645</v>
      </c>
      <c r="C375">
        <v>3822000718</v>
      </c>
      <c r="D375" t="str">
        <f>T("[연재]방송 켜셔야죠 46화")</f>
        <v>[연재]방송 켜셔야죠 46화</v>
      </c>
      <c r="E375" t="str">
        <f>T("46")</f>
        <v>46</v>
      </c>
      <c r="F375" t="str">
        <f t="shared" si="86"/>
        <v>파란비</v>
      </c>
      <c r="I375" t="str">
        <f t="shared" si="87"/>
        <v>딥블렌드</v>
      </c>
      <c r="J375" t="str">
        <f t="shared" si="88"/>
        <v>[연재]방송 켜셔야죠</v>
      </c>
      <c r="K375">
        <v>100</v>
      </c>
      <c r="L375">
        <v>10700</v>
      </c>
      <c r="M375">
        <v>107</v>
      </c>
      <c r="N375">
        <v>0</v>
      </c>
      <c r="O375">
        <v>0</v>
      </c>
      <c r="P375">
        <v>0</v>
      </c>
      <c r="Q375">
        <v>2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-100</v>
      </c>
      <c r="Y375">
        <v>1</v>
      </c>
      <c r="Z375">
        <v>-100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6360</v>
      </c>
      <c r="AN375" t="str">
        <f t="shared" si="89"/>
        <v>9791190142717</v>
      </c>
      <c r="AP375" t="str">
        <f t="shared" si="90"/>
        <v>BL 웹소설 &gt; 현대물</v>
      </c>
    </row>
    <row r="376" spans="1:42" x14ac:dyDescent="0.4">
      <c r="A376" t="s">
        <v>43</v>
      </c>
      <c r="B376">
        <v>3822000994</v>
      </c>
      <c r="C376">
        <v>3822001189</v>
      </c>
      <c r="D376" t="str">
        <f>T("[연재]후회 없게 해 드립니다 85화")</f>
        <v>[연재]후회 없게 해 드립니다 85화</v>
      </c>
      <c r="E376" t="str">
        <f>T("85")</f>
        <v>85</v>
      </c>
      <c r="F376" t="str">
        <f>T("소하")</f>
        <v>소하</v>
      </c>
      <c r="I376" t="str">
        <f>T("비포선셋")</f>
        <v>비포선셋</v>
      </c>
      <c r="J376" t="str">
        <f>T("[연재]후회 없게 해 드립니다")</f>
        <v>[연재]후회 없게 해 드립니다</v>
      </c>
      <c r="K376">
        <v>100</v>
      </c>
      <c r="L376">
        <v>10700</v>
      </c>
      <c r="M376">
        <v>107</v>
      </c>
      <c r="N376">
        <v>0</v>
      </c>
      <c r="O376">
        <v>0</v>
      </c>
      <c r="P376">
        <v>0</v>
      </c>
      <c r="Q376">
        <v>3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-300</v>
      </c>
      <c r="Y376">
        <v>3</v>
      </c>
      <c r="Z376">
        <v>-300</v>
      </c>
      <c r="AA376">
        <v>3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6240</v>
      </c>
      <c r="AN376" t="str">
        <f>T("9791190142953")</f>
        <v>9791190142953</v>
      </c>
      <c r="AP376" t="str">
        <f>T("로맨스 웹소설 &gt; 판타지물")</f>
        <v>로맨스 웹소설 &gt; 판타지물</v>
      </c>
    </row>
    <row r="377" spans="1:42" x14ac:dyDescent="0.4">
      <c r="A377" t="s">
        <v>43</v>
      </c>
      <c r="B377">
        <v>3822000645</v>
      </c>
      <c r="C377">
        <v>3822000845</v>
      </c>
      <c r="D377" t="str">
        <f>T("[연재]방송 켜셔야죠 58화")</f>
        <v>[연재]방송 켜셔야죠 58화</v>
      </c>
      <c r="E377" t="str">
        <f>T("58")</f>
        <v>58</v>
      </c>
      <c r="F377" t="str">
        <f t="shared" ref="F377:F403" si="91">T("파란비")</f>
        <v>파란비</v>
      </c>
      <c r="I377" t="str">
        <f t="shared" ref="I377:I403" si="92">T("딥블렌드")</f>
        <v>딥블렌드</v>
      </c>
      <c r="J377" t="str">
        <f t="shared" ref="J377:J403" si="93">T("[연재]방송 켜셔야죠")</f>
        <v>[연재]방송 켜셔야죠</v>
      </c>
      <c r="K377">
        <v>100</v>
      </c>
      <c r="L377">
        <v>10700</v>
      </c>
      <c r="M377">
        <v>107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-100</v>
      </c>
      <c r="Y377">
        <v>1</v>
      </c>
      <c r="Z377">
        <v>-100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6360</v>
      </c>
      <c r="AN377" t="str">
        <f t="shared" ref="AN377:AN403" si="94">T("9791190142717")</f>
        <v>9791190142717</v>
      </c>
      <c r="AP377" t="str">
        <f t="shared" ref="AP377:AP403" si="95">T("BL 웹소설 &gt; 현대물")</f>
        <v>BL 웹소설 &gt; 현대물</v>
      </c>
    </row>
    <row r="378" spans="1:42" x14ac:dyDescent="0.4">
      <c r="A378" t="s">
        <v>43</v>
      </c>
      <c r="B378">
        <v>3822000645</v>
      </c>
      <c r="C378">
        <v>3822001045</v>
      </c>
      <c r="D378" t="str">
        <f>T("[연재]방송 켜셔야죠 95화")</f>
        <v>[연재]방송 켜셔야죠 95화</v>
      </c>
      <c r="E378" t="str">
        <f>T("95")</f>
        <v>95</v>
      </c>
      <c r="F378" t="str">
        <f t="shared" si="91"/>
        <v>파란비</v>
      </c>
      <c r="I378" t="str">
        <f t="shared" si="92"/>
        <v>딥블렌드</v>
      </c>
      <c r="J378" t="str">
        <f t="shared" si="93"/>
        <v>[연재]방송 켜셔야죠</v>
      </c>
      <c r="K378">
        <v>100</v>
      </c>
      <c r="L378">
        <v>10700</v>
      </c>
      <c r="M378">
        <v>107</v>
      </c>
      <c r="N378">
        <v>0</v>
      </c>
      <c r="O378">
        <v>0</v>
      </c>
      <c r="P378">
        <v>0</v>
      </c>
      <c r="Q378">
        <v>3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6420</v>
      </c>
      <c r="AN378" t="str">
        <f t="shared" si="94"/>
        <v>9791190142717</v>
      </c>
      <c r="AP378" t="str">
        <f t="shared" si="95"/>
        <v>BL 웹소설 &gt; 현대물</v>
      </c>
    </row>
    <row r="379" spans="1:42" x14ac:dyDescent="0.4">
      <c r="A379" t="s">
        <v>43</v>
      </c>
      <c r="B379">
        <v>3822000645</v>
      </c>
      <c r="C379">
        <v>3822000849</v>
      </c>
      <c r="D379" t="str">
        <f>T("[연재]방송 켜셔야죠 61화")</f>
        <v>[연재]방송 켜셔야죠 61화</v>
      </c>
      <c r="E379" t="str">
        <f>T("61")</f>
        <v>61</v>
      </c>
      <c r="F379" t="str">
        <f t="shared" si="91"/>
        <v>파란비</v>
      </c>
      <c r="I379" t="str">
        <f t="shared" si="92"/>
        <v>딥블렌드</v>
      </c>
      <c r="J379" t="str">
        <f t="shared" si="93"/>
        <v>[연재]방송 켜셔야죠</v>
      </c>
      <c r="K379">
        <v>100</v>
      </c>
      <c r="L379">
        <v>10700</v>
      </c>
      <c r="M379">
        <v>107</v>
      </c>
      <c r="N379">
        <v>0</v>
      </c>
      <c r="O379">
        <v>0</v>
      </c>
      <c r="P379">
        <v>0</v>
      </c>
      <c r="Q379">
        <v>4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6420</v>
      </c>
      <c r="AN379" t="str">
        <f t="shared" si="94"/>
        <v>9791190142717</v>
      </c>
      <c r="AP379" t="str">
        <f t="shared" si="95"/>
        <v>BL 웹소설 &gt; 현대물</v>
      </c>
    </row>
    <row r="380" spans="1:42" x14ac:dyDescent="0.4">
      <c r="A380" t="s">
        <v>43</v>
      </c>
      <c r="B380">
        <v>3822000645</v>
      </c>
      <c r="C380">
        <v>3822000656</v>
      </c>
      <c r="D380" t="str">
        <f>T("[연재]방송 켜셔야죠 12화")</f>
        <v>[연재]방송 켜셔야죠 12화</v>
      </c>
      <c r="E380" t="str">
        <f>T("12")</f>
        <v>12</v>
      </c>
      <c r="F380" t="str">
        <f t="shared" si="91"/>
        <v>파란비</v>
      </c>
      <c r="I380" t="str">
        <f t="shared" si="92"/>
        <v>딥블렌드</v>
      </c>
      <c r="J380" t="str">
        <f t="shared" si="93"/>
        <v>[연재]방송 켜셔야죠</v>
      </c>
      <c r="K380">
        <v>100</v>
      </c>
      <c r="L380">
        <v>10700</v>
      </c>
      <c r="M380">
        <v>107</v>
      </c>
      <c r="N380">
        <v>0</v>
      </c>
      <c r="O380">
        <v>0</v>
      </c>
      <c r="P380">
        <v>0</v>
      </c>
      <c r="Q380">
        <v>47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6420</v>
      </c>
      <c r="AN380" t="str">
        <f t="shared" si="94"/>
        <v>9791190142717</v>
      </c>
      <c r="AP380" t="str">
        <f t="shared" si="95"/>
        <v>BL 웹소설 &gt; 현대물</v>
      </c>
    </row>
    <row r="381" spans="1:42" x14ac:dyDescent="0.4">
      <c r="A381" t="s">
        <v>43</v>
      </c>
      <c r="B381">
        <v>3822000645</v>
      </c>
      <c r="C381">
        <v>3822000714</v>
      </c>
      <c r="D381" t="str">
        <f>T("[연재]방송 켜셔야죠 45화")</f>
        <v>[연재]방송 켜셔야죠 45화</v>
      </c>
      <c r="E381" t="str">
        <f>T("45")</f>
        <v>45</v>
      </c>
      <c r="F381" t="str">
        <f t="shared" si="91"/>
        <v>파란비</v>
      </c>
      <c r="I381" t="str">
        <f t="shared" si="92"/>
        <v>딥블렌드</v>
      </c>
      <c r="J381" t="str">
        <f t="shared" si="93"/>
        <v>[연재]방송 켜셔야죠</v>
      </c>
      <c r="K381">
        <v>100</v>
      </c>
      <c r="L381">
        <v>10700</v>
      </c>
      <c r="M381">
        <v>107</v>
      </c>
      <c r="N381">
        <v>0</v>
      </c>
      <c r="O381">
        <v>0</v>
      </c>
      <c r="P381">
        <v>0</v>
      </c>
      <c r="Q381">
        <v>4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6420</v>
      </c>
      <c r="AN381" t="str">
        <f t="shared" si="94"/>
        <v>9791190142717</v>
      </c>
      <c r="AP381" t="str">
        <f t="shared" si="95"/>
        <v>BL 웹소설 &gt; 현대물</v>
      </c>
    </row>
    <row r="382" spans="1:42" x14ac:dyDescent="0.4">
      <c r="A382" t="s">
        <v>43</v>
      </c>
      <c r="B382">
        <v>3822000645</v>
      </c>
      <c r="C382">
        <v>3822000744</v>
      </c>
      <c r="D382" t="str">
        <f>T("[연재]방송 켜셔야죠 54화")</f>
        <v>[연재]방송 켜셔야죠 54화</v>
      </c>
      <c r="E382" t="str">
        <f>T("54")</f>
        <v>54</v>
      </c>
      <c r="F382" t="str">
        <f t="shared" si="91"/>
        <v>파란비</v>
      </c>
      <c r="I382" t="str">
        <f t="shared" si="92"/>
        <v>딥블렌드</v>
      </c>
      <c r="J382" t="str">
        <f t="shared" si="93"/>
        <v>[연재]방송 켜셔야죠</v>
      </c>
      <c r="K382">
        <v>100</v>
      </c>
      <c r="L382">
        <v>10600</v>
      </c>
      <c r="M382">
        <v>106</v>
      </c>
      <c r="N382">
        <v>0</v>
      </c>
      <c r="O382">
        <v>0</v>
      </c>
      <c r="P382">
        <v>0</v>
      </c>
      <c r="Q382">
        <v>2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-100</v>
      </c>
      <c r="Y382">
        <v>1</v>
      </c>
      <c r="Z382">
        <v>-100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6300</v>
      </c>
      <c r="AN382" t="str">
        <f t="shared" si="94"/>
        <v>9791190142717</v>
      </c>
      <c r="AP382" t="str">
        <f t="shared" si="95"/>
        <v>BL 웹소설 &gt; 현대물</v>
      </c>
    </row>
    <row r="383" spans="1:42" x14ac:dyDescent="0.4">
      <c r="A383" t="s">
        <v>43</v>
      </c>
      <c r="B383">
        <v>3822000645</v>
      </c>
      <c r="C383">
        <v>3822000981</v>
      </c>
      <c r="D383" t="str">
        <f>T("[연재]방송 켜셔야죠 87화")</f>
        <v>[연재]방송 켜셔야죠 87화</v>
      </c>
      <c r="E383" t="str">
        <f>T("87")</f>
        <v>87</v>
      </c>
      <c r="F383" t="str">
        <f t="shared" si="91"/>
        <v>파란비</v>
      </c>
      <c r="I383" t="str">
        <f t="shared" si="92"/>
        <v>딥블렌드</v>
      </c>
      <c r="J383" t="str">
        <f t="shared" si="93"/>
        <v>[연재]방송 켜셔야죠</v>
      </c>
      <c r="K383">
        <v>100</v>
      </c>
      <c r="L383">
        <v>10600</v>
      </c>
      <c r="M383">
        <v>106</v>
      </c>
      <c r="N383">
        <v>0</v>
      </c>
      <c r="O383">
        <v>0</v>
      </c>
      <c r="P383">
        <v>0</v>
      </c>
      <c r="Q383">
        <v>2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6360</v>
      </c>
      <c r="AN383" t="str">
        <f t="shared" si="94"/>
        <v>9791190142717</v>
      </c>
      <c r="AP383" t="str">
        <f t="shared" si="95"/>
        <v>BL 웹소설 &gt; 현대물</v>
      </c>
    </row>
    <row r="384" spans="1:42" x14ac:dyDescent="0.4">
      <c r="A384" t="s">
        <v>43</v>
      </c>
      <c r="B384">
        <v>3822000645</v>
      </c>
      <c r="C384">
        <v>3822000982</v>
      </c>
      <c r="D384" t="str">
        <f>T("[연재]방송 켜셔야죠 88화")</f>
        <v>[연재]방송 켜셔야죠 88화</v>
      </c>
      <c r="E384" t="str">
        <f>T("88")</f>
        <v>88</v>
      </c>
      <c r="F384" t="str">
        <f t="shared" si="91"/>
        <v>파란비</v>
      </c>
      <c r="I384" t="str">
        <f t="shared" si="92"/>
        <v>딥블렌드</v>
      </c>
      <c r="J384" t="str">
        <f t="shared" si="93"/>
        <v>[연재]방송 켜셔야죠</v>
      </c>
      <c r="K384">
        <v>100</v>
      </c>
      <c r="L384">
        <v>10600</v>
      </c>
      <c r="M384">
        <v>106</v>
      </c>
      <c r="N384">
        <v>0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6360</v>
      </c>
      <c r="AN384" t="str">
        <f t="shared" si="94"/>
        <v>9791190142717</v>
      </c>
      <c r="AP384" t="str">
        <f t="shared" si="95"/>
        <v>BL 웹소설 &gt; 현대물</v>
      </c>
    </row>
    <row r="385" spans="1:42" x14ac:dyDescent="0.4">
      <c r="A385" t="s">
        <v>43</v>
      </c>
      <c r="B385">
        <v>3822000645</v>
      </c>
      <c r="C385">
        <v>3822000853</v>
      </c>
      <c r="D385" t="str">
        <f>T("[연재]방송 켜셔야죠 63화")</f>
        <v>[연재]방송 켜셔야죠 63화</v>
      </c>
      <c r="E385" t="str">
        <f>T("63")</f>
        <v>63</v>
      </c>
      <c r="F385" t="str">
        <f t="shared" si="91"/>
        <v>파란비</v>
      </c>
      <c r="I385" t="str">
        <f t="shared" si="92"/>
        <v>딥블렌드</v>
      </c>
      <c r="J385" t="str">
        <f t="shared" si="93"/>
        <v>[연재]방송 켜셔야죠</v>
      </c>
      <c r="K385">
        <v>100</v>
      </c>
      <c r="L385">
        <v>10600</v>
      </c>
      <c r="M385">
        <v>106</v>
      </c>
      <c r="N385">
        <v>0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6360</v>
      </c>
      <c r="AN385" t="str">
        <f t="shared" si="94"/>
        <v>9791190142717</v>
      </c>
      <c r="AP385" t="str">
        <f t="shared" si="95"/>
        <v>BL 웹소설 &gt; 현대물</v>
      </c>
    </row>
    <row r="386" spans="1:42" x14ac:dyDescent="0.4">
      <c r="A386" t="s">
        <v>43</v>
      </c>
      <c r="B386">
        <v>3822000645</v>
      </c>
      <c r="C386">
        <v>3822001053</v>
      </c>
      <c r="D386" t="str">
        <f>T("[연재]방송 켜셔야죠 98화")</f>
        <v>[연재]방송 켜셔야죠 98화</v>
      </c>
      <c r="E386" t="str">
        <f>T("98")</f>
        <v>98</v>
      </c>
      <c r="F386" t="str">
        <f t="shared" si="91"/>
        <v>파란비</v>
      </c>
      <c r="I386" t="str">
        <f t="shared" si="92"/>
        <v>딥블렌드</v>
      </c>
      <c r="J386" t="str">
        <f t="shared" si="93"/>
        <v>[연재]방송 켜셔야죠</v>
      </c>
      <c r="K386">
        <v>100</v>
      </c>
      <c r="L386">
        <v>10600</v>
      </c>
      <c r="M386">
        <v>106</v>
      </c>
      <c r="N386">
        <v>0</v>
      </c>
      <c r="O386">
        <v>0</v>
      </c>
      <c r="P386">
        <v>0</v>
      </c>
      <c r="Q386">
        <v>3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6360</v>
      </c>
      <c r="AN386" t="str">
        <f t="shared" si="94"/>
        <v>9791190142717</v>
      </c>
      <c r="AP386" t="str">
        <f t="shared" si="95"/>
        <v>BL 웹소설 &gt; 현대물</v>
      </c>
    </row>
    <row r="387" spans="1:42" x14ac:dyDescent="0.4">
      <c r="A387" t="s">
        <v>43</v>
      </c>
      <c r="B387">
        <v>3822000645</v>
      </c>
      <c r="C387">
        <v>3822001127</v>
      </c>
      <c r="D387" t="str">
        <f>T("[연재]방송 켜셔야죠 106화")</f>
        <v>[연재]방송 켜셔야죠 106화</v>
      </c>
      <c r="E387" t="str">
        <f>T("106")</f>
        <v>106</v>
      </c>
      <c r="F387" t="str">
        <f t="shared" si="91"/>
        <v>파란비</v>
      </c>
      <c r="I387" t="str">
        <f t="shared" si="92"/>
        <v>딥블렌드</v>
      </c>
      <c r="J387" t="str">
        <f t="shared" si="93"/>
        <v>[연재]방송 켜셔야죠</v>
      </c>
      <c r="K387">
        <v>100</v>
      </c>
      <c r="L387">
        <v>10600</v>
      </c>
      <c r="M387">
        <v>106</v>
      </c>
      <c r="N387">
        <v>0</v>
      </c>
      <c r="O387">
        <v>0</v>
      </c>
      <c r="P387">
        <v>0</v>
      </c>
      <c r="Q387">
        <v>3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-100</v>
      </c>
      <c r="Y387">
        <v>1</v>
      </c>
      <c r="Z387">
        <v>-100</v>
      </c>
      <c r="AA387">
        <v>1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6300</v>
      </c>
      <c r="AN387" t="str">
        <f t="shared" si="94"/>
        <v>9791190142717</v>
      </c>
      <c r="AP387" t="str">
        <f t="shared" si="95"/>
        <v>BL 웹소설 &gt; 현대물</v>
      </c>
    </row>
    <row r="388" spans="1:42" x14ac:dyDescent="0.4">
      <c r="A388" t="s">
        <v>43</v>
      </c>
      <c r="B388">
        <v>3822000645</v>
      </c>
      <c r="C388">
        <v>3822000742</v>
      </c>
      <c r="D388" t="str">
        <f>T("[연재]방송 켜셔야죠 53화")</f>
        <v>[연재]방송 켜셔야죠 53화</v>
      </c>
      <c r="E388" t="str">
        <f>T("53")</f>
        <v>53</v>
      </c>
      <c r="F388" t="str">
        <f t="shared" si="91"/>
        <v>파란비</v>
      </c>
      <c r="I388" t="str">
        <f t="shared" si="92"/>
        <v>딥블렌드</v>
      </c>
      <c r="J388" t="str">
        <f t="shared" si="93"/>
        <v>[연재]방송 켜셔야죠</v>
      </c>
      <c r="K388">
        <v>100</v>
      </c>
      <c r="L388">
        <v>10600</v>
      </c>
      <c r="M388">
        <v>106</v>
      </c>
      <c r="N388">
        <v>0</v>
      </c>
      <c r="O388">
        <v>0</v>
      </c>
      <c r="P388">
        <v>0</v>
      </c>
      <c r="Q388">
        <v>3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-100</v>
      </c>
      <c r="Y388">
        <v>1</v>
      </c>
      <c r="Z388">
        <v>-100</v>
      </c>
      <c r="AA388">
        <v>1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6300</v>
      </c>
      <c r="AN388" t="str">
        <f t="shared" si="94"/>
        <v>9791190142717</v>
      </c>
      <c r="AP388" t="str">
        <f t="shared" si="95"/>
        <v>BL 웹소설 &gt; 현대물</v>
      </c>
    </row>
    <row r="389" spans="1:42" x14ac:dyDescent="0.4">
      <c r="A389" t="s">
        <v>43</v>
      </c>
      <c r="B389">
        <v>3822000645</v>
      </c>
      <c r="C389">
        <v>3822000902</v>
      </c>
      <c r="D389" t="str">
        <f>T("[연재]방송 켜셔야죠 72화")</f>
        <v>[연재]방송 켜셔야죠 72화</v>
      </c>
      <c r="E389" t="str">
        <f>T("72")</f>
        <v>72</v>
      </c>
      <c r="F389" t="str">
        <f t="shared" si="91"/>
        <v>파란비</v>
      </c>
      <c r="I389" t="str">
        <f t="shared" si="92"/>
        <v>딥블렌드</v>
      </c>
      <c r="J389" t="str">
        <f t="shared" si="93"/>
        <v>[연재]방송 켜셔야죠</v>
      </c>
      <c r="K389">
        <v>100</v>
      </c>
      <c r="L389">
        <v>10500</v>
      </c>
      <c r="M389">
        <v>105</v>
      </c>
      <c r="N389">
        <v>0</v>
      </c>
      <c r="O389">
        <v>0</v>
      </c>
      <c r="P389">
        <v>0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-100</v>
      </c>
      <c r="Y389">
        <v>1</v>
      </c>
      <c r="Z389">
        <v>-100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6240</v>
      </c>
      <c r="AN389" t="str">
        <f t="shared" si="94"/>
        <v>9791190142717</v>
      </c>
      <c r="AP389" t="str">
        <f t="shared" si="95"/>
        <v>BL 웹소설 &gt; 현대물</v>
      </c>
    </row>
    <row r="390" spans="1:42" x14ac:dyDescent="0.4">
      <c r="A390" t="s">
        <v>43</v>
      </c>
      <c r="B390">
        <v>3822000645</v>
      </c>
      <c r="C390">
        <v>3822001047</v>
      </c>
      <c r="D390" t="str">
        <f>T("[연재]방송 켜셔야죠 96화")</f>
        <v>[연재]방송 켜셔야죠 96화</v>
      </c>
      <c r="E390" t="str">
        <f>T("96")</f>
        <v>96</v>
      </c>
      <c r="F390" t="str">
        <f t="shared" si="91"/>
        <v>파란비</v>
      </c>
      <c r="I390" t="str">
        <f t="shared" si="92"/>
        <v>딥블렌드</v>
      </c>
      <c r="J390" t="str">
        <f t="shared" si="93"/>
        <v>[연재]방송 켜셔야죠</v>
      </c>
      <c r="K390">
        <v>100</v>
      </c>
      <c r="L390">
        <v>10500</v>
      </c>
      <c r="M390">
        <v>105</v>
      </c>
      <c r="N390">
        <v>0</v>
      </c>
      <c r="O390">
        <v>0</v>
      </c>
      <c r="P390">
        <v>0</v>
      </c>
      <c r="Q390">
        <v>2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6300</v>
      </c>
      <c r="AN390" t="str">
        <f t="shared" si="94"/>
        <v>9791190142717</v>
      </c>
      <c r="AP390" t="str">
        <f t="shared" si="95"/>
        <v>BL 웹소설 &gt; 현대물</v>
      </c>
    </row>
    <row r="391" spans="1:42" x14ac:dyDescent="0.4">
      <c r="A391" t="s">
        <v>43</v>
      </c>
      <c r="B391">
        <v>3822000645</v>
      </c>
      <c r="C391">
        <v>3822000954</v>
      </c>
      <c r="D391" t="str">
        <f>T("[연재]방송 켜셔야죠 82화")</f>
        <v>[연재]방송 켜셔야죠 82화</v>
      </c>
      <c r="E391" t="str">
        <f>T("82")</f>
        <v>82</v>
      </c>
      <c r="F391" t="str">
        <f t="shared" si="91"/>
        <v>파란비</v>
      </c>
      <c r="I391" t="str">
        <f t="shared" si="92"/>
        <v>딥블렌드</v>
      </c>
      <c r="J391" t="str">
        <f t="shared" si="93"/>
        <v>[연재]방송 켜셔야죠</v>
      </c>
      <c r="K391">
        <v>100</v>
      </c>
      <c r="L391">
        <v>10500</v>
      </c>
      <c r="M391">
        <v>105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6300</v>
      </c>
      <c r="AN391" t="str">
        <f t="shared" si="94"/>
        <v>9791190142717</v>
      </c>
      <c r="AP391" t="str">
        <f t="shared" si="95"/>
        <v>BL 웹소설 &gt; 현대물</v>
      </c>
    </row>
    <row r="392" spans="1:42" x14ac:dyDescent="0.4">
      <c r="A392" t="s">
        <v>43</v>
      </c>
      <c r="B392">
        <v>3822000645</v>
      </c>
      <c r="C392">
        <v>3822000658</v>
      </c>
      <c r="D392" t="str">
        <f>T("[연재]방송 켜셔야죠 14화")</f>
        <v>[연재]방송 켜셔야죠 14화</v>
      </c>
      <c r="E392" t="str">
        <f>T("14")</f>
        <v>14</v>
      </c>
      <c r="F392" t="str">
        <f t="shared" si="91"/>
        <v>파란비</v>
      </c>
      <c r="I392" t="str">
        <f t="shared" si="92"/>
        <v>딥블렌드</v>
      </c>
      <c r="J392" t="str">
        <f t="shared" si="93"/>
        <v>[연재]방송 켜셔야죠</v>
      </c>
      <c r="K392">
        <v>100</v>
      </c>
      <c r="L392">
        <v>10500</v>
      </c>
      <c r="M392">
        <v>105</v>
      </c>
      <c r="N392">
        <v>0</v>
      </c>
      <c r="O392">
        <v>0</v>
      </c>
      <c r="P392">
        <v>0</v>
      </c>
      <c r="Q392">
        <v>46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6300</v>
      </c>
      <c r="AN392" t="str">
        <f t="shared" si="94"/>
        <v>9791190142717</v>
      </c>
      <c r="AP392" t="str">
        <f t="shared" si="95"/>
        <v>BL 웹소설 &gt; 현대물</v>
      </c>
    </row>
    <row r="393" spans="1:42" x14ac:dyDescent="0.4">
      <c r="A393" t="s">
        <v>43</v>
      </c>
      <c r="B393">
        <v>3822000645</v>
      </c>
      <c r="C393">
        <v>3822000891</v>
      </c>
      <c r="D393" t="str">
        <f>T("[연재]방송 켜셔야죠 69화")</f>
        <v>[연재]방송 켜셔야죠 69화</v>
      </c>
      <c r="E393" t="str">
        <f>T("69")</f>
        <v>69</v>
      </c>
      <c r="F393" t="str">
        <f t="shared" si="91"/>
        <v>파란비</v>
      </c>
      <c r="I393" t="str">
        <f t="shared" si="92"/>
        <v>딥블렌드</v>
      </c>
      <c r="J393" t="str">
        <f t="shared" si="93"/>
        <v>[연재]방송 켜셔야죠</v>
      </c>
      <c r="K393">
        <v>100</v>
      </c>
      <c r="L393">
        <v>10400</v>
      </c>
      <c r="M393">
        <v>104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6240</v>
      </c>
      <c r="AN393" t="str">
        <f t="shared" si="94"/>
        <v>9791190142717</v>
      </c>
      <c r="AP393" t="str">
        <f t="shared" si="95"/>
        <v>BL 웹소설 &gt; 현대물</v>
      </c>
    </row>
    <row r="394" spans="1:42" x14ac:dyDescent="0.4">
      <c r="A394" t="s">
        <v>43</v>
      </c>
      <c r="B394">
        <v>3822000645</v>
      </c>
      <c r="C394">
        <v>3822000963</v>
      </c>
      <c r="D394" t="str">
        <f>T("[연재]방송 켜셔야죠 83화")</f>
        <v>[연재]방송 켜셔야죠 83화</v>
      </c>
      <c r="E394" t="str">
        <f>T("83")</f>
        <v>83</v>
      </c>
      <c r="F394" t="str">
        <f t="shared" si="91"/>
        <v>파란비</v>
      </c>
      <c r="I394" t="str">
        <f t="shared" si="92"/>
        <v>딥블렌드</v>
      </c>
      <c r="J394" t="str">
        <f t="shared" si="93"/>
        <v>[연재]방송 켜셔야죠</v>
      </c>
      <c r="K394">
        <v>100</v>
      </c>
      <c r="L394">
        <v>10400</v>
      </c>
      <c r="M394">
        <v>104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6240</v>
      </c>
      <c r="AN394" t="str">
        <f t="shared" si="94"/>
        <v>9791190142717</v>
      </c>
      <c r="AP394" t="str">
        <f t="shared" si="95"/>
        <v>BL 웹소설 &gt; 현대물</v>
      </c>
    </row>
    <row r="395" spans="1:42" x14ac:dyDescent="0.4">
      <c r="A395" t="s">
        <v>43</v>
      </c>
      <c r="B395">
        <v>3822000645</v>
      </c>
      <c r="C395">
        <v>3822000979</v>
      </c>
      <c r="D395" t="str">
        <f>T("[연재]방송 켜셔야죠 86화")</f>
        <v>[연재]방송 켜셔야죠 86화</v>
      </c>
      <c r="E395" t="str">
        <f>T("86")</f>
        <v>86</v>
      </c>
      <c r="F395" t="str">
        <f t="shared" si="91"/>
        <v>파란비</v>
      </c>
      <c r="I395" t="str">
        <f t="shared" si="92"/>
        <v>딥블렌드</v>
      </c>
      <c r="J395" t="str">
        <f t="shared" si="93"/>
        <v>[연재]방송 켜셔야죠</v>
      </c>
      <c r="K395">
        <v>100</v>
      </c>
      <c r="L395">
        <v>10400</v>
      </c>
      <c r="M395">
        <v>104</v>
      </c>
      <c r="N395">
        <v>0</v>
      </c>
      <c r="O395">
        <v>0</v>
      </c>
      <c r="P395">
        <v>0</v>
      </c>
      <c r="Q395">
        <v>2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6240</v>
      </c>
      <c r="AN395" t="str">
        <f t="shared" si="94"/>
        <v>9791190142717</v>
      </c>
      <c r="AP395" t="str">
        <f t="shared" si="95"/>
        <v>BL 웹소설 &gt; 현대물</v>
      </c>
    </row>
    <row r="396" spans="1:42" x14ac:dyDescent="0.4">
      <c r="A396" t="s">
        <v>43</v>
      </c>
      <c r="B396">
        <v>3822000645</v>
      </c>
      <c r="C396">
        <v>3822001051</v>
      </c>
      <c r="D396" t="str">
        <f>T("[연재]방송 켜셔야죠 97화")</f>
        <v>[연재]방송 켜셔야죠 97화</v>
      </c>
      <c r="E396" t="str">
        <f>T("97")</f>
        <v>97</v>
      </c>
      <c r="F396" t="str">
        <f t="shared" si="91"/>
        <v>파란비</v>
      </c>
      <c r="I396" t="str">
        <f t="shared" si="92"/>
        <v>딥블렌드</v>
      </c>
      <c r="J396" t="str">
        <f t="shared" si="93"/>
        <v>[연재]방송 켜셔야죠</v>
      </c>
      <c r="K396">
        <v>100</v>
      </c>
      <c r="L396">
        <v>10400</v>
      </c>
      <c r="M396">
        <v>104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6240</v>
      </c>
      <c r="AN396" t="str">
        <f t="shared" si="94"/>
        <v>9791190142717</v>
      </c>
      <c r="AP396" t="str">
        <f t="shared" si="95"/>
        <v>BL 웹소설 &gt; 현대물</v>
      </c>
    </row>
    <row r="397" spans="1:42" x14ac:dyDescent="0.4">
      <c r="A397" t="s">
        <v>43</v>
      </c>
      <c r="B397">
        <v>3822000645</v>
      </c>
      <c r="C397">
        <v>3822000881</v>
      </c>
      <c r="D397" t="str">
        <f>T("[연재]방송 켜셔야죠 66화")</f>
        <v>[연재]방송 켜셔야죠 66화</v>
      </c>
      <c r="E397" t="str">
        <f>T("66")</f>
        <v>66</v>
      </c>
      <c r="F397" t="str">
        <f t="shared" si="91"/>
        <v>파란비</v>
      </c>
      <c r="I397" t="str">
        <f t="shared" si="92"/>
        <v>딥블렌드</v>
      </c>
      <c r="J397" t="str">
        <f t="shared" si="93"/>
        <v>[연재]방송 켜셔야죠</v>
      </c>
      <c r="K397">
        <v>100</v>
      </c>
      <c r="L397">
        <v>10400</v>
      </c>
      <c r="M397">
        <v>104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6240</v>
      </c>
      <c r="AN397" t="str">
        <f t="shared" si="94"/>
        <v>9791190142717</v>
      </c>
      <c r="AP397" t="str">
        <f t="shared" si="95"/>
        <v>BL 웹소설 &gt; 현대물</v>
      </c>
    </row>
    <row r="398" spans="1:42" x14ac:dyDescent="0.4">
      <c r="A398" t="s">
        <v>43</v>
      </c>
      <c r="B398">
        <v>3822000645</v>
      </c>
      <c r="C398">
        <v>3822000905</v>
      </c>
      <c r="D398" t="str">
        <f>T("[연재]방송 켜셔야죠 73화")</f>
        <v>[연재]방송 켜셔야죠 73화</v>
      </c>
      <c r="E398" t="str">
        <f>T("73")</f>
        <v>73</v>
      </c>
      <c r="F398" t="str">
        <f t="shared" si="91"/>
        <v>파란비</v>
      </c>
      <c r="I398" t="str">
        <f t="shared" si="92"/>
        <v>딥블렌드</v>
      </c>
      <c r="J398" t="str">
        <f t="shared" si="93"/>
        <v>[연재]방송 켜셔야죠</v>
      </c>
      <c r="K398">
        <v>100</v>
      </c>
      <c r="L398">
        <v>10300</v>
      </c>
      <c r="M398">
        <v>103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-100</v>
      </c>
      <c r="Y398">
        <v>1</v>
      </c>
      <c r="Z398">
        <v>-100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6120</v>
      </c>
      <c r="AN398" t="str">
        <f t="shared" si="94"/>
        <v>9791190142717</v>
      </c>
      <c r="AP398" t="str">
        <f t="shared" si="95"/>
        <v>BL 웹소설 &gt; 현대물</v>
      </c>
    </row>
    <row r="399" spans="1:42" x14ac:dyDescent="0.4">
      <c r="A399" t="s">
        <v>43</v>
      </c>
      <c r="B399">
        <v>3822000645</v>
      </c>
      <c r="C399">
        <v>3822000950</v>
      </c>
      <c r="D399" t="str">
        <f>T("[연재]방송 켜셔야죠 80화")</f>
        <v>[연재]방송 켜셔야죠 80화</v>
      </c>
      <c r="E399" t="str">
        <f>T("80")</f>
        <v>80</v>
      </c>
      <c r="F399" t="str">
        <f t="shared" si="91"/>
        <v>파란비</v>
      </c>
      <c r="I399" t="str">
        <f t="shared" si="92"/>
        <v>딥블렌드</v>
      </c>
      <c r="J399" t="str">
        <f t="shared" si="93"/>
        <v>[연재]방송 켜셔야죠</v>
      </c>
      <c r="K399">
        <v>100</v>
      </c>
      <c r="L399">
        <v>10300</v>
      </c>
      <c r="M399">
        <v>103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6180</v>
      </c>
      <c r="AN399" t="str">
        <f t="shared" si="94"/>
        <v>9791190142717</v>
      </c>
      <c r="AP399" t="str">
        <f t="shared" si="95"/>
        <v>BL 웹소설 &gt; 현대물</v>
      </c>
    </row>
    <row r="400" spans="1:42" x14ac:dyDescent="0.4">
      <c r="A400" t="s">
        <v>43</v>
      </c>
      <c r="B400">
        <v>3822000645</v>
      </c>
      <c r="C400">
        <v>3822000965</v>
      </c>
      <c r="D400" t="str">
        <f>T("[연재]방송 켜셔야죠 84화")</f>
        <v>[연재]방송 켜셔야죠 84화</v>
      </c>
      <c r="E400" t="str">
        <f>T("84")</f>
        <v>84</v>
      </c>
      <c r="F400" t="str">
        <f t="shared" si="91"/>
        <v>파란비</v>
      </c>
      <c r="I400" t="str">
        <f t="shared" si="92"/>
        <v>딥블렌드</v>
      </c>
      <c r="J400" t="str">
        <f t="shared" si="93"/>
        <v>[연재]방송 켜셔야죠</v>
      </c>
      <c r="K400">
        <v>100</v>
      </c>
      <c r="L400">
        <v>10300</v>
      </c>
      <c r="M400">
        <v>103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6180</v>
      </c>
      <c r="AN400" t="str">
        <f t="shared" si="94"/>
        <v>9791190142717</v>
      </c>
      <c r="AP400" t="str">
        <f t="shared" si="95"/>
        <v>BL 웹소설 &gt; 현대물</v>
      </c>
    </row>
    <row r="401" spans="1:42" x14ac:dyDescent="0.4">
      <c r="A401" t="s">
        <v>43</v>
      </c>
      <c r="B401">
        <v>3822000645</v>
      </c>
      <c r="C401">
        <v>3822000924</v>
      </c>
      <c r="D401" t="str">
        <f>T("[연재]방송 켜셔야죠 76화")</f>
        <v>[연재]방송 켜셔야죠 76화</v>
      </c>
      <c r="E401" t="str">
        <f>T("76")</f>
        <v>76</v>
      </c>
      <c r="F401" t="str">
        <f t="shared" si="91"/>
        <v>파란비</v>
      </c>
      <c r="I401" t="str">
        <f t="shared" si="92"/>
        <v>딥블렌드</v>
      </c>
      <c r="J401" t="str">
        <f t="shared" si="93"/>
        <v>[연재]방송 켜셔야죠</v>
      </c>
      <c r="K401">
        <v>100</v>
      </c>
      <c r="L401">
        <v>10300</v>
      </c>
      <c r="M401">
        <v>103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-100</v>
      </c>
      <c r="Y401">
        <v>1</v>
      </c>
      <c r="Z401">
        <v>-100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6120</v>
      </c>
      <c r="AN401" t="str">
        <f t="shared" si="94"/>
        <v>9791190142717</v>
      </c>
      <c r="AP401" t="str">
        <f t="shared" si="95"/>
        <v>BL 웹소설 &gt; 현대물</v>
      </c>
    </row>
    <row r="402" spans="1:42" x14ac:dyDescent="0.4">
      <c r="A402" t="s">
        <v>43</v>
      </c>
      <c r="B402">
        <v>3822000645</v>
      </c>
      <c r="C402">
        <v>3822000657</v>
      </c>
      <c r="D402" t="str">
        <f>T("[연재]방송 켜셔야죠 13화")</f>
        <v>[연재]방송 켜셔야죠 13화</v>
      </c>
      <c r="E402" t="str">
        <f>T("13")</f>
        <v>13</v>
      </c>
      <c r="F402" t="str">
        <f t="shared" si="91"/>
        <v>파란비</v>
      </c>
      <c r="I402" t="str">
        <f t="shared" si="92"/>
        <v>딥블렌드</v>
      </c>
      <c r="J402" t="str">
        <f t="shared" si="93"/>
        <v>[연재]방송 켜셔야죠</v>
      </c>
      <c r="K402">
        <v>100</v>
      </c>
      <c r="L402">
        <v>10300</v>
      </c>
      <c r="M402">
        <v>103</v>
      </c>
      <c r="N402">
        <v>0</v>
      </c>
      <c r="O402">
        <v>0</v>
      </c>
      <c r="P402">
        <v>0</v>
      </c>
      <c r="Q402">
        <v>52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6180</v>
      </c>
      <c r="AN402" t="str">
        <f t="shared" si="94"/>
        <v>9791190142717</v>
      </c>
      <c r="AP402" t="str">
        <f t="shared" si="95"/>
        <v>BL 웹소설 &gt; 현대물</v>
      </c>
    </row>
    <row r="403" spans="1:42" x14ac:dyDescent="0.4">
      <c r="A403" t="s">
        <v>43</v>
      </c>
      <c r="B403">
        <v>3822000645</v>
      </c>
      <c r="C403">
        <v>3822000901</v>
      </c>
      <c r="D403" t="str">
        <f>T("[연재]방송 켜셔야죠 71화")</f>
        <v>[연재]방송 켜셔야죠 71화</v>
      </c>
      <c r="E403" t="str">
        <f>T("71")</f>
        <v>71</v>
      </c>
      <c r="F403" t="str">
        <f t="shared" si="91"/>
        <v>파란비</v>
      </c>
      <c r="I403" t="str">
        <f t="shared" si="92"/>
        <v>딥블렌드</v>
      </c>
      <c r="J403" t="str">
        <f t="shared" si="93"/>
        <v>[연재]방송 켜셔야죠</v>
      </c>
      <c r="K403">
        <v>100</v>
      </c>
      <c r="L403">
        <v>10300</v>
      </c>
      <c r="M403">
        <v>103</v>
      </c>
      <c r="N403">
        <v>0</v>
      </c>
      <c r="O403">
        <v>0</v>
      </c>
      <c r="P403">
        <v>0</v>
      </c>
      <c r="Q403">
        <v>1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-100</v>
      </c>
      <c r="Y403">
        <v>1</v>
      </c>
      <c r="Z403">
        <v>-100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6120</v>
      </c>
      <c r="AN403" t="str">
        <f t="shared" si="94"/>
        <v>9791190142717</v>
      </c>
      <c r="AP403" t="str">
        <f t="shared" si="95"/>
        <v>BL 웹소설 &gt; 현대물</v>
      </c>
    </row>
    <row r="404" spans="1:42" x14ac:dyDescent="0.4">
      <c r="A404" t="s">
        <v>43</v>
      </c>
      <c r="B404">
        <v>3822000994</v>
      </c>
      <c r="C404">
        <v>3822000999</v>
      </c>
      <c r="D404" t="str">
        <f>T("[연재]후회 없게 해 드립니다 6화")</f>
        <v>[연재]후회 없게 해 드립니다 6화</v>
      </c>
      <c r="E404" t="str">
        <f>T("6")</f>
        <v>6</v>
      </c>
      <c r="F404" t="str">
        <f>T("소하")</f>
        <v>소하</v>
      </c>
      <c r="I404" t="str">
        <f>T("비포선셋")</f>
        <v>비포선셋</v>
      </c>
      <c r="J404" t="str">
        <f>T("[연재]후회 없게 해 드립니다")</f>
        <v>[연재]후회 없게 해 드립니다</v>
      </c>
      <c r="K404">
        <v>100</v>
      </c>
      <c r="L404">
        <v>10300</v>
      </c>
      <c r="M404">
        <v>103</v>
      </c>
      <c r="N404">
        <v>0</v>
      </c>
      <c r="O404">
        <v>0</v>
      </c>
      <c r="P404">
        <v>0</v>
      </c>
      <c r="Q404">
        <v>232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-200</v>
      </c>
      <c r="Y404">
        <v>2</v>
      </c>
      <c r="Z404">
        <v>-200</v>
      </c>
      <c r="AA404">
        <v>2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6060</v>
      </c>
      <c r="AN404" t="str">
        <f>T("9791190142953")</f>
        <v>9791190142953</v>
      </c>
      <c r="AP404" t="str">
        <f>T("로맨스 웹소설 &gt; 판타지물")</f>
        <v>로맨스 웹소설 &gt; 판타지물</v>
      </c>
    </row>
    <row r="405" spans="1:42" x14ac:dyDescent="0.4">
      <c r="A405" t="s">
        <v>43</v>
      </c>
      <c r="B405">
        <v>3822000645</v>
      </c>
      <c r="C405">
        <v>3822000886</v>
      </c>
      <c r="D405" t="str">
        <f>T("[연재]방송 켜셔야죠 67화")</f>
        <v>[연재]방송 켜셔야죠 67화</v>
      </c>
      <c r="E405" t="str">
        <f>T("67")</f>
        <v>67</v>
      </c>
      <c r="F405" t="str">
        <f>T("파란비")</f>
        <v>파란비</v>
      </c>
      <c r="I405" t="str">
        <f>T("딥블렌드")</f>
        <v>딥블렌드</v>
      </c>
      <c r="J405" t="str">
        <f>T("[연재]방송 켜셔야죠")</f>
        <v>[연재]방송 켜셔야죠</v>
      </c>
      <c r="K405">
        <v>100</v>
      </c>
      <c r="L405">
        <v>10200</v>
      </c>
      <c r="M405">
        <v>102</v>
      </c>
      <c r="N405">
        <v>0</v>
      </c>
      <c r="O405">
        <v>0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6120</v>
      </c>
      <c r="AN405" t="str">
        <f>T("9791190142717")</f>
        <v>9791190142717</v>
      </c>
      <c r="AP405" t="str">
        <f>T("BL 웹소설 &gt; 현대물")</f>
        <v>BL 웹소설 &gt; 현대물</v>
      </c>
    </row>
    <row r="406" spans="1:42" x14ac:dyDescent="0.4">
      <c r="A406" t="s">
        <v>43</v>
      </c>
      <c r="B406">
        <v>3822000645</v>
      </c>
      <c r="C406">
        <v>3822000735</v>
      </c>
      <c r="D406" t="str">
        <f>T("[연재]방송 켜셔야죠 51화")</f>
        <v>[연재]방송 켜셔야죠 51화</v>
      </c>
      <c r="E406" t="str">
        <f>T("51")</f>
        <v>51</v>
      </c>
      <c r="F406" t="str">
        <f>T("파란비")</f>
        <v>파란비</v>
      </c>
      <c r="I406" t="str">
        <f>T("딥블렌드")</f>
        <v>딥블렌드</v>
      </c>
      <c r="J406" t="str">
        <f>T("[연재]방송 켜셔야죠")</f>
        <v>[연재]방송 켜셔야죠</v>
      </c>
      <c r="K406">
        <v>100</v>
      </c>
      <c r="L406">
        <v>10200</v>
      </c>
      <c r="M406">
        <v>102</v>
      </c>
      <c r="N406">
        <v>0</v>
      </c>
      <c r="O406">
        <v>0</v>
      </c>
      <c r="P406">
        <v>0</v>
      </c>
      <c r="Q406">
        <v>3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-100</v>
      </c>
      <c r="Y406">
        <v>1</v>
      </c>
      <c r="Z406">
        <v>-100</v>
      </c>
      <c r="AA406">
        <v>1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6060</v>
      </c>
      <c r="AN406" t="str">
        <f>T("9791190142717")</f>
        <v>9791190142717</v>
      </c>
      <c r="AP406" t="str">
        <f>T("BL 웹소설 &gt; 현대물")</f>
        <v>BL 웹소설 &gt; 현대물</v>
      </c>
    </row>
    <row r="407" spans="1:42" x14ac:dyDescent="0.4">
      <c r="A407" t="s">
        <v>43</v>
      </c>
      <c r="B407">
        <v>3822000645</v>
      </c>
      <c r="C407">
        <v>3822000737</v>
      </c>
      <c r="D407" t="str">
        <f>T("[연재]방송 켜셔야죠 52화")</f>
        <v>[연재]방송 켜셔야죠 52화</v>
      </c>
      <c r="E407" t="str">
        <f>T("52")</f>
        <v>52</v>
      </c>
      <c r="F407" t="str">
        <f>T("파란비")</f>
        <v>파란비</v>
      </c>
      <c r="I407" t="str">
        <f>T("딥블렌드")</f>
        <v>딥블렌드</v>
      </c>
      <c r="J407" t="str">
        <f>T("[연재]방송 켜셔야죠")</f>
        <v>[연재]방송 켜셔야죠</v>
      </c>
      <c r="K407">
        <v>100</v>
      </c>
      <c r="L407">
        <v>10200</v>
      </c>
      <c r="M407">
        <v>102</v>
      </c>
      <c r="N407">
        <v>0</v>
      </c>
      <c r="O407">
        <v>0</v>
      </c>
      <c r="P407">
        <v>0</v>
      </c>
      <c r="Q407">
        <v>2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-200</v>
      </c>
      <c r="Y407">
        <v>2</v>
      </c>
      <c r="Z407">
        <v>-200</v>
      </c>
      <c r="AA407">
        <v>2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6000</v>
      </c>
      <c r="AN407" t="str">
        <f>T("9791190142717")</f>
        <v>9791190142717</v>
      </c>
      <c r="AP407" t="str">
        <f>T("BL 웹소설 &gt; 현대물")</f>
        <v>BL 웹소설 &gt; 현대물</v>
      </c>
    </row>
    <row r="408" spans="1:42" x14ac:dyDescent="0.4">
      <c r="A408" t="s">
        <v>43</v>
      </c>
      <c r="B408">
        <v>3822000645</v>
      </c>
      <c r="C408">
        <v>3822000894</v>
      </c>
      <c r="D408" t="str">
        <f>T("[연재]방송 켜셔야죠 70화")</f>
        <v>[연재]방송 켜셔야죠 70화</v>
      </c>
      <c r="E408" t="str">
        <f>T("70")</f>
        <v>70</v>
      </c>
      <c r="F408" t="str">
        <f>T("파란비")</f>
        <v>파란비</v>
      </c>
      <c r="I408" t="str">
        <f>T("딥블렌드")</f>
        <v>딥블렌드</v>
      </c>
      <c r="J408" t="str">
        <f>T("[연재]방송 켜셔야죠")</f>
        <v>[연재]방송 켜셔야죠</v>
      </c>
      <c r="K408">
        <v>100</v>
      </c>
      <c r="L408">
        <v>10200</v>
      </c>
      <c r="M408">
        <v>102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6120</v>
      </c>
      <c r="AN408" t="str">
        <f>T("9791190142717")</f>
        <v>9791190142717</v>
      </c>
      <c r="AP408" t="str">
        <f>T("BL 웹소설 &gt; 현대물")</f>
        <v>BL 웹소설 &gt; 현대물</v>
      </c>
    </row>
    <row r="409" spans="1:42" x14ac:dyDescent="0.4">
      <c r="A409" t="s">
        <v>43</v>
      </c>
      <c r="B409">
        <v>3822000994</v>
      </c>
      <c r="C409">
        <v>3822001008</v>
      </c>
      <c r="D409" t="str">
        <f>T("[연재]후회 없게 해 드립니다 15화")</f>
        <v>[연재]후회 없게 해 드립니다 15화</v>
      </c>
      <c r="E409" t="str">
        <f>T("15")</f>
        <v>15</v>
      </c>
      <c r="F409" t="str">
        <f>T("소하")</f>
        <v>소하</v>
      </c>
      <c r="I409" t="str">
        <f>T("비포선셋")</f>
        <v>비포선셋</v>
      </c>
      <c r="J409" t="str">
        <f>T("[연재]후회 없게 해 드립니다")</f>
        <v>[연재]후회 없게 해 드립니다</v>
      </c>
      <c r="K409">
        <v>100</v>
      </c>
      <c r="L409">
        <v>10200</v>
      </c>
      <c r="M409">
        <v>102</v>
      </c>
      <c r="N409">
        <v>0</v>
      </c>
      <c r="O409">
        <v>0</v>
      </c>
      <c r="P409">
        <v>0</v>
      </c>
      <c r="Q409">
        <v>5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-200</v>
      </c>
      <c r="Y409">
        <v>2</v>
      </c>
      <c r="Z409">
        <v>-200</v>
      </c>
      <c r="AA409">
        <v>2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6000</v>
      </c>
      <c r="AN409" t="str">
        <f>T("9791190142953")</f>
        <v>9791190142953</v>
      </c>
      <c r="AP409" t="str">
        <f>T("로맨스 웹소설 &gt; 판타지물")</f>
        <v>로맨스 웹소설 &gt; 판타지물</v>
      </c>
    </row>
    <row r="410" spans="1:42" x14ac:dyDescent="0.4">
      <c r="A410" t="s">
        <v>43</v>
      </c>
      <c r="B410">
        <v>3822000645</v>
      </c>
      <c r="C410">
        <v>3822000971</v>
      </c>
      <c r="D410" t="str">
        <f>T("[연재]방송 켜셔야죠 85화")</f>
        <v>[연재]방송 켜셔야죠 85화</v>
      </c>
      <c r="E410" t="str">
        <f>T("85")</f>
        <v>85</v>
      </c>
      <c r="F410" t="str">
        <f>T("파란비")</f>
        <v>파란비</v>
      </c>
      <c r="I410" t="str">
        <f>T("딥블렌드")</f>
        <v>딥블렌드</v>
      </c>
      <c r="J410" t="str">
        <f>T("[연재]방송 켜셔야죠")</f>
        <v>[연재]방송 켜셔야죠</v>
      </c>
      <c r="K410">
        <v>100</v>
      </c>
      <c r="L410">
        <v>10100</v>
      </c>
      <c r="M410">
        <v>101</v>
      </c>
      <c r="N410">
        <v>0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6060</v>
      </c>
      <c r="AN410" t="str">
        <f>T("9791190142717")</f>
        <v>9791190142717</v>
      </c>
      <c r="AP410" t="str">
        <f>T("BL 웹소설 &gt; 현대물")</f>
        <v>BL 웹소설 &gt; 현대물</v>
      </c>
    </row>
    <row r="411" spans="1:42" x14ac:dyDescent="0.4">
      <c r="A411" t="s">
        <v>43</v>
      </c>
      <c r="B411">
        <v>3822000645</v>
      </c>
      <c r="C411">
        <v>3822000888</v>
      </c>
      <c r="D411" t="str">
        <f>T("[연재]방송 켜셔야죠 68화")</f>
        <v>[연재]방송 켜셔야죠 68화</v>
      </c>
      <c r="E411" t="str">
        <f>T("68")</f>
        <v>68</v>
      </c>
      <c r="F411" t="str">
        <f>T("파란비")</f>
        <v>파란비</v>
      </c>
      <c r="I411" t="str">
        <f>T("딥블렌드")</f>
        <v>딥블렌드</v>
      </c>
      <c r="J411" t="str">
        <f>T("[연재]방송 켜셔야죠")</f>
        <v>[연재]방송 켜셔야죠</v>
      </c>
      <c r="K411">
        <v>100</v>
      </c>
      <c r="L411">
        <v>10100</v>
      </c>
      <c r="M411">
        <v>101</v>
      </c>
      <c r="N411">
        <v>0</v>
      </c>
      <c r="O411">
        <v>0</v>
      </c>
      <c r="P411">
        <v>0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6060</v>
      </c>
      <c r="AN411" t="str">
        <f>T("9791190142717")</f>
        <v>9791190142717</v>
      </c>
      <c r="AP411" t="str">
        <f>T("BL 웹소설 &gt; 현대물")</f>
        <v>BL 웹소설 &gt; 현대물</v>
      </c>
    </row>
    <row r="412" spans="1:42" x14ac:dyDescent="0.4">
      <c r="A412" t="s">
        <v>43</v>
      </c>
      <c r="B412">
        <v>3822000645</v>
      </c>
      <c r="C412">
        <v>3822000906</v>
      </c>
      <c r="D412" t="str">
        <f>T("[연재]방송 켜셔야죠 74화")</f>
        <v>[연재]방송 켜셔야죠 74화</v>
      </c>
      <c r="E412" t="str">
        <f>T("74")</f>
        <v>74</v>
      </c>
      <c r="F412" t="str">
        <f>T("파란비")</f>
        <v>파란비</v>
      </c>
      <c r="I412" t="str">
        <f>T("딥블렌드")</f>
        <v>딥블렌드</v>
      </c>
      <c r="J412" t="str">
        <f>T("[연재]방송 켜셔야죠")</f>
        <v>[연재]방송 켜셔야죠</v>
      </c>
      <c r="K412">
        <v>100</v>
      </c>
      <c r="L412">
        <v>10100</v>
      </c>
      <c r="M412">
        <v>101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6060</v>
      </c>
      <c r="AN412" t="str">
        <f>T("9791190142717")</f>
        <v>9791190142717</v>
      </c>
      <c r="AP412" t="str">
        <f>T("BL 웹소설 &gt; 현대물")</f>
        <v>BL 웹소설 &gt; 현대물</v>
      </c>
    </row>
    <row r="413" spans="1:42" x14ac:dyDescent="0.4">
      <c r="A413" t="s">
        <v>43</v>
      </c>
      <c r="B413">
        <v>3822000645</v>
      </c>
      <c r="C413">
        <v>3822000723</v>
      </c>
      <c r="D413" t="str">
        <f>T("[연재]방송 켜셔야죠 48화")</f>
        <v>[연재]방송 켜셔야죠 48화</v>
      </c>
      <c r="E413" t="str">
        <f>T("48")</f>
        <v>48</v>
      </c>
      <c r="F413" t="str">
        <f>T("파란비")</f>
        <v>파란비</v>
      </c>
      <c r="I413" t="str">
        <f>T("딥블렌드")</f>
        <v>딥블렌드</v>
      </c>
      <c r="J413" t="str">
        <f>T("[연재]방송 켜셔야죠")</f>
        <v>[연재]방송 켜셔야죠</v>
      </c>
      <c r="K413">
        <v>100</v>
      </c>
      <c r="L413">
        <v>10100</v>
      </c>
      <c r="M413">
        <v>101</v>
      </c>
      <c r="N413">
        <v>0</v>
      </c>
      <c r="O413">
        <v>0</v>
      </c>
      <c r="P413">
        <v>0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-100</v>
      </c>
      <c r="Y413">
        <v>1</v>
      </c>
      <c r="Z413">
        <v>-100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6000</v>
      </c>
      <c r="AN413" t="str">
        <f>T("9791190142717")</f>
        <v>9791190142717</v>
      </c>
      <c r="AP413" t="str">
        <f>T("BL 웹소설 &gt; 현대물")</f>
        <v>BL 웹소설 &gt; 현대물</v>
      </c>
    </row>
    <row r="414" spans="1:42" x14ac:dyDescent="0.4">
      <c r="A414" t="s">
        <v>43</v>
      </c>
      <c r="B414">
        <v>3822000645</v>
      </c>
      <c r="C414">
        <v>3822000952</v>
      </c>
      <c r="D414" t="str">
        <f>T("[연재]방송 켜셔야죠 81화")</f>
        <v>[연재]방송 켜셔야죠 81화</v>
      </c>
      <c r="E414" t="str">
        <f>T("81")</f>
        <v>81</v>
      </c>
      <c r="F414" t="str">
        <f>T("파란비")</f>
        <v>파란비</v>
      </c>
      <c r="I414" t="str">
        <f>T("딥블렌드")</f>
        <v>딥블렌드</v>
      </c>
      <c r="J414" t="str">
        <f>T("[연재]방송 켜셔야죠")</f>
        <v>[연재]방송 켜셔야죠</v>
      </c>
      <c r="K414">
        <v>100</v>
      </c>
      <c r="L414">
        <v>10100</v>
      </c>
      <c r="M414">
        <v>101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6060</v>
      </c>
      <c r="AN414" t="str">
        <f>T("9791190142717")</f>
        <v>9791190142717</v>
      </c>
      <c r="AP414" t="str">
        <f>T("BL 웹소설 &gt; 현대물")</f>
        <v>BL 웹소설 &gt; 현대물</v>
      </c>
    </row>
    <row r="415" spans="1:42" x14ac:dyDescent="0.4">
      <c r="A415" t="s">
        <v>43</v>
      </c>
      <c r="B415">
        <v>3822000994</v>
      </c>
      <c r="C415">
        <v>3822001010</v>
      </c>
      <c r="D415" t="str">
        <f>T("[연재]후회 없게 해 드립니다 17화")</f>
        <v>[연재]후회 없게 해 드립니다 17화</v>
      </c>
      <c r="E415" t="str">
        <f>T("17")</f>
        <v>17</v>
      </c>
      <c r="F415" t="str">
        <f>T("소하")</f>
        <v>소하</v>
      </c>
      <c r="I415" t="str">
        <f>T("비포선셋")</f>
        <v>비포선셋</v>
      </c>
      <c r="J415" t="str">
        <f>T("[연재]후회 없게 해 드립니다")</f>
        <v>[연재]후회 없게 해 드립니다</v>
      </c>
      <c r="K415">
        <v>100</v>
      </c>
      <c r="L415">
        <v>10100</v>
      </c>
      <c r="M415">
        <v>101</v>
      </c>
      <c r="N415">
        <v>0</v>
      </c>
      <c r="O415">
        <v>0</v>
      </c>
      <c r="P415">
        <v>0</v>
      </c>
      <c r="Q415">
        <v>6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-200</v>
      </c>
      <c r="Y415">
        <v>2</v>
      </c>
      <c r="Z415">
        <v>-200</v>
      </c>
      <c r="AA415">
        <v>2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5940</v>
      </c>
      <c r="AN415" t="str">
        <f>T("9791190142953")</f>
        <v>9791190142953</v>
      </c>
      <c r="AP415" t="str">
        <f>T("로맨스 웹소설 &gt; 판타지물")</f>
        <v>로맨스 웹소설 &gt; 판타지물</v>
      </c>
    </row>
    <row r="416" spans="1:42" x14ac:dyDescent="0.4">
      <c r="A416" t="s">
        <v>43</v>
      </c>
      <c r="B416">
        <v>3822000645</v>
      </c>
      <c r="C416">
        <v>3822000945</v>
      </c>
      <c r="D416" t="str">
        <f>T("[연재]방송 켜셔야죠 79화")</f>
        <v>[연재]방송 켜셔야죠 79화</v>
      </c>
      <c r="E416" t="str">
        <f>T("79")</f>
        <v>79</v>
      </c>
      <c r="F416" t="str">
        <f>T("파란비")</f>
        <v>파란비</v>
      </c>
      <c r="I416" t="str">
        <f>T("딥블렌드")</f>
        <v>딥블렌드</v>
      </c>
      <c r="J416" t="str">
        <f>T("[연재]방송 켜셔야죠")</f>
        <v>[연재]방송 켜셔야죠</v>
      </c>
      <c r="K416">
        <v>100</v>
      </c>
      <c r="L416">
        <v>10000</v>
      </c>
      <c r="M416">
        <v>100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6000</v>
      </c>
      <c r="AN416" t="str">
        <f>T("9791190142717")</f>
        <v>9791190142717</v>
      </c>
      <c r="AP416" t="str">
        <f>T("BL 웹소설 &gt; 현대물")</f>
        <v>BL 웹소설 &gt; 현대물</v>
      </c>
    </row>
    <row r="417" spans="1:43" x14ac:dyDescent="0.4">
      <c r="A417" t="s">
        <v>43</v>
      </c>
      <c r="B417">
        <v>3822000645</v>
      </c>
      <c r="C417">
        <v>3822000921</v>
      </c>
      <c r="D417" t="str">
        <f>T("[연재]방송 켜셔야죠 75화")</f>
        <v>[연재]방송 켜셔야죠 75화</v>
      </c>
      <c r="E417" t="str">
        <f>T("75")</f>
        <v>75</v>
      </c>
      <c r="F417" t="str">
        <f>T("파란비")</f>
        <v>파란비</v>
      </c>
      <c r="I417" t="str">
        <f>T("딥블렌드")</f>
        <v>딥블렌드</v>
      </c>
      <c r="J417" t="str">
        <f>T("[연재]방송 켜셔야죠")</f>
        <v>[연재]방송 켜셔야죠</v>
      </c>
      <c r="K417">
        <v>100</v>
      </c>
      <c r="L417">
        <v>10000</v>
      </c>
      <c r="M417">
        <v>100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6000</v>
      </c>
      <c r="AN417" t="str">
        <f>T("9791190142717")</f>
        <v>9791190142717</v>
      </c>
      <c r="AP417" t="str">
        <f>T("BL 웹소설 &gt; 현대물")</f>
        <v>BL 웹소설 &gt; 현대물</v>
      </c>
    </row>
    <row r="418" spans="1:43" x14ac:dyDescent="0.4">
      <c r="A418" t="s">
        <v>43</v>
      </c>
      <c r="B418">
        <v>3822000895</v>
      </c>
      <c r="C418">
        <v>3822000895</v>
      </c>
      <c r="D418" t="str">
        <f>T("남자 주인공과 이혼하는 법 1권")</f>
        <v>남자 주인공과 이혼하는 법 1권</v>
      </c>
      <c r="E418" t="str">
        <f>T("1")</f>
        <v>1</v>
      </c>
      <c r="F418" t="str">
        <f>T("라라")</f>
        <v>라라</v>
      </c>
      <c r="I418" t="str">
        <f>T("비포선셋")</f>
        <v>비포선셋</v>
      </c>
      <c r="J418" t="str">
        <f>T("남자 주인공과 이혼하는 법")</f>
        <v>남자 주인공과 이혼하는 법</v>
      </c>
      <c r="K418">
        <v>3300</v>
      </c>
      <c r="L418">
        <v>9900</v>
      </c>
      <c r="M418">
        <v>3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6930</v>
      </c>
      <c r="AL418" t="str">
        <f>T("0000000000000")</f>
        <v>0000000000000</v>
      </c>
      <c r="AN418" t="str">
        <f>T("9791190142847")</f>
        <v>9791190142847</v>
      </c>
      <c r="AP418" t="str">
        <f>T("로맨스 e북 &gt; 판타지물")</f>
        <v>로맨스 e북 &gt; 판타지물</v>
      </c>
    </row>
    <row r="419" spans="1:43" x14ac:dyDescent="0.4">
      <c r="A419" t="s">
        <v>43</v>
      </c>
      <c r="B419">
        <v>3822000994</v>
      </c>
      <c r="C419">
        <v>3822001009</v>
      </c>
      <c r="D419" t="str">
        <f>T("[연재]후회 없게 해 드립니다 16화")</f>
        <v>[연재]후회 없게 해 드립니다 16화</v>
      </c>
      <c r="E419" t="str">
        <f>T("16")</f>
        <v>16</v>
      </c>
      <c r="F419" t="str">
        <f>T("소하")</f>
        <v>소하</v>
      </c>
      <c r="I419" t="str">
        <f>T("비포선셋")</f>
        <v>비포선셋</v>
      </c>
      <c r="J419" t="str">
        <f>T("[연재]후회 없게 해 드립니다")</f>
        <v>[연재]후회 없게 해 드립니다</v>
      </c>
      <c r="K419">
        <v>100</v>
      </c>
      <c r="L419">
        <v>9900</v>
      </c>
      <c r="M419">
        <v>99</v>
      </c>
      <c r="N419">
        <v>0</v>
      </c>
      <c r="O419">
        <v>0</v>
      </c>
      <c r="P419">
        <v>0</v>
      </c>
      <c r="Q419">
        <v>4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-200</v>
      </c>
      <c r="Y419">
        <v>2</v>
      </c>
      <c r="Z419">
        <v>-200</v>
      </c>
      <c r="AA419">
        <v>2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5820</v>
      </c>
      <c r="AN419" t="str">
        <f>T("9791190142953")</f>
        <v>9791190142953</v>
      </c>
      <c r="AP419" t="str">
        <f>T("로맨스 웹소설 &gt; 판타지물")</f>
        <v>로맨스 웹소설 &gt; 판타지물</v>
      </c>
    </row>
    <row r="420" spans="1:43" x14ac:dyDescent="0.4">
      <c r="A420" t="s">
        <v>43</v>
      </c>
      <c r="B420">
        <v>3822000645</v>
      </c>
      <c r="C420">
        <v>3822000939</v>
      </c>
      <c r="D420" t="str">
        <f>T("[연재]방송 켜셔야죠 78화")</f>
        <v>[연재]방송 켜셔야죠 78화</v>
      </c>
      <c r="E420" t="str">
        <f>T("78")</f>
        <v>78</v>
      </c>
      <c r="F420" t="str">
        <f>T("파란비")</f>
        <v>파란비</v>
      </c>
      <c r="I420" t="str">
        <f>T("딥블렌드")</f>
        <v>딥블렌드</v>
      </c>
      <c r="J420" t="str">
        <f>T("[연재]방송 켜셔야죠")</f>
        <v>[연재]방송 켜셔야죠</v>
      </c>
      <c r="K420">
        <v>100</v>
      </c>
      <c r="L420">
        <v>9900</v>
      </c>
      <c r="M420">
        <v>99</v>
      </c>
      <c r="N420">
        <v>0</v>
      </c>
      <c r="O420">
        <v>0</v>
      </c>
      <c r="P420">
        <v>0</v>
      </c>
      <c r="Q420">
        <v>1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-100</v>
      </c>
      <c r="Y420">
        <v>1</v>
      </c>
      <c r="Z420">
        <v>-100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5880</v>
      </c>
      <c r="AN420" t="str">
        <f>T("9791190142717")</f>
        <v>9791190142717</v>
      </c>
      <c r="AP420" t="str">
        <f>T("BL 웹소설 &gt; 현대물")</f>
        <v>BL 웹소설 &gt; 현대물</v>
      </c>
    </row>
    <row r="421" spans="1:43" x14ac:dyDescent="0.4">
      <c r="A421" t="s">
        <v>43</v>
      </c>
      <c r="C421">
        <v>3822000007</v>
      </c>
      <c r="D421" t="str">
        <f>T("색귀를 쫓는 야릇한 방법")</f>
        <v>색귀를 쫓는 야릇한 방법</v>
      </c>
      <c r="F421" t="str">
        <f>T("주아일")</f>
        <v>주아일</v>
      </c>
      <c r="I421" t="str">
        <f>T("애프터선셋")</f>
        <v>애프터선셋</v>
      </c>
      <c r="K421">
        <v>3300</v>
      </c>
      <c r="L421">
        <v>9900</v>
      </c>
      <c r="M421">
        <v>3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6930</v>
      </c>
      <c r="AL421" t="str">
        <f>T("0000000000000")</f>
        <v>0000000000000</v>
      </c>
      <c r="AN421" t="str">
        <f>T("9791196658083")</f>
        <v>9791196658083</v>
      </c>
      <c r="AP421" t="str">
        <f>T("로맨스 e북 &gt; 현대물")</f>
        <v>로맨스 e북 &gt; 현대물</v>
      </c>
      <c r="AQ421" t="str">
        <f>T("로맨스 e북 &gt; 19+")</f>
        <v>로맨스 e북 &gt; 19+</v>
      </c>
    </row>
    <row r="422" spans="1:43" x14ac:dyDescent="0.4">
      <c r="A422" t="s">
        <v>43</v>
      </c>
      <c r="B422">
        <v>3822000994</v>
      </c>
      <c r="C422">
        <v>3822001000</v>
      </c>
      <c r="D422" t="str">
        <f>T("[연재]후회 없게 해 드립니다 7화")</f>
        <v>[연재]후회 없게 해 드립니다 7화</v>
      </c>
      <c r="E422" t="str">
        <f>T("7")</f>
        <v>7</v>
      </c>
      <c r="F422" t="str">
        <f>T("소하")</f>
        <v>소하</v>
      </c>
      <c r="I422" t="str">
        <f>T("비포선셋")</f>
        <v>비포선셋</v>
      </c>
      <c r="J422" t="str">
        <f>T("[연재]후회 없게 해 드립니다")</f>
        <v>[연재]후회 없게 해 드립니다</v>
      </c>
      <c r="K422">
        <v>100</v>
      </c>
      <c r="L422">
        <v>9800</v>
      </c>
      <c r="M422">
        <v>98</v>
      </c>
      <c r="N422">
        <v>0</v>
      </c>
      <c r="O422">
        <v>0</v>
      </c>
      <c r="P422">
        <v>0</v>
      </c>
      <c r="Q422">
        <v>217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-200</v>
      </c>
      <c r="Y422">
        <v>2</v>
      </c>
      <c r="Z422">
        <v>-200</v>
      </c>
      <c r="AA422">
        <v>2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5760</v>
      </c>
      <c r="AN422" t="str">
        <f>T("9791190142953")</f>
        <v>9791190142953</v>
      </c>
      <c r="AP422" t="str">
        <f>T("로맨스 웹소설 &gt; 판타지물")</f>
        <v>로맨스 웹소설 &gt; 판타지물</v>
      </c>
    </row>
    <row r="423" spans="1:43" x14ac:dyDescent="0.4">
      <c r="A423" t="s">
        <v>43</v>
      </c>
      <c r="B423">
        <v>3822000994</v>
      </c>
      <c r="C423">
        <v>3822001013</v>
      </c>
      <c r="D423" t="str">
        <f>T("[연재]후회 없게 해 드립니다 20화")</f>
        <v>[연재]후회 없게 해 드립니다 20화</v>
      </c>
      <c r="E423" t="str">
        <f>T("20")</f>
        <v>20</v>
      </c>
      <c r="F423" t="str">
        <f>T("소하")</f>
        <v>소하</v>
      </c>
      <c r="I423" t="str">
        <f>T("비포선셋")</f>
        <v>비포선셋</v>
      </c>
      <c r="J423" t="str">
        <f>T("[연재]후회 없게 해 드립니다")</f>
        <v>[연재]후회 없게 해 드립니다</v>
      </c>
      <c r="K423">
        <v>100</v>
      </c>
      <c r="L423">
        <v>9800</v>
      </c>
      <c r="M423">
        <v>98</v>
      </c>
      <c r="N423">
        <v>0</v>
      </c>
      <c r="O423">
        <v>0</v>
      </c>
      <c r="P423">
        <v>0</v>
      </c>
      <c r="Q423">
        <v>3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-200</v>
      </c>
      <c r="Y423">
        <v>2</v>
      </c>
      <c r="Z423">
        <v>-200</v>
      </c>
      <c r="AA423">
        <v>2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5760</v>
      </c>
      <c r="AN423" t="str">
        <f>T("9791190142953")</f>
        <v>9791190142953</v>
      </c>
      <c r="AP423" t="str">
        <f>T("로맨스 웹소설 &gt; 판타지물")</f>
        <v>로맨스 웹소설 &gt; 판타지물</v>
      </c>
    </row>
    <row r="424" spans="1:43" x14ac:dyDescent="0.4">
      <c r="A424" t="s">
        <v>43</v>
      </c>
      <c r="B424">
        <v>3822000994</v>
      </c>
      <c r="C424">
        <v>3822001015</v>
      </c>
      <c r="D424" t="str">
        <f>T("[연재]후회 없게 해 드립니다 22화")</f>
        <v>[연재]후회 없게 해 드립니다 22화</v>
      </c>
      <c r="E424" t="str">
        <f>T("22")</f>
        <v>22</v>
      </c>
      <c r="F424" t="str">
        <f>T("소하")</f>
        <v>소하</v>
      </c>
      <c r="I424" t="str">
        <f>T("비포선셋")</f>
        <v>비포선셋</v>
      </c>
      <c r="J424" t="str">
        <f>T("[연재]후회 없게 해 드립니다")</f>
        <v>[연재]후회 없게 해 드립니다</v>
      </c>
      <c r="K424">
        <v>100</v>
      </c>
      <c r="L424">
        <v>9600</v>
      </c>
      <c r="M424">
        <v>96</v>
      </c>
      <c r="N424">
        <v>0</v>
      </c>
      <c r="O424">
        <v>0</v>
      </c>
      <c r="P424">
        <v>0</v>
      </c>
      <c r="Q424">
        <v>3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-200</v>
      </c>
      <c r="Y424">
        <v>2</v>
      </c>
      <c r="Z424">
        <v>-200</v>
      </c>
      <c r="AA424">
        <v>2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5640</v>
      </c>
      <c r="AN424" t="str">
        <f>T("9791190142953")</f>
        <v>9791190142953</v>
      </c>
      <c r="AP424" t="str">
        <f>T("로맨스 웹소설 &gt; 판타지물")</f>
        <v>로맨스 웹소설 &gt; 판타지물</v>
      </c>
    </row>
    <row r="425" spans="1:43" x14ac:dyDescent="0.4">
      <c r="A425" t="s">
        <v>43</v>
      </c>
      <c r="B425">
        <v>3822000645</v>
      </c>
      <c r="C425">
        <v>3822000937</v>
      </c>
      <c r="D425" t="str">
        <f>T("[연재]방송 켜셔야죠 77화")</f>
        <v>[연재]방송 켜셔야죠 77화</v>
      </c>
      <c r="E425" t="str">
        <f>T("77")</f>
        <v>77</v>
      </c>
      <c r="F425" t="str">
        <f>T("파란비")</f>
        <v>파란비</v>
      </c>
      <c r="I425" t="str">
        <f>T("딥블렌드")</f>
        <v>딥블렌드</v>
      </c>
      <c r="J425" t="str">
        <f>T("[연재]방송 켜셔야죠")</f>
        <v>[연재]방송 켜셔야죠</v>
      </c>
      <c r="K425">
        <v>100</v>
      </c>
      <c r="L425">
        <v>9600</v>
      </c>
      <c r="M425">
        <v>96</v>
      </c>
      <c r="N425">
        <v>0</v>
      </c>
      <c r="O425">
        <v>0</v>
      </c>
      <c r="P425">
        <v>0</v>
      </c>
      <c r="Q425">
        <v>1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-100</v>
      </c>
      <c r="Y425">
        <v>1</v>
      </c>
      <c r="Z425">
        <v>-100</v>
      </c>
      <c r="AA425">
        <v>1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5700</v>
      </c>
      <c r="AN425" t="str">
        <f>T("9791190142717")</f>
        <v>9791190142717</v>
      </c>
      <c r="AP425" t="str">
        <f>T("BL 웹소설 &gt; 현대물")</f>
        <v>BL 웹소설 &gt; 현대물</v>
      </c>
    </row>
    <row r="426" spans="1:43" x14ac:dyDescent="0.4">
      <c r="A426" t="s">
        <v>43</v>
      </c>
      <c r="B426">
        <v>3822000994</v>
      </c>
      <c r="C426">
        <v>3822001011</v>
      </c>
      <c r="D426" t="str">
        <f>T("[연재]후회 없게 해 드립니다 18화")</f>
        <v>[연재]후회 없게 해 드립니다 18화</v>
      </c>
      <c r="E426" t="str">
        <f>T("18")</f>
        <v>18</v>
      </c>
      <c r="F426" t="str">
        <f>T("소하")</f>
        <v>소하</v>
      </c>
      <c r="I426" t="str">
        <f>T("비포선셋")</f>
        <v>비포선셋</v>
      </c>
      <c r="J426" t="str">
        <f>T("[연재]후회 없게 해 드립니다")</f>
        <v>[연재]후회 없게 해 드립니다</v>
      </c>
      <c r="K426">
        <v>100</v>
      </c>
      <c r="L426">
        <v>9600</v>
      </c>
      <c r="M426">
        <v>96</v>
      </c>
      <c r="N426">
        <v>0</v>
      </c>
      <c r="O426">
        <v>0</v>
      </c>
      <c r="P426">
        <v>0</v>
      </c>
      <c r="Q426">
        <v>5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-200</v>
      </c>
      <c r="Y426">
        <v>2</v>
      </c>
      <c r="Z426">
        <v>-200</v>
      </c>
      <c r="AA426">
        <v>2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5640</v>
      </c>
      <c r="AN426" t="str">
        <f>T("9791190142953")</f>
        <v>9791190142953</v>
      </c>
      <c r="AP426" t="str">
        <f>T("로맨스 웹소설 &gt; 판타지물")</f>
        <v>로맨스 웹소설 &gt; 판타지물</v>
      </c>
    </row>
    <row r="427" spans="1:43" x14ac:dyDescent="0.4">
      <c r="A427" t="s">
        <v>43</v>
      </c>
      <c r="B427">
        <v>3822000883</v>
      </c>
      <c r="C427">
        <v>3822000883</v>
      </c>
      <c r="D427" t="str">
        <f>T("그 진상 놈이 이렇게 클 리가 없어 1권")</f>
        <v>그 진상 놈이 이렇게 클 리가 없어 1권</v>
      </c>
      <c r="E427" t="str">
        <f>T("1")</f>
        <v>1</v>
      </c>
      <c r="F427" t="str">
        <f>T("첫소절")</f>
        <v>첫소절</v>
      </c>
      <c r="I427" t="str">
        <f>T("딥블렌드")</f>
        <v>딥블렌드</v>
      </c>
      <c r="J427" t="str">
        <f>T("그 진상 놈이 이렇게 클 리가 없어")</f>
        <v>그 진상 놈이 이렇게 클 리가 없어</v>
      </c>
      <c r="K427">
        <v>3200</v>
      </c>
      <c r="L427">
        <v>9600</v>
      </c>
      <c r="M427">
        <v>3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3200</v>
      </c>
      <c r="U427">
        <v>1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8960</v>
      </c>
      <c r="AL427" t="str">
        <f>T("0000000000000")</f>
        <v>0000000000000</v>
      </c>
      <c r="AN427" t="str">
        <f>T("9791190142908")</f>
        <v>9791190142908</v>
      </c>
      <c r="AP427" t="str">
        <f>T("BL 소설 e북 &gt; 현대물")</f>
        <v>BL 소설 e북 &gt; 현대물</v>
      </c>
    </row>
    <row r="428" spans="1:43" x14ac:dyDescent="0.4">
      <c r="A428" t="s">
        <v>43</v>
      </c>
      <c r="B428">
        <v>3822000393</v>
      </c>
      <c r="C428">
        <v>3822000394</v>
      </c>
      <c r="D428" t="str">
        <f>T("그 남자네 집 2권 (완결)")</f>
        <v>그 남자네 집 2권 (완결)</v>
      </c>
      <c r="E428" t="str">
        <f>T("2")</f>
        <v>2</v>
      </c>
      <c r="F428" t="str">
        <f>T("이은솜")</f>
        <v>이은솜</v>
      </c>
      <c r="I428" t="str">
        <f>T("딥블렌드")</f>
        <v>딥블렌드</v>
      </c>
      <c r="J428" t="str">
        <f>T("그 남자네 집")</f>
        <v>그 남자네 집</v>
      </c>
      <c r="K428">
        <v>3200</v>
      </c>
      <c r="L428">
        <v>9600</v>
      </c>
      <c r="M428">
        <v>3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6400</v>
      </c>
      <c r="U428">
        <v>2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11200</v>
      </c>
      <c r="AL428" t="str">
        <f>T("0000000000000")</f>
        <v>0000000000000</v>
      </c>
      <c r="AN428" t="str">
        <f>T("9791190142489")</f>
        <v>9791190142489</v>
      </c>
      <c r="AP428" t="str">
        <f>T("BL 소설 e북 &gt; 현대물")</f>
        <v>BL 소설 e북 &gt; 현대물</v>
      </c>
    </row>
    <row r="429" spans="1:43" x14ac:dyDescent="0.4">
      <c r="A429" t="s">
        <v>43</v>
      </c>
      <c r="B429">
        <v>3822000994</v>
      </c>
      <c r="C429">
        <v>3822001006</v>
      </c>
      <c r="D429" t="str">
        <f>T("[연재]후회 없게 해 드립니다 13화")</f>
        <v>[연재]후회 없게 해 드립니다 13화</v>
      </c>
      <c r="E429" t="str">
        <f>T("13")</f>
        <v>13</v>
      </c>
      <c r="F429" t="str">
        <f t="shared" ref="F429:F441" si="96">T("소하")</f>
        <v>소하</v>
      </c>
      <c r="I429" t="str">
        <f t="shared" ref="I429:I441" si="97">T("비포선셋")</f>
        <v>비포선셋</v>
      </c>
      <c r="J429" t="str">
        <f t="shared" ref="J429:J441" si="98">T("[연재]후회 없게 해 드립니다")</f>
        <v>[연재]후회 없게 해 드립니다</v>
      </c>
      <c r="K429">
        <v>100</v>
      </c>
      <c r="L429">
        <v>9500</v>
      </c>
      <c r="M429">
        <v>95</v>
      </c>
      <c r="N429">
        <v>0</v>
      </c>
      <c r="O429">
        <v>0</v>
      </c>
      <c r="P429">
        <v>0</v>
      </c>
      <c r="Q429">
        <v>42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-200</v>
      </c>
      <c r="Y429">
        <v>2</v>
      </c>
      <c r="Z429">
        <v>-200</v>
      </c>
      <c r="AA429">
        <v>2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5580</v>
      </c>
      <c r="AN429" t="str">
        <f t="shared" ref="AN429:AN441" si="99">T("9791190142953")</f>
        <v>9791190142953</v>
      </c>
      <c r="AP429" t="str">
        <f t="shared" ref="AP429:AP441" si="100">T("로맨스 웹소설 &gt; 판타지물")</f>
        <v>로맨스 웹소설 &gt; 판타지물</v>
      </c>
    </row>
    <row r="430" spans="1:43" x14ac:dyDescent="0.4">
      <c r="A430" t="s">
        <v>43</v>
      </c>
      <c r="B430">
        <v>3822000994</v>
      </c>
      <c r="C430">
        <v>3822001014</v>
      </c>
      <c r="D430" t="str">
        <f>T("[연재]후회 없게 해 드립니다 21화")</f>
        <v>[연재]후회 없게 해 드립니다 21화</v>
      </c>
      <c r="E430" t="str">
        <f>T("21")</f>
        <v>21</v>
      </c>
      <c r="F430" t="str">
        <f t="shared" si="96"/>
        <v>소하</v>
      </c>
      <c r="I430" t="str">
        <f t="shared" si="97"/>
        <v>비포선셋</v>
      </c>
      <c r="J430" t="str">
        <f t="shared" si="98"/>
        <v>[연재]후회 없게 해 드립니다</v>
      </c>
      <c r="K430">
        <v>100</v>
      </c>
      <c r="L430">
        <v>9300</v>
      </c>
      <c r="M430">
        <v>93</v>
      </c>
      <c r="N430">
        <v>0</v>
      </c>
      <c r="O430">
        <v>0</v>
      </c>
      <c r="P430">
        <v>0</v>
      </c>
      <c r="Q430">
        <v>3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-200</v>
      </c>
      <c r="Y430">
        <v>2</v>
      </c>
      <c r="Z430">
        <v>-200</v>
      </c>
      <c r="AA430">
        <v>2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5460</v>
      </c>
      <c r="AN430" t="str">
        <f t="shared" si="99"/>
        <v>9791190142953</v>
      </c>
      <c r="AP430" t="str">
        <f t="shared" si="100"/>
        <v>로맨스 웹소설 &gt; 판타지물</v>
      </c>
    </row>
    <row r="431" spans="1:43" x14ac:dyDescent="0.4">
      <c r="A431" t="s">
        <v>43</v>
      </c>
      <c r="B431">
        <v>3822000994</v>
      </c>
      <c r="C431">
        <v>3822001188</v>
      </c>
      <c r="D431" t="str">
        <f>T("[연재]후회 없게 해 드립니다 84화")</f>
        <v>[연재]후회 없게 해 드립니다 84화</v>
      </c>
      <c r="E431" t="str">
        <f>T("84")</f>
        <v>84</v>
      </c>
      <c r="F431" t="str">
        <f t="shared" si="96"/>
        <v>소하</v>
      </c>
      <c r="I431" t="str">
        <f t="shared" si="97"/>
        <v>비포선셋</v>
      </c>
      <c r="J431" t="str">
        <f t="shared" si="98"/>
        <v>[연재]후회 없게 해 드립니다</v>
      </c>
      <c r="K431">
        <v>100</v>
      </c>
      <c r="L431">
        <v>9300</v>
      </c>
      <c r="M431">
        <v>93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-300</v>
      </c>
      <c r="Y431">
        <v>3</v>
      </c>
      <c r="Z431">
        <v>-300</v>
      </c>
      <c r="AA431">
        <v>3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5400</v>
      </c>
      <c r="AN431" t="str">
        <f t="shared" si="99"/>
        <v>9791190142953</v>
      </c>
      <c r="AP431" t="str">
        <f t="shared" si="100"/>
        <v>로맨스 웹소설 &gt; 판타지물</v>
      </c>
    </row>
    <row r="432" spans="1:43" x14ac:dyDescent="0.4">
      <c r="A432" t="s">
        <v>43</v>
      </c>
      <c r="B432">
        <v>3822000994</v>
      </c>
      <c r="C432">
        <v>3822001012</v>
      </c>
      <c r="D432" t="str">
        <f>T("[연재]후회 없게 해 드립니다 19화")</f>
        <v>[연재]후회 없게 해 드립니다 19화</v>
      </c>
      <c r="E432" t="str">
        <f>T("19")</f>
        <v>19</v>
      </c>
      <c r="F432" t="str">
        <f t="shared" si="96"/>
        <v>소하</v>
      </c>
      <c r="I432" t="str">
        <f t="shared" si="97"/>
        <v>비포선셋</v>
      </c>
      <c r="J432" t="str">
        <f t="shared" si="98"/>
        <v>[연재]후회 없게 해 드립니다</v>
      </c>
      <c r="K432">
        <v>100</v>
      </c>
      <c r="L432">
        <v>9300</v>
      </c>
      <c r="M432">
        <v>93</v>
      </c>
      <c r="N432">
        <v>0</v>
      </c>
      <c r="O432">
        <v>0</v>
      </c>
      <c r="P432">
        <v>0</v>
      </c>
      <c r="Q432">
        <v>5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-200</v>
      </c>
      <c r="Y432">
        <v>2</v>
      </c>
      <c r="Z432">
        <v>-200</v>
      </c>
      <c r="AA432">
        <v>2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5460</v>
      </c>
      <c r="AN432" t="str">
        <f t="shared" si="99"/>
        <v>9791190142953</v>
      </c>
      <c r="AP432" t="str">
        <f t="shared" si="100"/>
        <v>로맨스 웹소설 &gt; 판타지물</v>
      </c>
    </row>
    <row r="433" spans="1:43" x14ac:dyDescent="0.4">
      <c r="A433" t="s">
        <v>43</v>
      </c>
      <c r="B433">
        <v>3822000994</v>
      </c>
      <c r="C433">
        <v>3822001187</v>
      </c>
      <c r="D433" t="str">
        <f>T("[연재]후회 없게 해 드립니다 83화")</f>
        <v>[연재]후회 없게 해 드립니다 83화</v>
      </c>
      <c r="E433" t="str">
        <f>T("83")</f>
        <v>83</v>
      </c>
      <c r="F433" t="str">
        <f t="shared" si="96"/>
        <v>소하</v>
      </c>
      <c r="I433" t="str">
        <f t="shared" si="97"/>
        <v>비포선셋</v>
      </c>
      <c r="J433" t="str">
        <f t="shared" si="98"/>
        <v>[연재]후회 없게 해 드립니다</v>
      </c>
      <c r="K433">
        <v>100</v>
      </c>
      <c r="L433">
        <v>9200</v>
      </c>
      <c r="M433">
        <v>92</v>
      </c>
      <c r="N433">
        <v>0</v>
      </c>
      <c r="O433">
        <v>0</v>
      </c>
      <c r="P433">
        <v>0</v>
      </c>
      <c r="Q433">
        <v>2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-300</v>
      </c>
      <c r="Y433">
        <v>3</v>
      </c>
      <c r="Z433">
        <v>-300</v>
      </c>
      <c r="AA433">
        <v>3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5340</v>
      </c>
      <c r="AN433" t="str">
        <f t="shared" si="99"/>
        <v>9791190142953</v>
      </c>
      <c r="AP433" t="str">
        <f t="shared" si="100"/>
        <v>로맨스 웹소설 &gt; 판타지물</v>
      </c>
    </row>
    <row r="434" spans="1:43" x14ac:dyDescent="0.4">
      <c r="A434" t="s">
        <v>43</v>
      </c>
      <c r="B434">
        <v>3822000994</v>
      </c>
      <c r="C434">
        <v>3822001016</v>
      </c>
      <c r="D434" t="str">
        <f>T("[연재]후회 없게 해 드립니다 23화")</f>
        <v>[연재]후회 없게 해 드립니다 23화</v>
      </c>
      <c r="E434" t="str">
        <f>T("23")</f>
        <v>23</v>
      </c>
      <c r="F434" t="str">
        <f t="shared" si="96"/>
        <v>소하</v>
      </c>
      <c r="I434" t="str">
        <f t="shared" si="97"/>
        <v>비포선셋</v>
      </c>
      <c r="J434" t="str">
        <f t="shared" si="98"/>
        <v>[연재]후회 없게 해 드립니다</v>
      </c>
      <c r="K434">
        <v>100</v>
      </c>
      <c r="L434">
        <v>9200</v>
      </c>
      <c r="M434">
        <v>92</v>
      </c>
      <c r="N434">
        <v>0</v>
      </c>
      <c r="O434">
        <v>0</v>
      </c>
      <c r="P434">
        <v>0</v>
      </c>
      <c r="Q434">
        <v>3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-200</v>
      </c>
      <c r="Y434">
        <v>2</v>
      </c>
      <c r="Z434">
        <v>-200</v>
      </c>
      <c r="AA434">
        <v>2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5400</v>
      </c>
      <c r="AN434" t="str">
        <f t="shared" si="99"/>
        <v>9791190142953</v>
      </c>
      <c r="AP434" t="str">
        <f t="shared" si="100"/>
        <v>로맨스 웹소설 &gt; 판타지물</v>
      </c>
    </row>
    <row r="435" spans="1:43" x14ac:dyDescent="0.4">
      <c r="A435" t="s">
        <v>43</v>
      </c>
      <c r="B435">
        <v>3822000994</v>
      </c>
      <c r="C435">
        <v>3822001017</v>
      </c>
      <c r="D435" t="str">
        <f>T("[연재]후회 없게 해 드립니다 24화")</f>
        <v>[연재]후회 없게 해 드립니다 24화</v>
      </c>
      <c r="E435" t="str">
        <f>T("24")</f>
        <v>24</v>
      </c>
      <c r="F435" t="str">
        <f t="shared" si="96"/>
        <v>소하</v>
      </c>
      <c r="I435" t="str">
        <f t="shared" si="97"/>
        <v>비포선셋</v>
      </c>
      <c r="J435" t="str">
        <f t="shared" si="98"/>
        <v>[연재]후회 없게 해 드립니다</v>
      </c>
      <c r="K435">
        <v>100</v>
      </c>
      <c r="L435">
        <v>9000</v>
      </c>
      <c r="M435">
        <v>90</v>
      </c>
      <c r="N435">
        <v>0</v>
      </c>
      <c r="O435">
        <v>0</v>
      </c>
      <c r="P435">
        <v>0</v>
      </c>
      <c r="Q435">
        <v>5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-200</v>
      </c>
      <c r="Y435">
        <v>2</v>
      </c>
      <c r="Z435">
        <v>-200</v>
      </c>
      <c r="AA435">
        <v>2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5280</v>
      </c>
      <c r="AN435" t="str">
        <f t="shared" si="99"/>
        <v>9791190142953</v>
      </c>
      <c r="AP435" t="str">
        <f t="shared" si="100"/>
        <v>로맨스 웹소설 &gt; 판타지물</v>
      </c>
    </row>
    <row r="436" spans="1:43" x14ac:dyDescent="0.4">
      <c r="A436" t="s">
        <v>43</v>
      </c>
      <c r="B436">
        <v>3822000994</v>
      </c>
      <c r="C436">
        <v>3822001007</v>
      </c>
      <c r="D436" t="str">
        <f>T("[연재]후회 없게 해 드립니다 14화")</f>
        <v>[연재]후회 없게 해 드립니다 14화</v>
      </c>
      <c r="E436" t="str">
        <f>T("14")</f>
        <v>14</v>
      </c>
      <c r="F436" t="str">
        <f t="shared" si="96"/>
        <v>소하</v>
      </c>
      <c r="I436" t="str">
        <f t="shared" si="97"/>
        <v>비포선셋</v>
      </c>
      <c r="J436" t="str">
        <f t="shared" si="98"/>
        <v>[연재]후회 없게 해 드립니다</v>
      </c>
      <c r="K436">
        <v>100</v>
      </c>
      <c r="L436">
        <v>8800</v>
      </c>
      <c r="M436">
        <v>88</v>
      </c>
      <c r="N436">
        <v>0</v>
      </c>
      <c r="O436">
        <v>0</v>
      </c>
      <c r="P436">
        <v>0</v>
      </c>
      <c r="Q436">
        <v>37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-200</v>
      </c>
      <c r="Y436">
        <v>2</v>
      </c>
      <c r="Z436">
        <v>-200</v>
      </c>
      <c r="AA436">
        <v>2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5160</v>
      </c>
      <c r="AN436" t="str">
        <f t="shared" si="99"/>
        <v>9791190142953</v>
      </c>
      <c r="AP436" t="str">
        <f t="shared" si="100"/>
        <v>로맨스 웹소설 &gt; 판타지물</v>
      </c>
    </row>
    <row r="437" spans="1:43" x14ac:dyDescent="0.4">
      <c r="A437" t="s">
        <v>43</v>
      </c>
      <c r="B437">
        <v>3822000994</v>
      </c>
      <c r="C437">
        <v>3822001022</v>
      </c>
      <c r="D437" t="str">
        <f>T("[연재]후회 없게 해 드립니다 29화")</f>
        <v>[연재]후회 없게 해 드립니다 29화</v>
      </c>
      <c r="E437" t="str">
        <f>T("29")</f>
        <v>29</v>
      </c>
      <c r="F437" t="str">
        <f t="shared" si="96"/>
        <v>소하</v>
      </c>
      <c r="I437" t="str">
        <f t="shared" si="97"/>
        <v>비포선셋</v>
      </c>
      <c r="J437" t="str">
        <f t="shared" si="98"/>
        <v>[연재]후회 없게 해 드립니다</v>
      </c>
      <c r="K437">
        <v>100</v>
      </c>
      <c r="L437">
        <v>8800</v>
      </c>
      <c r="M437">
        <v>88</v>
      </c>
      <c r="N437">
        <v>0</v>
      </c>
      <c r="O437">
        <v>0</v>
      </c>
      <c r="P437">
        <v>0</v>
      </c>
      <c r="Q437">
        <v>2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-200</v>
      </c>
      <c r="Y437">
        <v>2</v>
      </c>
      <c r="Z437">
        <v>-200</v>
      </c>
      <c r="AA437">
        <v>2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5160</v>
      </c>
      <c r="AN437" t="str">
        <f t="shared" si="99"/>
        <v>9791190142953</v>
      </c>
      <c r="AP437" t="str">
        <f t="shared" si="100"/>
        <v>로맨스 웹소설 &gt; 판타지물</v>
      </c>
    </row>
    <row r="438" spans="1:43" x14ac:dyDescent="0.4">
      <c r="A438" t="s">
        <v>43</v>
      </c>
      <c r="B438">
        <v>3822000994</v>
      </c>
      <c r="C438">
        <v>3822001023</v>
      </c>
      <c r="D438" t="str">
        <f>T("[연재]후회 없게 해 드립니다 30화")</f>
        <v>[연재]후회 없게 해 드립니다 30화</v>
      </c>
      <c r="E438" t="str">
        <f>T("30")</f>
        <v>30</v>
      </c>
      <c r="F438" t="str">
        <f t="shared" si="96"/>
        <v>소하</v>
      </c>
      <c r="I438" t="str">
        <f t="shared" si="97"/>
        <v>비포선셋</v>
      </c>
      <c r="J438" t="str">
        <f t="shared" si="98"/>
        <v>[연재]후회 없게 해 드립니다</v>
      </c>
      <c r="K438">
        <v>100</v>
      </c>
      <c r="L438">
        <v>8800</v>
      </c>
      <c r="M438">
        <v>88</v>
      </c>
      <c r="N438">
        <v>0</v>
      </c>
      <c r="O438">
        <v>0</v>
      </c>
      <c r="P438">
        <v>0</v>
      </c>
      <c r="Q438">
        <v>3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-200</v>
      </c>
      <c r="Y438">
        <v>2</v>
      </c>
      <c r="Z438">
        <v>-200</v>
      </c>
      <c r="AA438">
        <v>2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5160</v>
      </c>
      <c r="AN438" t="str">
        <f t="shared" si="99"/>
        <v>9791190142953</v>
      </c>
      <c r="AP438" t="str">
        <f t="shared" si="100"/>
        <v>로맨스 웹소설 &gt; 판타지물</v>
      </c>
    </row>
    <row r="439" spans="1:43" x14ac:dyDescent="0.4">
      <c r="A439" t="s">
        <v>43</v>
      </c>
      <c r="B439">
        <v>3822000994</v>
      </c>
      <c r="C439">
        <v>3822001018</v>
      </c>
      <c r="D439" t="str">
        <f>T("[연재]후회 없게 해 드립니다 25화")</f>
        <v>[연재]후회 없게 해 드립니다 25화</v>
      </c>
      <c r="E439" t="str">
        <f>T("25")</f>
        <v>25</v>
      </c>
      <c r="F439" t="str">
        <f t="shared" si="96"/>
        <v>소하</v>
      </c>
      <c r="I439" t="str">
        <f t="shared" si="97"/>
        <v>비포선셋</v>
      </c>
      <c r="J439" t="str">
        <f t="shared" si="98"/>
        <v>[연재]후회 없게 해 드립니다</v>
      </c>
      <c r="K439">
        <v>100</v>
      </c>
      <c r="L439">
        <v>8700</v>
      </c>
      <c r="M439">
        <v>87</v>
      </c>
      <c r="N439">
        <v>0</v>
      </c>
      <c r="O439">
        <v>0</v>
      </c>
      <c r="P439">
        <v>0</v>
      </c>
      <c r="Q439">
        <v>7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-200</v>
      </c>
      <c r="Y439">
        <v>2</v>
      </c>
      <c r="Z439">
        <v>-200</v>
      </c>
      <c r="AA439">
        <v>2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5100</v>
      </c>
      <c r="AN439" t="str">
        <f t="shared" si="99"/>
        <v>9791190142953</v>
      </c>
      <c r="AP439" t="str">
        <f t="shared" si="100"/>
        <v>로맨스 웹소설 &gt; 판타지물</v>
      </c>
    </row>
    <row r="440" spans="1:43" x14ac:dyDescent="0.4">
      <c r="A440" t="s">
        <v>43</v>
      </c>
      <c r="B440">
        <v>3822000994</v>
      </c>
      <c r="C440">
        <v>3822001024</v>
      </c>
      <c r="D440" t="str">
        <f>T("[연재]후회 없게 해 드립니다 31화")</f>
        <v>[연재]후회 없게 해 드립니다 31화</v>
      </c>
      <c r="E440" t="str">
        <f>T("31")</f>
        <v>31</v>
      </c>
      <c r="F440" t="str">
        <f t="shared" si="96"/>
        <v>소하</v>
      </c>
      <c r="I440" t="str">
        <f t="shared" si="97"/>
        <v>비포선셋</v>
      </c>
      <c r="J440" t="str">
        <f t="shared" si="98"/>
        <v>[연재]후회 없게 해 드립니다</v>
      </c>
      <c r="K440">
        <v>100</v>
      </c>
      <c r="L440">
        <v>8500</v>
      </c>
      <c r="M440">
        <v>85</v>
      </c>
      <c r="N440">
        <v>0</v>
      </c>
      <c r="O440">
        <v>0</v>
      </c>
      <c r="P440">
        <v>0</v>
      </c>
      <c r="Q440">
        <v>2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-200</v>
      </c>
      <c r="Y440">
        <v>2</v>
      </c>
      <c r="Z440">
        <v>-200</v>
      </c>
      <c r="AA440">
        <v>2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4980</v>
      </c>
      <c r="AN440" t="str">
        <f t="shared" si="99"/>
        <v>9791190142953</v>
      </c>
      <c r="AP440" t="str">
        <f t="shared" si="100"/>
        <v>로맨스 웹소설 &gt; 판타지물</v>
      </c>
    </row>
    <row r="441" spans="1:43" x14ac:dyDescent="0.4">
      <c r="A441" t="s">
        <v>43</v>
      </c>
      <c r="B441">
        <v>3822000994</v>
      </c>
      <c r="C441">
        <v>3822001025</v>
      </c>
      <c r="D441" t="str">
        <f>T("[연재]후회 없게 해 드립니다 32화")</f>
        <v>[연재]후회 없게 해 드립니다 32화</v>
      </c>
      <c r="E441" t="str">
        <f>T("32")</f>
        <v>32</v>
      </c>
      <c r="F441" t="str">
        <f t="shared" si="96"/>
        <v>소하</v>
      </c>
      <c r="I441" t="str">
        <f t="shared" si="97"/>
        <v>비포선셋</v>
      </c>
      <c r="J441" t="str">
        <f t="shared" si="98"/>
        <v>[연재]후회 없게 해 드립니다</v>
      </c>
      <c r="K441">
        <v>100</v>
      </c>
      <c r="L441">
        <v>8500</v>
      </c>
      <c r="M441">
        <v>85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-200</v>
      </c>
      <c r="Y441">
        <v>2</v>
      </c>
      <c r="Z441">
        <v>-200</v>
      </c>
      <c r="AA441">
        <v>2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4980</v>
      </c>
      <c r="AN441" t="str">
        <f t="shared" si="99"/>
        <v>9791190142953</v>
      </c>
      <c r="AP441" t="str">
        <f t="shared" si="100"/>
        <v>로맨스 웹소설 &gt; 판타지물</v>
      </c>
    </row>
    <row r="442" spans="1:43" x14ac:dyDescent="0.4">
      <c r="A442" t="s">
        <v>43</v>
      </c>
      <c r="B442">
        <v>3822000645</v>
      </c>
      <c r="C442">
        <v>3822000655</v>
      </c>
      <c r="D442" t="str">
        <f>T("[연재]방송 켜셔야죠 11화")</f>
        <v>[연재]방송 켜셔야죠 11화</v>
      </c>
      <c r="E442" t="str">
        <f>T("11")</f>
        <v>11</v>
      </c>
      <c r="F442" t="str">
        <f>T("파란비")</f>
        <v>파란비</v>
      </c>
      <c r="I442" t="str">
        <f>T("딥블렌드")</f>
        <v>딥블렌드</v>
      </c>
      <c r="J442" t="str">
        <f>T("[연재]방송 켜셔야죠")</f>
        <v>[연재]방송 켜셔야죠</v>
      </c>
      <c r="K442">
        <v>100</v>
      </c>
      <c r="L442">
        <v>8400</v>
      </c>
      <c r="M442">
        <v>84</v>
      </c>
      <c r="N442">
        <v>0</v>
      </c>
      <c r="O442">
        <v>0</v>
      </c>
      <c r="P442">
        <v>0</v>
      </c>
      <c r="Q442">
        <v>4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5040</v>
      </c>
      <c r="AN442" t="str">
        <f>T("9791190142717")</f>
        <v>9791190142717</v>
      </c>
      <c r="AP442" t="str">
        <f>T("BL 웹소설 &gt; 현대물")</f>
        <v>BL 웹소설 &gt; 현대물</v>
      </c>
    </row>
    <row r="443" spans="1:43" x14ac:dyDescent="0.4">
      <c r="A443" t="s">
        <v>43</v>
      </c>
      <c r="B443">
        <v>3822000563</v>
      </c>
      <c r="C443">
        <v>3822000563</v>
      </c>
      <c r="D443" t="str">
        <f>T("나선 1권")</f>
        <v>나선 1권</v>
      </c>
      <c r="E443" t="str">
        <f>T("1")</f>
        <v>1</v>
      </c>
      <c r="F443" t="str">
        <f>T("나다")</f>
        <v>나다</v>
      </c>
      <c r="I443" t="str">
        <f>T("딥블렌드")</f>
        <v>딥블렌드</v>
      </c>
      <c r="J443" t="str">
        <f>T("나선")</f>
        <v>나선</v>
      </c>
      <c r="K443">
        <v>2800</v>
      </c>
      <c r="L443">
        <v>8400</v>
      </c>
      <c r="M443">
        <v>3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8400</v>
      </c>
      <c r="U443">
        <v>3</v>
      </c>
      <c r="V443">
        <v>13200</v>
      </c>
      <c r="W443">
        <v>8</v>
      </c>
      <c r="X443">
        <v>-4450</v>
      </c>
      <c r="Y443">
        <v>2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-2800</v>
      </c>
      <c r="AG443">
        <v>1</v>
      </c>
      <c r="AH443">
        <v>-1650</v>
      </c>
      <c r="AI443">
        <v>1</v>
      </c>
      <c r="AJ443">
        <v>17885</v>
      </c>
      <c r="AL443" t="str">
        <f>T("0000000000000")</f>
        <v>0000000000000</v>
      </c>
      <c r="AN443" t="str">
        <f>T("9791190142540")</f>
        <v>9791190142540</v>
      </c>
      <c r="AP443" t="str">
        <f>T("BL 소설 e북 &gt; 현대물")</f>
        <v>BL 소설 e북 &gt; 현대물</v>
      </c>
      <c r="AQ443" t="str">
        <f>T("BL 소설 e북 &gt; 판타지물")</f>
        <v>BL 소설 e북 &gt; 판타지물</v>
      </c>
    </row>
    <row r="444" spans="1:43" x14ac:dyDescent="0.4">
      <c r="A444" t="s">
        <v>43</v>
      </c>
      <c r="B444">
        <v>3822000994</v>
      </c>
      <c r="C444">
        <v>3822001185</v>
      </c>
      <c r="D444" t="str">
        <f>T("[연재]후회 없게 해 드립니다 81화")</f>
        <v>[연재]후회 없게 해 드립니다 81화</v>
      </c>
      <c r="E444" t="str">
        <f>T("81")</f>
        <v>81</v>
      </c>
      <c r="F444" t="str">
        <f>T("소하")</f>
        <v>소하</v>
      </c>
      <c r="I444" t="str">
        <f>T("비포선셋")</f>
        <v>비포선셋</v>
      </c>
      <c r="J444" t="str">
        <f>T("[연재]후회 없게 해 드립니다")</f>
        <v>[연재]후회 없게 해 드립니다</v>
      </c>
      <c r="K444">
        <v>100</v>
      </c>
      <c r="L444">
        <v>8400</v>
      </c>
      <c r="M444">
        <v>84</v>
      </c>
      <c r="N444">
        <v>0</v>
      </c>
      <c r="O444">
        <v>0</v>
      </c>
      <c r="P444">
        <v>0</v>
      </c>
      <c r="Q444">
        <v>2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-300</v>
      </c>
      <c r="Y444">
        <v>3</v>
      </c>
      <c r="Z444">
        <v>-300</v>
      </c>
      <c r="AA444">
        <v>3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4860</v>
      </c>
      <c r="AN444" t="str">
        <f>T("9791190142953")</f>
        <v>9791190142953</v>
      </c>
      <c r="AP444" t="str">
        <f>T("로맨스 웹소설 &gt; 판타지물")</f>
        <v>로맨스 웹소설 &gt; 판타지물</v>
      </c>
    </row>
    <row r="445" spans="1:43" x14ac:dyDescent="0.4">
      <c r="A445" t="s">
        <v>43</v>
      </c>
      <c r="B445">
        <v>3822000563</v>
      </c>
      <c r="C445">
        <v>3822000564</v>
      </c>
      <c r="D445" t="str">
        <f>T("나선 2권 (완결)")</f>
        <v>나선 2권 (완결)</v>
      </c>
      <c r="E445" t="str">
        <f>T("2")</f>
        <v>2</v>
      </c>
      <c r="F445" t="str">
        <f>T("나다")</f>
        <v>나다</v>
      </c>
      <c r="I445" t="str">
        <f>T("딥블렌드")</f>
        <v>딥블렌드</v>
      </c>
      <c r="J445" t="str">
        <f>T("나선")</f>
        <v>나선</v>
      </c>
      <c r="K445">
        <v>2800</v>
      </c>
      <c r="L445">
        <v>8400</v>
      </c>
      <c r="M445">
        <v>3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8400</v>
      </c>
      <c r="U445">
        <v>3</v>
      </c>
      <c r="V445">
        <v>13200</v>
      </c>
      <c r="W445">
        <v>8</v>
      </c>
      <c r="X445">
        <v>-4450</v>
      </c>
      <c r="Y445">
        <v>2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-2800</v>
      </c>
      <c r="AG445">
        <v>1</v>
      </c>
      <c r="AH445">
        <v>-1650</v>
      </c>
      <c r="AI445">
        <v>1</v>
      </c>
      <c r="AJ445">
        <v>17885</v>
      </c>
      <c r="AN445" t="str">
        <f>T("9791190142557")</f>
        <v>9791190142557</v>
      </c>
      <c r="AP445" t="str">
        <f>T("BL 소설 e북 &gt; 현대물")</f>
        <v>BL 소설 e북 &gt; 현대물</v>
      </c>
      <c r="AQ445" t="str">
        <f>T("BL 소설 e북 &gt; 판타지물")</f>
        <v>BL 소설 e북 &gt; 판타지물</v>
      </c>
    </row>
    <row r="446" spans="1:43" x14ac:dyDescent="0.4">
      <c r="A446" t="s">
        <v>43</v>
      </c>
      <c r="B446">
        <v>3822000994</v>
      </c>
      <c r="C446">
        <v>3822001186</v>
      </c>
      <c r="D446" t="str">
        <f>T("[연재]후회 없게 해 드립니다 82화")</f>
        <v>[연재]후회 없게 해 드립니다 82화</v>
      </c>
      <c r="E446" t="str">
        <f>T("82")</f>
        <v>82</v>
      </c>
      <c r="F446" t="str">
        <f>T("소하")</f>
        <v>소하</v>
      </c>
      <c r="I446" t="str">
        <f>T("비포선셋")</f>
        <v>비포선셋</v>
      </c>
      <c r="J446" t="str">
        <f>T("[연재]후회 없게 해 드립니다")</f>
        <v>[연재]후회 없게 해 드립니다</v>
      </c>
      <c r="K446">
        <v>100</v>
      </c>
      <c r="L446">
        <v>8300</v>
      </c>
      <c r="M446">
        <v>83</v>
      </c>
      <c r="N446">
        <v>0</v>
      </c>
      <c r="O446">
        <v>0</v>
      </c>
      <c r="P446">
        <v>0</v>
      </c>
      <c r="Q446">
        <v>2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-300</v>
      </c>
      <c r="Y446">
        <v>3</v>
      </c>
      <c r="Z446">
        <v>-300</v>
      </c>
      <c r="AA446">
        <v>3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4800</v>
      </c>
      <c r="AN446" t="str">
        <f>T("9791190142953")</f>
        <v>9791190142953</v>
      </c>
      <c r="AP446" t="str">
        <f>T("로맨스 웹소설 &gt; 판타지물")</f>
        <v>로맨스 웹소설 &gt; 판타지물</v>
      </c>
    </row>
    <row r="447" spans="1:43" x14ac:dyDescent="0.4">
      <c r="A447" t="s">
        <v>43</v>
      </c>
      <c r="B447">
        <v>3822000994</v>
      </c>
      <c r="C447">
        <v>3822001020</v>
      </c>
      <c r="D447" t="str">
        <f>T("[연재]후회 없게 해 드립니다 27화")</f>
        <v>[연재]후회 없게 해 드립니다 27화</v>
      </c>
      <c r="E447" t="str">
        <f>T("27")</f>
        <v>27</v>
      </c>
      <c r="F447" t="str">
        <f>T("소하")</f>
        <v>소하</v>
      </c>
      <c r="I447" t="str">
        <f>T("비포선셋")</f>
        <v>비포선셋</v>
      </c>
      <c r="J447" t="str">
        <f>T("[연재]후회 없게 해 드립니다")</f>
        <v>[연재]후회 없게 해 드립니다</v>
      </c>
      <c r="K447">
        <v>100</v>
      </c>
      <c r="L447">
        <v>8300</v>
      </c>
      <c r="M447">
        <v>83</v>
      </c>
      <c r="N447">
        <v>0</v>
      </c>
      <c r="O447">
        <v>0</v>
      </c>
      <c r="P447">
        <v>0</v>
      </c>
      <c r="Q447">
        <v>4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-200</v>
      </c>
      <c r="Y447">
        <v>2</v>
      </c>
      <c r="Z447">
        <v>-200</v>
      </c>
      <c r="AA447">
        <v>2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4860</v>
      </c>
      <c r="AN447" t="str">
        <f>T("9791190142953")</f>
        <v>9791190142953</v>
      </c>
      <c r="AP447" t="str">
        <f>T("로맨스 웹소설 &gt; 판타지물")</f>
        <v>로맨스 웹소설 &gt; 판타지물</v>
      </c>
    </row>
    <row r="448" spans="1:43" x14ac:dyDescent="0.4">
      <c r="A448" t="s">
        <v>43</v>
      </c>
      <c r="B448">
        <v>3822000645</v>
      </c>
      <c r="C448">
        <v>3822000654</v>
      </c>
      <c r="D448" t="str">
        <f>T("[연재]방송 켜셔야죠 10화")</f>
        <v>[연재]방송 켜셔야죠 10화</v>
      </c>
      <c r="E448" t="str">
        <f>T("10")</f>
        <v>10</v>
      </c>
      <c r="F448" t="str">
        <f>T("파란비")</f>
        <v>파란비</v>
      </c>
      <c r="I448" t="str">
        <f>T("딥블렌드")</f>
        <v>딥블렌드</v>
      </c>
      <c r="J448" t="str">
        <f>T("[연재]방송 켜셔야죠")</f>
        <v>[연재]방송 켜셔야죠</v>
      </c>
      <c r="K448">
        <v>100</v>
      </c>
      <c r="L448">
        <v>8300</v>
      </c>
      <c r="M448">
        <v>83</v>
      </c>
      <c r="N448">
        <v>0</v>
      </c>
      <c r="O448">
        <v>0</v>
      </c>
      <c r="P448">
        <v>0</v>
      </c>
      <c r="Q448">
        <v>147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4980</v>
      </c>
      <c r="AN448" t="str">
        <f>T("9791190142717")</f>
        <v>9791190142717</v>
      </c>
      <c r="AP448" t="str">
        <f>T("BL 웹소설 &gt; 현대물")</f>
        <v>BL 웹소설 &gt; 현대물</v>
      </c>
    </row>
    <row r="449" spans="1:42" x14ac:dyDescent="0.4">
      <c r="A449" t="s">
        <v>43</v>
      </c>
      <c r="B449">
        <v>3822000994</v>
      </c>
      <c r="C449">
        <v>3822001019</v>
      </c>
      <c r="D449" t="str">
        <f>T("[연재]후회 없게 해 드립니다 26화")</f>
        <v>[연재]후회 없게 해 드립니다 26화</v>
      </c>
      <c r="E449" t="str">
        <f>T("26")</f>
        <v>26</v>
      </c>
      <c r="F449" t="str">
        <f>T("소하")</f>
        <v>소하</v>
      </c>
      <c r="I449" t="str">
        <f>T("비포선셋")</f>
        <v>비포선셋</v>
      </c>
      <c r="J449" t="str">
        <f>T("[연재]후회 없게 해 드립니다")</f>
        <v>[연재]후회 없게 해 드립니다</v>
      </c>
      <c r="K449">
        <v>100</v>
      </c>
      <c r="L449">
        <v>8200</v>
      </c>
      <c r="M449">
        <v>82</v>
      </c>
      <c r="N449">
        <v>0</v>
      </c>
      <c r="O449">
        <v>0</v>
      </c>
      <c r="P449">
        <v>0</v>
      </c>
      <c r="Q449">
        <v>6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-200</v>
      </c>
      <c r="Y449">
        <v>2</v>
      </c>
      <c r="Z449">
        <v>-200</v>
      </c>
      <c r="AA449">
        <v>2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4800</v>
      </c>
      <c r="AN449" t="str">
        <f>T("9791190142953")</f>
        <v>9791190142953</v>
      </c>
      <c r="AP449" t="str">
        <f>T("로맨스 웹소설 &gt; 판타지물")</f>
        <v>로맨스 웹소설 &gt; 판타지물</v>
      </c>
    </row>
    <row r="450" spans="1:42" x14ac:dyDescent="0.4">
      <c r="A450" t="s">
        <v>43</v>
      </c>
      <c r="B450">
        <v>3822000645</v>
      </c>
      <c r="C450">
        <v>3822000653</v>
      </c>
      <c r="D450" t="str">
        <f>T("[연재]방송 켜셔야죠 9화")</f>
        <v>[연재]방송 켜셔야죠 9화</v>
      </c>
      <c r="E450" t="str">
        <f>T("9")</f>
        <v>9</v>
      </c>
      <c r="F450" t="str">
        <f>T("파란비")</f>
        <v>파란비</v>
      </c>
      <c r="I450" t="str">
        <f>T("딥블렌드")</f>
        <v>딥블렌드</v>
      </c>
      <c r="J450" t="str">
        <f>T("[연재]방송 켜셔야죠")</f>
        <v>[연재]방송 켜셔야죠</v>
      </c>
      <c r="K450">
        <v>100</v>
      </c>
      <c r="L450">
        <v>8200</v>
      </c>
      <c r="M450">
        <v>82</v>
      </c>
      <c r="N450">
        <v>0</v>
      </c>
      <c r="O450">
        <v>0</v>
      </c>
      <c r="P450">
        <v>0</v>
      </c>
      <c r="Q450">
        <v>142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4920</v>
      </c>
      <c r="AN450" t="str">
        <f>T("9791190142717")</f>
        <v>9791190142717</v>
      </c>
      <c r="AP450" t="str">
        <f>T("BL 웹소설 &gt; 현대물")</f>
        <v>BL 웹소설 &gt; 현대물</v>
      </c>
    </row>
    <row r="451" spans="1:42" x14ac:dyDescent="0.4">
      <c r="A451" t="s">
        <v>43</v>
      </c>
      <c r="B451">
        <v>3822000994</v>
      </c>
      <c r="C451">
        <v>3822001021</v>
      </c>
      <c r="D451" t="str">
        <f>T("[연재]후회 없게 해 드립니다 28화")</f>
        <v>[연재]후회 없게 해 드립니다 28화</v>
      </c>
      <c r="E451" t="str">
        <f>T("28")</f>
        <v>28</v>
      </c>
      <c r="F451" t="str">
        <f>T("소하")</f>
        <v>소하</v>
      </c>
      <c r="I451" t="str">
        <f>T("비포선셋")</f>
        <v>비포선셋</v>
      </c>
      <c r="J451" t="str">
        <f>T("[연재]후회 없게 해 드립니다")</f>
        <v>[연재]후회 없게 해 드립니다</v>
      </c>
      <c r="K451">
        <v>100</v>
      </c>
      <c r="L451">
        <v>8200</v>
      </c>
      <c r="M451">
        <v>82</v>
      </c>
      <c r="N451">
        <v>0</v>
      </c>
      <c r="O451">
        <v>0</v>
      </c>
      <c r="P451">
        <v>0</v>
      </c>
      <c r="Q451">
        <v>2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-200</v>
      </c>
      <c r="Y451">
        <v>2</v>
      </c>
      <c r="Z451">
        <v>-200</v>
      </c>
      <c r="AA451">
        <v>2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4800</v>
      </c>
      <c r="AN451" t="str">
        <f>T("9791190142953")</f>
        <v>9791190142953</v>
      </c>
      <c r="AP451" t="str">
        <f>T("로맨스 웹소설 &gt; 판타지물")</f>
        <v>로맨스 웹소설 &gt; 판타지물</v>
      </c>
    </row>
    <row r="452" spans="1:42" x14ac:dyDescent="0.4">
      <c r="A452" t="s">
        <v>43</v>
      </c>
      <c r="B452">
        <v>3822000994</v>
      </c>
      <c r="C452">
        <v>3822001184</v>
      </c>
      <c r="D452" t="str">
        <f>T("[연재]후회 없게 해 드립니다 80화")</f>
        <v>[연재]후회 없게 해 드립니다 80화</v>
      </c>
      <c r="E452" t="str">
        <f>T("80")</f>
        <v>80</v>
      </c>
      <c r="F452" t="str">
        <f>T("소하")</f>
        <v>소하</v>
      </c>
      <c r="I452" t="str">
        <f>T("비포선셋")</f>
        <v>비포선셋</v>
      </c>
      <c r="J452" t="str">
        <f>T("[연재]후회 없게 해 드립니다")</f>
        <v>[연재]후회 없게 해 드립니다</v>
      </c>
      <c r="K452">
        <v>100</v>
      </c>
      <c r="L452">
        <v>8200</v>
      </c>
      <c r="M452">
        <v>82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-300</v>
      </c>
      <c r="Y452">
        <v>3</v>
      </c>
      <c r="Z452">
        <v>-300</v>
      </c>
      <c r="AA452">
        <v>3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4740</v>
      </c>
      <c r="AN452" t="str">
        <f>T("9791190142953")</f>
        <v>9791190142953</v>
      </c>
      <c r="AP452" t="str">
        <f>T("로맨스 웹소설 &gt; 판타지물")</f>
        <v>로맨스 웹소설 &gt; 판타지물</v>
      </c>
    </row>
    <row r="453" spans="1:42" x14ac:dyDescent="0.4">
      <c r="A453" t="s">
        <v>43</v>
      </c>
      <c r="B453">
        <v>3822000994</v>
      </c>
      <c r="C453">
        <v>3822001026</v>
      </c>
      <c r="D453" t="str">
        <f>T("[연재]후회 없게 해 드립니다 33화")</f>
        <v>[연재]후회 없게 해 드립니다 33화</v>
      </c>
      <c r="E453" t="str">
        <f>T("33")</f>
        <v>33</v>
      </c>
      <c r="F453" t="str">
        <f>T("소하")</f>
        <v>소하</v>
      </c>
      <c r="I453" t="str">
        <f>T("비포선셋")</f>
        <v>비포선셋</v>
      </c>
      <c r="J453" t="str">
        <f>T("[연재]후회 없게 해 드립니다")</f>
        <v>[연재]후회 없게 해 드립니다</v>
      </c>
      <c r="K453">
        <v>100</v>
      </c>
      <c r="L453">
        <v>8200</v>
      </c>
      <c r="M453">
        <v>82</v>
      </c>
      <c r="N453">
        <v>0</v>
      </c>
      <c r="O453">
        <v>0</v>
      </c>
      <c r="P453">
        <v>0</v>
      </c>
      <c r="Q453">
        <v>2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-200</v>
      </c>
      <c r="Y453">
        <v>2</v>
      </c>
      <c r="Z453">
        <v>-200</v>
      </c>
      <c r="AA453">
        <v>2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4800</v>
      </c>
      <c r="AN453" t="str">
        <f>T("9791190142953")</f>
        <v>9791190142953</v>
      </c>
      <c r="AP453" t="str">
        <f>T("로맨스 웹소설 &gt; 판타지물")</f>
        <v>로맨스 웹소설 &gt; 판타지물</v>
      </c>
    </row>
    <row r="454" spans="1:42" x14ac:dyDescent="0.4">
      <c r="A454" t="s">
        <v>43</v>
      </c>
      <c r="B454">
        <v>3822000994</v>
      </c>
      <c r="C454">
        <v>3822001027</v>
      </c>
      <c r="D454" t="str">
        <f>T("[연재]후회 없게 해 드립니다 34화")</f>
        <v>[연재]후회 없게 해 드립니다 34화</v>
      </c>
      <c r="E454" t="str">
        <f>T("34")</f>
        <v>34</v>
      </c>
      <c r="F454" t="str">
        <f>T("소하")</f>
        <v>소하</v>
      </c>
      <c r="I454" t="str">
        <f>T("비포선셋")</f>
        <v>비포선셋</v>
      </c>
      <c r="J454" t="str">
        <f>T("[연재]후회 없게 해 드립니다")</f>
        <v>[연재]후회 없게 해 드립니다</v>
      </c>
      <c r="K454">
        <v>100</v>
      </c>
      <c r="L454">
        <v>7900</v>
      </c>
      <c r="M454">
        <v>79</v>
      </c>
      <c r="N454">
        <v>0</v>
      </c>
      <c r="O454">
        <v>0</v>
      </c>
      <c r="P454">
        <v>0</v>
      </c>
      <c r="Q454">
        <v>2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-200</v>
      </c>
      <c r="Y454">
        <v>2</v>
      </c>
      <c r="Z454">
        <v>-200</v>
      </c>
      <c r="AA454">
        <v>2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4620</v>
      </c>
      <c r="AN454" t="str">
        <f>T("9791190142953")</f>
        <v>9791190142953</v>
      </c>
      <c r="AP454" t="str">
        <f>T("로맨스 웹소설 &gt; 판타지물")</f>
        <v>로맨스 웹소설 &gt; 판타지물</v>
      </c>
    </row>
    <row r="455" spans="1:42" x14ac:dyDescent="0.4">
      <c r="A455" t="s">
        <v>43</v>
      </c>
      <c r="B455">
        <v>3822000994</v>
      </c>
      <c r="C455">
        <v>3822001028</v>
      </c>
      <c r="D455" t="str">
        <f>T("[연재]후회 없게 해 드립니다 35화")</f>
        <v>[연재]후회 없게 해 드립니다 35화</v>
      </c>
      <c r="E455" t="str">
        <f>T("35")</f>
        <v>35</v>
      </c>
      <c r="F455" t="str">
        <f>T("소하")</f>
        <v>소하</v>
      </c>
      <c r="I455" t="str">
        <f>T("비포선셋")</f>
        <v>비포선셋</v>
      </c>
      <c r="J455" t="str">
        <f>T("[연재]후회 없게 해 드립니다")</f>
        <v>[연재]후회 없게 해 드립니다</v>
      </c>
      <c r="K455">
        <v>100</v>
      </c>
      <c r="L455">
        <v>7800</v>
      </c>
      <c r="M455">
        <v>78</v>
      </c>
      <c r="N455">
        <v>0</v>
      </c>
      <c r="O455">
        <v>0</v>
      </c>
      <c r="P455">
        <v>0</v>
      </c>
      <c r="Q455">
        <v>2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-200</v>
      </c>
      <c r="Y455">
        <v>2</v>
      </c>
      <c r="Z455">
        <v>-200</v>
      </c>
      <c r="AA455">
        <v>2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4560</v>
      </c>
      <c r="AN455" t="str">
        <f>T("9791190142953")</f>
        <v>9791190142953</v>
      </c>
      <c r="AP455" t="str">
        <f>T("로맨스 웹소설 &gt; 판타지물")</f>
        <v>로맨스 웹소설 &gt; 판타지물</v>
      </c>
    </row>
    <row r="456" spans="1:42" x14ac:dyDescent="0.4">
      <c r="A456" t="s">
        <v>43</v>
      </c>
      <c r="B456">
        <v>3822000645</v>
      </c>
      <c r="C456">
        <v>3822000652</v>
      </c>
      <c r="D456" t="str">
        <f>T("[연재]방송 켜셔야죠 8화")</f>
        <v>[연재]방송 켜셔야죠 8화</v>
      </c>
      <c r="E456" t="str">
        <f>T("8")</f>
        <v>8</v>
      </c>
      <c r="F456" t="str">
        <f>T("파란비")</f>
        <v>파란비</v>
      </c>
      <c r="I456" t="str">
        <f>T("딥블렌드")</f>
        <v>딥블렌드</v>
      </c>
      <c r="J456" t="str">
        <f>T("[연재]방송 켜셔야죠")</f>
        <v>[연재]방송 켜셔야죠</v>
      </c>
      <c r="K456">
        <v>100</v>
      </c>
      <c r="L456">
        <v>7800</v>
      </c>
      <c r="M456">
        <v>78</v>
      </c>
      <c r="N456">
        <v>0</v>
      </c>
      <c r="O456">
        <v>0</v>
      </c>
      <c r="P456">
        <v>0</v>
      </c>
      <c r="Q456">
        <v>141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4680</v>
      </c>
      <c r="AN456" t="str">
        <f>T("9791190142717")</f>
        <v>9791190142717</v>
      </c>
      <c r="AP456" t="str">
        <f>T("BL 웹소설 &gt; 현대물")</f>
        <v>BL 웹소설 &gt; 현대물</v>
      </c>
    </row>
    <row r="457" spans="1:42" x14ac:dyDescent="0.4">
      <c r="A457" t="s">
        <v>43</v>
      </c>
      <c r="B457">
        <v>3822000994</v>
      </c>
      <c r="C457">
        <v>3822001183</v>
      </c>
      <c r="D457" t="str">
        <f>T("[연재]후회 없게 해 드립니다 79화")</f>
        <v>[연재]후회 없게 해 드립니다 79화</v>
      </c>
      <c r="E457" t="str">
        <f>T("79")</f>
        <v>79</v>
      </c>
      <c r="F457" t="str">
        <f>T("소하")</f>
        <v>소하</v>
      </c>
      <c r="I457" t="str">
        <f>T("비포선셋")</f>
        <v>비포선셋</v>
      </c>
      <c r="J457" t="str">
        <f>T("[연재]후회 없게 해 드립니다")</f>
        <v>[연재]후회 없게 해 드립니다</v>
      </c>
      <c r="K457">
        <v>100</v>
      </c>
      <c r="L457">
        <v>7600</v>
      </c>
      <c r="M457">
        <v>76</v>
      </c>
      <c r="N457">
        <v>0</v>
      </c>
      <c r="O457">
        <v>0</v>
      </c>
      <c r="P457">
        <v>0</v>
      </c>
      <c r="Q457">
        <v>2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-300</v>
      </c>
      <c r="Y457">
        <v>3</v>
      </c>
      <c r="Z457">
        <v>-300</v>
      </c>
      <c r="AA457">
        <v>3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4380</v>
      </c>
      <c r="AN457" t="str">
        <f>T("9791190142953")</f>
        <v>9791190142953</v>
      </c>
      <c r="AP457" t="str">
        <f>T("로맨스 웹소설 &gt; 판타지물")</f>
        <v>로맨스 웹소설 &gt; 판타지물</v>
      </c>
    </row>
    <row r="458" spans="1:42" x14ac:dyDescent="0.4">
      <c r="A458" t="s">
        <v>43</v>
      </c>
      <c r="B458">
        <v>3822000728</v>
      </c>
      <c r="C458">
        <v>3822000728</v>
      </c>
      <c r="D458" t="str">
        <f>T("체리콕 1권")</f>
        <v>체리콕 1권</v>
      </c>
      <c r="E458" t="str">
        <f>T("1")</f>
        <v>1</v>
      </c>
      <c r="F458" t="str">
        <f>T("물링")</f>
        <v>물링</v>
      </c>
      <c r="I458" t="str">
        <f>T("딥블렌드")</f>
        <v>딥블렌드</v>
      </c>
      <c r="J458" t="str">
        <f>T("체리콕")</f>
        <v>체리콕</v>
      </c>
      <c r="K458">
        <v>3600</v>
      </c>
      <c r="L458">
        <v>7200</v>
      </c>
      <c r="M458">
        <v>2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10800</v>
      </c>
      <c r="U458">
        <v>3</v>
      </c>
      <c r="V458">
        <v>54450</v>
      </c>
      <c r="W458">
        <v>33</v>
      </c>
      <c r="X458">
        <v>-3600</v>
      </c>
      <c r="Y458">
        <v>1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-3600</v>
      </c>
      <c r="AG458">
        <v>1</v>
      </c>
      <c r="AH458">
        <v>0</v>
      </c>
      <c r="AI458">
        <v>0</v>
      </c>
      <c r="AJ458">
        <v>48195</v>
      </c>
      <c r="AL458" t="str">
        <f>T("0000000000000")</f>
        <v>0000000000000</v>
      </c>
      <c r="AN458" t="str">
        <f>T("9791190142762")</f>
        <v>9791190142762</v>
      </c>
      <c r="AP458" t="str">
        <f>T("BL 소설 e북 &gt; 현대물")</f>
        <v>BL 소설 e북 &gt; 현대물</v>
      </c>
    </row>
    <row r="459" spans="1:42" x14ac:dyDescent="0.4">
      <c r="A459" t="s">
        <v>43</v>
      </c>
      <c r="B459">
        <v>3822000728</v>
      </c>
      <c r="C459">
        <v>3822000729</v>
      </c>
      <c r="D459" t="str">
        <f>T("체리콕 2권 (완결)")</f>
        <v>체리콕 2권 (완결)</v>
      </c>
      <c r="E459" t="str">
        <f>T("2")</f>
        <v>2</v>
      </c>
      <c r="F459" t="str">
        <f>T("물링")</f>
        <v>물링</v>
      </c>
      <c r="I459" t="str">
        <f>T("딥블렌드")</f>
        <v>딥블렌드</v>
      </c>
      <c r="J459" t="str">
        <f>T("체리콕")</f>
        <v>체리콕</v>
      </c>
      <c r="K459">
        <v>3600</v>
      </c>
      <c r="L459">
        <v>7200</v>
      </c>
      <c r="M459">
        <v>2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10800</v>
      </c>
      <c r="U459">
        <v>3</v>
      </c>
      <c r="V459">
        <v>54450</v>
      </c>
      <c r="W459">
        <v>33</v>
      </c>
      <c r="X459">
        <v>-3600</v>
      </c>
      <c r="Y459">
        <v>1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-3600</v>
      </c>
      <c r="AG459">
        <v>1</v>
      </c>
      <c r="AH459">
        <v>0</v>
      </c>
      <c r="AI459">
        <v>0</v>
      </c>
      <c r="AJ459">
        <v>48195</v>
      </c>
      <c r="AN459" t="str">
        <f>T("9791190142779")</f>
        <v>9791190142779</v>
      </c>
      <c r="AP459" t="str">
        <f>T("BL 소설 e북 &gt; 현대물")</f>
        <v>BL 소설 e북 &gt; 현대물</v>
      </c>
    </row>
    <row r="460" spans="1:42" x14ac:dyDescent="0.4">
      <c r="A460" t="s">
        <v>43</v>
      </c>
      <c r="B460">
        <v>3822000994</v>
      </c>
      <c r="C460">
        <v>3822001029</v>
      </c>
      <c r="D460" t="str">
        <f>T("[연재]후회 없게 해 드립니다 36화")</f>
        <v>[연재]후회 없게 해 드립니다 36화</v>
      </c>
      <c r="E460" t="str">
        <f>T("36")</f>
        <v>36</v>
      </c>
      <c r="F460" t="str">
        <f t="shared" ref="F460:F465" si="101">T("소하")</f>
        <v>소하</v>
      </c>
      <c r="I460" t="str">
        <f t="shared" ref="I460:I465" si="102">T("비포선셋")</f>
        <v>비포선셋</v>
      </c>
      <c r="J460" t="str">
        <f t="shared" ref="J460:J465" si="103">T("[연재]후회 없게 해 드립니다")</f>
        <v>[연재]후회 없게 해 드립니다</v>
      </c>
      <c r="K460">
        <v>100</v>
      </c>
      <c r="L460">
        <v>7000</v>
      </c>
      <c r="M460">
        <v>70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-200</v>
      </c>
      <c r="Y460">
        <v>2</v>
      </c>
      <c r="Z460">
        <v>-200</v>
      </c>
      <c r="AA460">
        <v>2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4080</v>
      </c>
      <c r="AN460" t="str">
        <f t="shared" ref="AN460:AN465" si="104">T("9791190142953")</f>
        <v>9791190142953</v>
      </c>
      <c r="AP460" t="str">
        <f t="shared" ref="AP460:AP465" si="105">T("로맨스 웹소설 &gt; 판타지물")</f>
        <v>로맨스 웹소설 &gt; 판타지물</v>
      </c>
    </row>
    <row r="461" spans="1:42" x14ac:dyDescent="0.4">
      <c r="A461" t="s">
        <v>43</v>
      </c>
      <c r="B461">
        <v>3822000994</v>
      </c>
      <c r="C461">
        <v>3822001034</v>
      </c>
      <c r="D461" t="str">
        <f>T("[연재]후회 없게 해 드립니다 41화")</f>
        <v>[연재]후회 없게 해 드립니다 41화</v>
      </c>
      <c r="E461" t="str">
        <f>T("41")</f>
        <v>41</v>
      </c>
      <c r="F461" t="str">
        <f t="shared" si="101"/>
        <v>소하</v>
      </c>
      <c r="I461" t="str">
        <f t="shared" si="102"/>
        <v>비포선셋</v>
      </c>
      <c r="J461" t="str">
        <f t="shared" si="103"/>
        <v>[연재]후회 없게 해 드립니다</v>
      </c>
      <c r="K461">
        <v>100</v>
      </c>
      <c r="L461">
        <v>7000</v>
      </c>
      <c r="M461">
        <v>70</v>
      </c>
      <c r="N461">
        <v>0</v>
      </c>
      <c r="O461">
        <v>0</v>
      </c>
      <c r="P461">
        <v>0</v>
      </c>
      <c r="Q461">
        <v>4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-200</v>
      </c>
      <c r="Y461">
        <v>2</v>
      </c>
      <c r="Z461">
        <v>-200</v>
      </c>
      <c r="AA461">
        <v>2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4080</v>
      </c>
      <c r="AN461" t="str">
        <f t="shared" si="104"/>
        <v>9791190142953</v>
      </c>
      <c r="AP461" t="str">
        <f t="shared" si="105"/>
        <v>로맨스 웹소설 &gt; 판타지물</v>
      </c>
    </row>
    <row r="462" spans="1:42" x14ac:dyDescent="0.4">
      <c r="A462" t="s">
        <v>43</v>
      </c>
      <c r="B462">
        <v>3822000994</v>
      </c>
      <c r="C462">
        <v>3822001037</v>
      </c>
      <c r="D462" t="str">
        <f>T("[연재]후회 없게 해 드립니다 44화")</f>
        <v>[연재]후회 없게 해 드립니다 44화</v>
      </c>
      <c r="E462" t="str">
        <f>T("44")</f>
        <v>44</v>
      </c>
      <c r="F462" t="str">
        <f t="shared" si="101"/>
        <v>소하</v>
      </c>
      <c r="I462" t="str">
        <f t="shared" si="102"/>
        <v>비포선셋</v>
      </c>
      <c r="J462" t="str">
        <f t="shared" si="103"/>
        <v>[연재]후회 없게 해 드립니다</v>
      </c>
      <c r="K462">
        <v>100</v>
      </c>
      <c r="L462">
        <v>6800</v>
      </c>
      <c r="M462">
        <v>68</v>
      </c>
      <c r="N462">
        <v>0</v>
      </c>
      <c r="O462">
        <v>0</v>
      </c>
      <c r="P462">
        <v>0</v>
      </c>
      <c r="Q462">
        <v>1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-300</v>
      </c>
      <c r="Y462">
        <v>3</v>
      </c>
      <c r="Z462">
        <v>-300</v>
      </c>
      <c r="AA462">
        <v>3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3900</v>
      </c>
      <c r="AN462" t="str">
        <f t="shared" si="104"/>
        <v>9791190142953</v>
      </c>
      <c r="AP462" t="str">
        <f t="shared" si="105"/>
        <v>로맨스 웹소설 &gt; 판타지물</v>
      </c>
    </row>
    <row r="463" spans="1:42" x14ac:dyDescent="0.4">
      <c r="A463" t="s">
        <v>43</v>
      </c>
      <c r="B463">
        <v>3822000994</v>
      </c>
      <c r="C463">
        <v>3822001032</v>
      </c>
      <c r="D463" t="str">
        <f>T("[연재]후회 없게 해 드립니다 39화")</f>
        <v>[연재]후회 없게 해 드립니다 39화</v>
      </c>
      <c r="E463" t="str">
        <f>T("39")</f>
        <v>39</v>
      </c>
      <c r="F463" t="str">
        <f t="shared" si="101"/>
        <v>소하</v>
      </c>
      <c r="I463" t="str">
        <f t="shared" si="102"/>
        <v>비포선셋</v>
      </c>
      <c r="J463" t="str">
        <f t="shared" si="103"/>
        <v>[연재]후회 없게 해 드립니다</v>
      </c>
      <c r="K463">
        <v>100</v>
      </c>
      <c r="L463">
        <v>6700</v>
      </c>
      <c r="M463">
        <v>67</v>
      </c>
      <c r="N463">
        <v>0</v>
      </c>
      <c r="O463">
        <v>0</v>
      </c>
      <c r="P463">
        <v>0</v>
      </c>
      <c r="Q463">
        <v>2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-200</v>
      </c>
      <c r="Y463">
        <v>2</v>
      </c>
      <c r="Z463">
        <v>-200</v>
      </c>
      <c r="AA463">
        <v>2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3900</v>
      </c>
      <c r="AN463" t="str">
        <f t="shared" si="104"/>
        <v>9791190142953</v>
      </c>
      <c r="AP463" t="str">
        <f t="shared" si="105"/>
        <v>로맨스 웹소설 &gt; 판타지물</v>
      </c>
    </row>
    <row r="464" spans="1:42" x14ac:dyDescent="0.4">
      <c r="A464" t="s">
        <v>43</v>
      </c>
      <c r="B464">
        <v>3822000994</v>
      </c>
      <c r="C464">
        <v>3822001033</v>
      </c>
      <c r="D464" t="str">
        <f>T("[연재]후회 없게 해 드립니다 40화")</f>
        <v>[연재]후회 없게 해 드립니다 40화</v>
      </c>
      <c r="E464" t="str">
        <f>T("40")</f>
        <v>40</v>
      </c>
      <c r="F464" t="str">
        <f t="shared" si="101"/>
        <v>소하</v>
      </c>
      <c r="I464" t="str">
        <f t="shared" si="102"/>
        <v>비포선셋</v>
      </c>
      <c r="J464" t="str">
        <f t="shared" si="103"/>
        <v>[연재]후회 없게 해 드립니다</v>
      </c>
      <c r="K464">
        <v>100</v>
      </c>
      <c r="L464">
        <v>6700</v>
      </c>
      <c r="M464">
        <v>67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-200</v>
      </c>
      <c r="Y464">
        <v>2</v>
      </c>
      <c r="Z464">
        <v>-200</v>
      </c>
      <c r="AA464">
        <v>2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3900</v>
      </c>
      <c r="AN464" t="str">
        <f t="shared" si="104"/>
        <v>9791190142953</v>
      </c>
      <c r="AP464" t="str">
        <f t="shared" si="105"/>
        <v>로맨스 웹소설 &gt; 판타지물</v>
      </c>
    </row>
    <row r="465" spans="1:42" x14ac:dyDescent="0.4">
      <c r="A465" t="s">
        <v>43</v>
      </c>
      <c r="B465">
        <v>3822000994</v>
      </c>
      <c r="C465">
        <v>3822001036</v>
      </c>
      <c r="D465" t="str">
        <f>T("[연재]후회 없게 해 드립니다 43화")</f>
        <v>[연재]후회 없게 해 드립니다 43화</v>
      </c>
      <c r="E465" t="str">
        <f>T("43")</f>
        <v>43</v>
      </c>
      <c r="F465" t="str">
        <f t="shared" si="101"/>
        <v>소하</v>
      </c>
      <c r="I465" t="str">
        <f t="shared" si="102"/>
        <v>비포선셋</v>
      </c>
      <c r="J465" t="str">
        <f t="shared" si="103"/>
        <v>[연재]후회 없게 해 드립니다</v>
      </c>
      <c r="K465">
        <v>100</v>
      </c>
      <c r="L465">
        <v>6700</v>
      </c>
      <c r="M465">
        <v>67</v>
      </c>
      <c r="N465">
        <v>0</v>
      </c>
      <c r="O465">
        <v>0</v>
      </c>
      <c r="P465">
        <v>0</v>
      </c>
      <c r="Q465">
        <v>4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-200</v>
      </c>
      <c r="Y465">
        <v>2</v>
      </c>
      <c r="Z465">
        <v>-200</v>
      </c>
      <c r="AA465">
        <v>2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3900</v>
      </c>
      <c r="AN465" t="str">
        <f t="shared" si="104"/>
        <v>9791190142953</v>
      </c>
      <c r="AP465" t="str">
        <f t="shared" si="105"/>
        <v>로맨스 웹소설 &gt; 판타지물</v>
      </c>
    </row>
    <row r="466" spans="1:42" x14ac:dyDescent="0.4">
      <c r="A466" t="s">
        <v>43</v>
      </c>
      <c r="B466">
        <v>3822000748</v>
      </c>
      <c r="C466">
        <v>3822000989</v>
      </c>
      <c r="D466" t="str">
        <f>T("[연재]왓에버 유 두(whatever you do) 156화 외전(11)(완결)")</f>
        <v>[연재]왓에버 유 두(whatever you do) 156화 외전(11)(완결)</v>
      </c>
      <c r="E466" t="str">
        <f>T("156")</f>
        <v>156</v>
      </c>
      <c r="F466" t="str">
        <f>T("원믹")</f>
        <v>원믹</v>
      </c>
      <c r="I466" t="str">
        <f>T("딥블렌드")</f>
        <v>딥블렌드</v>
      </c>
      <c r="J466" t="str">
        <f>T("[연재]왓에버 유 두(whatever you do)")</f>
        <v>[연재]왓에버 유 두(whatever you do)</v>
      </c>
      <c r="K466">
        <v>100</v>
      </c>
      <c r="L466">
        <v>6600</v>
      </c>
      <c r="M466">
        <v>66</v>
      </c>
      <c r="N466">
        <v>0</v>
      </c>
      <c r="O466">
        <v>0</v>
      </c>
      <c r="P466">
        <v>0</v>
      </c>
      <c r="Q466">
        <v>5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-200</v>
      </c>
      <c r="Y466">
        <v>2</v>
      </c>
      <c r="Z466">
        <v>-200</v>
      </c>
      <c r="AA466">
        <v>2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3910</v>
      </c>
      <c r="AN466" t="str">
        <f>T("9791190142793")</f>
        <v>9791190142793</v>
      </c>
      <c r="AP466" t="str">
        <f>T("BL 웹소설 &gt; 현대물")</f>
        <v>BL 웹소설 &gt; 현대물</v>
      </c>
    </row>
    <row r="467" spans="1:42" x14ac:dyDescent="0.4">
      <c r="A467" t="s">
        <v>43</v>
      </c>
      <c r="B467">
        <v>3822000645</v>
      </c>
      <c r="C467">
        <v>3822000649</v>
      </c>
      <c r="D467" t="str">
        <f>T("[연재]방송 켜셔야죠 5화")</f>
        <v>[연재]방송 켜셔야죠 5화</v>
      </c>
      <c r="E467" t="str">
        <f>T("5")</f>
        <v>5</v>
      </c>
      <c r="F467" t="str">
        <f>T("파란비")</f>
        <v>파란비</v>
      </c>
      <c r="I467" t="str">
        <f>T("딥블렌드")</f>
        <v>딥블렌드</v>
      </c>
      <c r="J467" t="str">
        <f>T("[연재]방송 켜셔야죠")</f>
        <v>[연재]방송 켜셔야죠</v>
      </c>
      <c r="K467">
        <v>100</v>
      </c>
      <c r="L467">
        <v>6500</v>
      </c>
      <c r="M467">
        <v>65</v>
      </c>
      <c r="N467">
        <v>0</v>
      </c>
      <c r="O467">
        <v>0</v>
      </c>
      <c r="P467">
        <v>0</v>
      </c>
      <c r="Q467">
        <v>191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3900</v>
      </c>
      <c r="AN467" t="str">
        <f>T("9791190142717")</f>
        <v>9791190142717</v>
      </c>
      <c r="AP467" t="str">
        <f>T("BL 웹소설 &gt; 현대물")</f>
        <v>BL 웹소설 &gt; 현대물</v>
      </c>
    </row>
    <row r="468" spans="1:42" x14ac:dyDescent="0.4">
      <c r="A468" t="s">
        <v>43</v>
      </c>
      <c r="B468">
        <v>3822000994</v>
      </c>
      <c r="C468">
        <v>3822001035</v>
      </c>
      <c r="D468" t="str">
        <f>T("[연재]후회 없게 해 드립니다 42화")</f>
        <v>[연재]후회 없게 해 드립니다 42화</v>
      </c>
      <c r="E468" t="str">
        <f>T("42")</f>
        <v>42</v>
      </c>
      <c r="F468" t="str">
        <f>T("소하")</f>
        <v>소하</v>
      </c>
      <c r="I468" t="str">
        <f>T("비포선셋")</f>
        <v>비포선셋</v>
      </c>
      <c r="J468" t="str">
        <f>T("[연재]후회 없게 해 드립니다")</f>
        <v>[연재]후회 없게 해 드립니다</v>
      </c>
      <c r="K468">
        <v>100</v>
      </c>
      <c r="L468">
        <v>6500</v>
      </c>
      <c r="M468">
        <v>65</v>
      </c>
      <c r="N468">
        <v>0</v>
      </c>
      <c r="O468">
        <v>0</v>
      </c>
      <c r="P468">
        <v>0</v>
      </c>
      <c r="Q468">
        <v>5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-200</v>
      </c>
      <c r="Y468">
        <v>2</v>
      </c>
      <c r="Z468">
        <v>-200</v>
      </c>
      <c r="AA468">
        <v>2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3780</v>
      </c>
      <c r="AN468" t="str">
        <f>T("9791190142953")</f>
        <v>9791190142953</v>
      </c>
      <c r="AP468" t="str">
        <f>T("로맨스 웹소설 &gt; 판타지물")</f>
        <v>로맨스 웹소설 &gt; 판타지물</v>
      </c>
    </row>
    <row r="469" spans="1:42" x14ac:dyDescent="0.4">
      <c r="A469" t="s">
        <v>43</v>
      </c>
      <c r="B469">
        <v>3822000994</v>
      </c>
      <c r="C469">
        <v>3822001038</v>
      </c>
      <c r="D469" t="str">
        <f>T("[연재]후회 없게 해 드립니다 45화")</f>
        <v>[연재]후회 없게 해 드립니다 45화</v>
      </c>
      <c r="E469" t="str">
        <f>T("45")</f>
        <v>45</v>
      </c>
      <c r="F469" t="str">
        <f>T("소하")</f>
        <v>소하</v>
      </c>
      <c r="I469" t="str">
        <f>T("비포선셋")</f>
        <v>비포선셋</v>
      </c>
      <c r="J469" t="str">
        <f>T("[연재]후회 없게 해 드립니다")</f>
        <v>[연재]후회 없게 해 드립니다</v>
      </c>
      <c r="K469">
        <v>100</v>
      </c>
      <c r="L469">
        <v>6500</v>
      </c>
      <c r="M469">
        <v>65</v>
      </c>
      <c r="N469">
        <v>0</v>
      </c>
      <c r="O469">
        <v>0</v>
      </c>
      <c r="P469">
        <v>0</v>
      </c>
      <c r="Q469">
        <v>3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-300</v>
      </c>
      <c r="Y469">
        <v>3</v>
      </c>
      <c r="Z469">
        <v>-300</v>
      </c>
      <c r="AA469">
        <v>3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3720</v>
      </c>
      <c r="AN469" t="str">
        <f>T("9791190142953")</f>
        <v>9791190142953</v>
      </c>
      <c r="AP469" t="str">
        <f>T("로맨스 웹소설 &gt; 판타지물")</f>
        <v>로맨스 웹소설 &gt; 판타지물</v>
      </c>
    </row>
    <row r="470" spans="1:42" x14ac:dyDescent="0.4">
      <c r="A470" t="s">
        <v>43</v>
      </c>
      <c r="B470">
        <v>3822000994</v>
      </c>
      <c r="C470">
        <v>3822001060</v>
      </c>
      <c r="D470" t="str">
        <f>T("[연재]후회 없게 해 드립니다 51화")</f>
        <v>[연재]후회 없게 해 드립니다 51화</v>
      </c>
      <c r="E470" t="str">
        <f>T("51")</f>
        <v>51</v>
      </c>
      <c r="F470" t="str">
        <f>T("소하")</f>
        <v>소하</v>
      </c>
      <c r="I470" t="str">
        <f>T("비포선셋")</f>
        <v>비포선셋</v>
      </c>
      <c r="J470" t="str">
        <f>T("[연재]후회 없게 해 드립니다")</f>
        <v>[연재]후회 없게 해 드립니다</v>
      </c>
      <c r="K470">
        <v>100</v>
      </c>
      <c r="L470">
        <v>6400</v>
      </c>
      <c r="M470">
        <v>64</v>
      </c>
      <c r="N470">
        <v>0</v>
      </c>
      <c r="O470">
        <v>0</v>
      </c>
      <c r="P470">
        <v>0</v>
      </c>
      <c r="Q470">
        <v>4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-300</v>
      </c>
      <c r="Y470">
        <v>3</v>
      </c>
      <c r="Z470">
        <v>-300</v>
      </c>
      <c r="AA470">
        <v>3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3660</v>
      </c>
      <c r="AN470" t="str">
        <f>T("9791190142953")</f>
        <v>9791190142953</v>
      </c>
      <c r="AP470" t="str">
        <f>T("로맨스 웹소설 &gt; 판타지물")</f>
        <v>로맨스 웹소설 &gt; 판타지물</v>
      </c>
    </row>
    <row r="471" spans="1:42" x14ac:dyDescent="0.4">
      <c r="A471" t="s">
        <v>43</v>
      </c>
      <c r="B471">
        <v>3822000994</v>
      </c>
      <c r="C471">
        <v>3822001031</v>
      </c>
      <c r="D471" t="str">
        <f>T("[연재]후회 없게 해 드립니다 38화")</f>
        <v>[연재]후회 없게 해 드립니다 38화</v>
      </c>
      <c r="E471" t="str">
        <f>T("38")</f>
        <v>38</v>
      </c>
      <c r="F471" t="str">
        <f>T("소하")</f>
        <v>소하</v>
      </c>
      <c r="I471" t="str">
        <f>T("비포선셋")</f>
        <v>비포선셋</v>
      </c>
      <c r="J471" t="str">
        <f>T("[연재]후회 없게 해 드립니다")</f>
        <v>[연재]후회 없게 해 드립니다</v>
      </c>
      <c r="K471">
        <v>100</v>
      </c>
      <c r="L471">
        <v>6400</v>
      </c>
      <c r="M471">
        <v>64</v>
      </c>
      <c r="N471">
        <v>0</v>
      </c>
      <c r="O471">
        <v>0</v>
      </c>
      <c r="P471">
        <v>0</v>
      </c>
      <c r="Q471">
        <v>2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-200</v>
      </c>
      <c r="Y471">
        <v>2</v>
      </c>
      <c r="Z471">
        <v>-200</v>
      </c>
      <c r="AA471">
        <v>2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3720</v>
      </c>
      <c r="AN471" t="str">
        <f>T("9791190142953")</f>
        <v>9791190142953</v>
      </c>
      <c r="AP471" t="str">
        <f>T("로맨스 웹소설 &gt; 판타지물")</f>
        <v>로맨스 웹소설 &gt; 판타지물</v>
      </c>
    </row>
    <row r="472" spans="1:42" x14ac:dyDescent="0.4">
      <c r="A472" t="s">
        <v>43</v>
      </c>
      <c r="B472">
        <v>3822000748</v>
      </c>
      <c r="C472">
        <v>3822000977</v>
      </c>
      <c r="D472" t="str">
        <f>T("[연재]왓에버 유 두(whatever you do) 150화 외전(5)")</f>
        <v>[연재]왓에버 유 두(whatever you do) 150화 외전(5)</v>
      </c>
      <c r="E472" t="str">
        <f>T("150")</f>
        <v>150</v>
      </c>
      <c r="F472" t="str">
        <f>T("원믹")</f>
        <v>원믹</v>
      </c>
      <c r="I472" t="str">
        <f>T("딥블렌드")</f>
        <v>딥블렌드</v>
      </c>
      <c r="J472" t="str">
        <f>T("[연재]왓에버 유 두(whatever you do)")</f>
        <v>[연재]왓에버 유 두(whatever you do)</v>
      </c>
      <c r="K472">
        <v>100</v>
      </c>
      <c r="L472">
        <v>6400</v>
      </c>
      <c r="M472">
        <v>64</v>
      </c>
      <c r="N472">
        <v>0</v>
      </c>
      <c r="O472">
        <v>0</v>
      </c>
      <c r="P472">
        <v>0</v>
      </c>
      <c r="Q472">
        <v>6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-100</v>
      </c>
      <c r="Y472">
        <v>1</v>
      </c>
      <c r="Z472">
        <v>-100</v>
      </c>
      <c r="AA472">
        <v>1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3850</v>
      </c>
      <c r="AN472" t="str">
        <f>T("9791190142793")</f>
        <v>9791190142793</v>
      </c>
      <c r="AP472" t="str">
        <f>T("BL 웹소설 &gt; 현대물")</f>
        <v>BL 웹소설 &gt; 현대물</v>
      </c>
    </row>
    <row r="473" spans="1:42" x14ac:dyDescent="0.4">
      <c r="A473" t="s">
        <v>43</v>
      </c>
      <c r="B473">
        <v>3822000393</v>
      </c>
      <c r="C473">
        <v>3822000393</v>
      </c>
      <c r="D473" t="str">
        <f>T("그 남자네 집 1권")</f>
        <v>그 남자네 집 1권</v>
      </c>
      <c r="E473" t="str">
        <f>T("1")</f>
        <v>1</v>
      </c>
      <c r="F473" t="str">
        <f>T("이은솜")</f>
        <v>이은솜</v>
      </c>
      <c r="I473" t="str">
        <f>T("딥블렌드")</f>
        <v>딥블렌드</v>
      </c>
      <c r="J473" t="str">
        <f>T("그 남자네 집")</f>
        <v>그 남자네 집</v>
      </c>
      <c r="K473">
        <v>3200</v>
      </c>
      <c r="L473">
        <v>6400</v>
      </c>
      <c r="M473">
        <v>2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6400</v>
      </c>
      <c r="U473">
        <v>2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8960</v>
      </c>
      <c r="AL473" t="str">
        <f>T("0000000000000")</f>
        <v>0000000000000</v>
      </c>
      <c r="AN473" t="str">
        <f>T("9791190142472")</f>
        <v>9791190142472</v>
      </c>
      <c r="AP473" t="str">
        <f>T("BL 소설 e북 &gt; 현대물")</f>
        <v>BL 소설 e북 &gt; 현대물</v>
      </c>
    </row>
    <row r="474" spans="1:42" x14ac:dyDescent="0.4">
      <c r="A474" t="s">
        <v>43</v>
      </c>
      <c r="B474">
        <v>3822000883</v>
      </c>
      <c r="C474">
        <v>3822000884</v>
      </c>
      <c r="D474" t="str">
        <f>T("그 진상 놈이 이렇게 클 리가 없어 2권")</f>
        <v>그 진상 놈이 이렇게 클 리가 없어 2권</v>
      </c>
      <c r="E474" t="str">
        <f>T("2")</f>
        <v>2</v>
      </c>
      <c r="F474" t="str">
        <f>T("첫소절")</f>
        <v>첫소절</v>
      </c>
      <c r="I474" t="str">
        <f>T("딥블렌드")</f>
        <v>딥블렌드</v>
      </c>
      <c r="J474" t="str">
        <f>T("그 진상 놈이 이렇게 클 리가 없어")</f>
        <v>그 진상 놈이 이렇게 클 리가 없어</v>
      </c>
      <c r="K474">
        <v>3200</v>
      </c>
      <c r="L474">
        <v>6400</v>
      </c>
      <c r="M474">
        <v>2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3200</v>
      </c>
      <c r="U474">
        <v>1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6720</v>
      </c>
      <c r="AL474" t="str">
        <f>T("0000000000000")</f>
        <v>0000000000000</v>
      </c>
      <c r="AN474" t="str">
        <f>T("9791190142915")</f>
        <v>9791190142915</v>
      </c>
      <c r="AP474" t="str">
        <f>T("BL 소설 e북 &gt; 현대물")</f>
        <v>BL 소설 e북 &gt; 현대물</v>
      </c>
    </row>
    <row r="475" spans="1:42" x14ac:dyDescent="0.4">
      <c r="A475" t="s">
        <v>43</v>
      </c>
      <c r="B475">
        <v>3822000883</v>
      </c>
      <c r="C475">
        <v>3822000885</v>
      </c>
      <c r="D475" t="str">
        <f>T("그 진상 놈이 이렇게 클 리가 없어 3권 (완결)")</f>
        <v>그 진상 놈이 이렇게 클 리가 없어 3권 (완결)</v>
      </c>
      <c r="E475" t="str">
        <f>T("3")</f>
        <v>3</v>
      </c>
      <c r="F475" t="str">
        <f>T("첫소절")</f>
        <v>첫소절</v>
      </c>
      <c r="I475" t="str">
        <f>T("딥블렌드")</f>
        <v>딥블렌드</v>
      </c>
      <c r="J475" t="str">
        <f>T("그 진상 놈이 이렇게 클 리가 없어")</f>
        <v>그 진상 놈이 이렇게 클 리가 없어</v>
      </c>
      <c r="K475">
        <v>3200</v>
      </c>
      <c r="L475">
        <v>6400</v>
      </c>
      <c r="M475">
        <v>2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3200</v>
      </c>
      <c r="U475">
        <v>1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6720</v>
      </c>
      <c r="AL475" t="str">
        <f>T("0000000000000")</f>
        <v>0000000000000</v>
      </c>
      <c r="AN475" t="str">
        <f>T("9791190142922")</f>
        <v>9791190142922</v>
      </c>
      <c r="AP475" t="str">
        <f>T("BL 소설 e북 &gt; 현대물")</f>
        <v>BL 소설 e북 &gt; 현대물</v>
      </c>
    </row>
    <row r="476" spans="1:42" x14ac:dyDescent="0.4">
      <c r="A476" t="s">
        <v>43</v>
      </c>
      <c r="B476">
        <v>3822000645</v>
      </c>
      <c r="C476">
        <v>3822000651</v>
      </c>
      <c r="D476" t="str">
        <f>T("[연재]방송 켜셔야죠 7화")</f>
        <v>[연재]방송 켜셔야죠 7화</v>
      </c>
      <c r="E476" t="str">
        <f>T("7")</f>
        <v>7</v>
      </c>
      <c r="F476" t="str">
        <f>T("파란비")</f>
        <v>파란비</v>
      </c>
      <c r="I476" t="str">
        <f>T("딥블렌드")</f>
        <v>딥블렌드</v>
      </c>
      <c r="J476" t="str">
        <f>T("[연재]방송 켜셔야죠")</f>
        <v>[연재]방송 켜셔야죠</v>
      </c>
      <c r="K476">
        <v>100</v>
      </c>
      <c r="L476">
        <v>6300</v>
      </c>
      <c r="M476">
        <v>63</v>
      </c>
      <c r="N476">
        <v>0</v>
      </c>
      <c r="O476">
        <v>0</v>
      </c>
      <c r="P476">
        <v>0</v>
      </c>
      <c r="Q476">
        <v>183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3780</v>
      </c>
      <c r="AN476" t="str">
        <f>T("9791190142717")</f>
        <v>9791190142717</v>
      </c>
      <c r="AP476" t="str">
        <f>T("BL 웹소설 &gt; 현대물")</f>
        <v>BL 웹소설 &gt; 현대물</v>
      </c>
    </row>
    <row r="477" spans="1:42" x14ac:dyDescent="0.4">
      <c r="A477" t="s">
        <v>43</v>
      </c>
      <c r="B477">
        <v>3822000994</v>
      </c>
      <c r="C477">
        <v>3822001049</v>
      </c>
      <c r="D477" t="str">
        <f>T("[연재]후회 없게 해 드립니다 46화")</f>
        <v>[연재]후회 없게 해 드립니다 46화</v>
      </c>
      <c r="E477" t="str">
        <f>T("46")</f>
        <v>46</v>
      </c>
      <c r="F477" t="str">
        <f>T("소하")</f>
        <v>소하</v>
      </c>
      <c r="I477" t="str">
        <f>T("비포선셋")</f>
        <v>비포선셋</v>
      </c>
      <c r="J477" t="str">
        <f>T("[연재]후회 없게 해 드립니다")</f>
        <v>[연재]후회 없게 해 드립니다</v>
      </c>
      <c r="K477">
        <v>100</v>
      </c>
      <c r="L477">
        <v>6300</v>
      </c>
      <c r="M477">
        <v>63</v>
      </c>
      <c r="N477">
        <v>0</v>
      </c>
      <c r="O477">
        <v>0</v>
      </c>
      <c r="P477">
        <v>0</v>
      </c>
      <c r="Q477">
        <v>3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-300</v>
      </c>
      <c r="Y477">
        <v>3</v>
      </c>
      <c r="Z477">
        <v>-300</v>
      </c>
      <c r="AA477">
        <v>3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3600</v>
      </c>
      <c r="AN477" t="str">
        <f>T("9791190142953")</f>
        <v>9791190142953</v>
      </c>
      <c r="AP477" t="str">
        <f>T("로맨스 웹소설 &gt; 판타지물")</f>
        <v>로맨스 웹소설 &gt; 판타지물</v>
      </c>
    </row>
    <row r="478" spans="1:42" x14ac:dyDescent="0.4">
      <c r="A478" t="s">
        <v>43</v>
      </c>
      <c r="B478">
        <v>3822000994</v>
      </c>
      <c r="C478">
        <v>3822001182</v>
      </c>
      <c r="D478" t="str">
        <f>T("[연재]후회 없게 해 드립니다 78화")</f>
        <v>[연재]후회 없게 해 드립니다 78화</v>
      </c>
      <c r="E478" t="str">
        <f>T("78")</f>
        <v>78</v>
      </c>
      <c r="F478" t="str">
        <f>T("소하")</f>
        <v>소하</v>
      </c>
      <c r="I478" t="str">
        <f>T("비포선셋")</f>
        <v>비포선셋</v>
      </c>
      <c r="J478" t="str">
        <f>T("[연재]후회 없게 해 드립니다")</f>
        <v>[연재]후회 없게 해 드립니다</v>
      </c>
      <c r="K478">
        <v>100</v>
      </c>
      <c r="L478">
        <v>6300</v>
      </c>
      <c r="M478">
        <v>63</v>
      </c>
      <c r="N478">
        <v>0</v>
      </c>
      <c r="O478">
        <v>0</v>
      </c>
      <c r="P478">
        <v>0</v>
      </c>
      <c r="Q478">
        <v>3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-300</v>
      </c>
      <c r="Y478">
        <v>3</v>
      </c>
      <c r="Z478">
        <v>-300</v>
      </c>
      <c r="AA478">
        <v>3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3600</v>
      </c>
      <c r="AN478" t="str">
        <f>T("9791190142953")</f>
        <v>9791190142953</v>
      </c>
      <c r="AP478" t="str">
        <f>T("로맨스 웹소설 &gt; 판타지물")</f>
        <v>로맨스 웹소설 &gt; 판타지물</v>
      </c>
    </row>
    <row r="479" spans="1:42" x14ac:dyDescent="0.4">
      <c r="A479" t="s">
        <v>43</v>
      </c>
      <c r="B479">
        <v>3822000994</v>
      </c>
      <c r="C479">
        <v>3822001071</v>
      </c>
      <c r="D479" t="str">
        <f>T("[연재]후회 없게 해 드립니다 62화")</f>
        <v>[연재]후회 없게 해 드립니다 62화</v>
      </c>
      <c r="E479" t="str">
        <f>T("62")</f>
        <v>62</v>
      </c>
      <c r="F479" t="str">
        <f>T("소하")</f>
        <v>소하</v>
      </c>
      <c r="I479" t="str">
        <f>T("비포선셋")</f>
        <v>비포선셋</v>
      </c>
      <c r="J479" t="str">
        <f>T("[연재]후회 없게 해 드립니다")</f>
        <v>[연재]후회 없게 해 드립니다</v>
      </c>
      <c r="K479">
        <v>100</v>
      </c>
      <c r="L479">
        <v>6200</v>
      </c>
      <c r="M479">
        <v>62</v>
      </c>
      <c r="N479">
        <v>0</v>
      </c>
      <c r="O479">
        <v>0</v>
      </c>
      <c r="P479">
        <v>0</v>
      </c>
      <c r="Q479">
        <v>2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-400</v>
      </c>
      <c r="Y479">
        <v>4</v>
      </c>
      <c r="Z479">
        <v>-400</v>
      </c>
      <c r="AA479">
        <v>4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3480</v>
      </c>
      <c r="AN479" t="str">
        <f>T("9791190142953")</f>
        <v>9791190142953</v>
      </c>
      <c r="AP479" t="str">
        <f>T("로맨스 웹소설 &gt; 판타지물")</f>
        <v>로맨스 웹소설 &gt; 판타지물</v>
      </c>
    </row>
    <row r="480" spans="1:42" x14ac:dyDescent="0.4">
      <c r="A480" t="s">
        <v>43</v>
      </c>
      <c r="B480">
        <v>3822000994</v>
      </c>
      <c r="C480">
        <v>3822001030</v>
      </c>
      <c r="D480" t="str">
        <f>T("[연재]후회 없게 해 드립니다 37화")</f>
        <v>[연재]후회 없게 해 드립니다 37화</v>
      </c>
      <c r="E480" t="str">
        <f>T("37")</f>
        <v>37</v>
      </c>
      <c r="F480" t="str">
        <f>T("소하")</f>
        <v>소하</v>
      </c>
      <c r="I480" t="str">
        <f>T("비포선셋")</f>
        <v>비포선셋</v>
      </c>
      <c r="J480" t="str">
        <f>T("[연재]후회 없게 해 드립니다")</f>
        <v>[연재]후회 없게 해 드립니다</v>
      </c>
      <c r="K480">
        <v>100</v>
      </c>
      <c r="L480">
        <v>6200</v>
      </c>
      <c r="M480">
        <v>62</v>
      </c>
      <c r="N480">
        <v>0</v>
      </c>
      <c r="O480">
        <v>0</v>
      </c>
      <c r="P480">
        <v>0</v>
      </c>
      <c r="Q480">
        <v>2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-200</v>
      </c>
      <c r="Y480">
        <v>2</v>
      </c>
      <c r="Z480">
        <v>-200</v>
      </c>
      <c r="AA480">
        <v>2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3600</v>
      </c>
      <c r="AN480" t="str">
        <f>T("9791190142953")</f>
        <v>9791190142953</v>
      </c>
      <c r="AP480" t="str">
        <f>T("로맨스 웹소설 &gt; 판타지물")</f>
        <v>로맨스 웹소설 &gt; 판타지물</v>
      </c>
    </row>
    <row r="481" spans="1:43" x14ac:dyDescent="0.4">
      <c r="A481" t="s">
        <v>43</v>
      </c>
      <c r="B481">
        <v>3822000645</v>
      </c>
      <c r="C481">
        <v>3822000650</v>
      </c>
      <c r="D481" t="str">
        <f>T("[연재]방송 켜셔야죠 6화")</f>
        <v>[연재]방송 켜셔야죠 6화</v>
      </c>
      <c r="E481" t="str">
        <f>T("6")</f>
        <v>6</v>
      </c>
      <c r="F481" t="str">
        <f>T("파란비")</f>
        <v>파란비</v>
      </c>
      <c r="I481" t="str">
        <f>T("딥블렌드")</f>
        <v>딥블렌드</v>
      </c>
      <c r="J481" t="str">
        <f>T("[연재]방송 켜셔야죠")</f>
        <v>[연재]방송 켜셔야죠</v>
      </c>
      <c r="K481">
        <v>100</v>
      </c>
      <c r="L481">
        <v>6200</v>
      </c>
      <c r="M481">
        <v>62</v>
      </c>
      <c r="N481">
        <v>0</v>
      </c>
      <c r="O481">
        <v>0</v>
      </c>
      <c r="P481">
        <v>0</v>
      </c>
      <c r="Q481">
        <v>187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3720</v>
      </c>
      <c r="AN481" t="str">
        <f>T("9791190142717")</f>
        <v>9791190142717</v>
      </c>
      <c r="AP481" t="str">
        <f>T("BL 웹소설 &gt; 현대물")</f>
        <v>BL 웹소설 &gt; 현대물</v>
      </c>
    </row>
    <row r="482" spans="1:43" x14ac:dyDescent="0.4">
      <c r="A482" t="s">
        <v>43</v>
      </c>
      <c r="B482">
        <v>3822000748</v>
      </c>
      <c r="C482">
        <v>3822000985</v>
      </c>
      <c r="D482" t="str">
        <f>T("[연재]왓에버 유 두(whatever you do) 152화 외전(7)")</f>
        <v>[연재]왓에버 유 두(whatever you do) 152화 외전(7)</v>
      </c>
      <c r="E482" t="str">
        <f>T("152")</f>
        <v>152</v>
      </c>
      <c r="F482" t="str">
        <f>T("원믹")</f>
        <v>원믹</v>
      </c>
      <c r="I482" t="str">
        <f>T("딥블렌드")</f>
        <v>딥블렌드</v>
      </c>
      <c r="J482" t="str">
        <f>T("[연재]왓에버 유 두(whatever you do)")</f>
        <v>[연재]왓에버 유 두(whatever you do)</v>
      </c>
      <c r="K482">
        <v>100</v>
      </c>
      <c r="L482">
        <v>6200</v>
      </c>
      <c r="M482">
        <v>62</v>
      </c>
      <c r="N482">
        <v>0</v>
      </c>
      <c r="O482">
        <v>0</v>
      </c>
      <c r="P482">
        <v>0</v>
      </c>
      <c r="Q482">
        <v>5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-100</v>
      </c>
      <c r="Y482">
        <v>1</v>
      </c>
      <c r="Z482">
        <v>-100</v>
      </c>
      <c r="AA482">
        <v>1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3730</v>
      </c>
      <c r="AN482" t="str">
        <f>T("9791190142793")</f>
        <v>9791190142793</v>
      </c>
      <c r="AP482" t="str">
        <f>T("BL 웹소설 &gt; 현대물")</f>
        <v>BL 웹소설 &gt; 현대물</v>
      </c>
    </row>
    <row r="483" spans="1:43" x14ac:dyDescent="0.4">
      <c r="A483" t="s">
        <v>43</v>
      </c>
      <c r="B483">
        <v>3822000994</v>
      </c>
      <c r="C483">
        <v>3822001059</v>
      </c>
      <c r="D483" t="str">
        <f>T("[연재]후회 없게 해 드립니다 50화")</f>
        <v>[연재]후회 없게 해 드립니다 50화</v>
      </c>
      <c r="E483" t="str">
        <f>T("50")</f>
        <v>50</v>
      </c>
      <c r="F483" t="str">
        <f>T("소하")</f>
        <v>소하</v>
      </c>
      <c r="I483" t="str">
        <f>T("비포선셋")</f>
        <v>비포선셋</v>
      </c>
      <c r="J483" t="str">
        <f>T("[연재]후회 없게 해 드립니다")</f>
        <v>[연재]후회 없게 해 드립니다</v>
      </c>
      <c r="K483">
        <v>100</v>
      </c>
      <c r="L483">
        <v>6100</v>
      </c>
      <c r="M483">
        <v>61</v>
      </c>
      <c r="N483">
        <v>0</v>
      </c>
      <c r="O483">
        <v>0</v>
      </c>
      <c r="P483">
        <v>0</v>
      </c>
      <c r="Q483">
        <v>3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-300</v>
      </c>
      <c r="Y483">
        <v>3</v>
      </c>
      <c r="Z483">
        <v>-300</v>
      </c>
      <c r="AA483">
        <v>3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3480</v>
      </c>
      <c r="AN483" t="str">
        <f>T("9791190142953")</f>
        <v>9791190142953</v>
      </c>
      <c r="AP483" t="str">
        <f>T("로맨스 웹소설 &gt; 판타지물")</f>
        <v>로맨스 웹소설 &gt; 판타지물</v>
      </c>
    </row>
    <row r="484" spans="1:43" x14ac:dyDescent="0.4">
      <c r="A484" t="s">
        <v>43</v>
      </c>
      <c r="B484">
        <v>3822000748</v>
      </c>
      <c r="C484">
        <v>3822000988</v>
      </c>
      <c r="D484" t="str">
        <f>T("[연재]왓에버 유 두(whatever you do) 155화 외전(10)")</f>
        <v>[연재]왓에버 유 두(whatever you do) 155화 외전(10)</v>
      </c>
      <c r="E484" t="str">
        <f>T("155")</f>
        <v>155</v>
      </c>
      <c r="F484" t="str">
        <f>T("원믹")</f>
        <v>원믹</v>
      </c>
      <c r="I484" t="str">
        <f>T("딥블렌드")</f>
        <v>딥블렌드</v>
      </c>
      <c r="J484" t="str">
        <f>T("[연재]왓에버 유 두(whatever you do)")</f>
        <v>[연재]왓에버 유 두(whatever you do)</v>
      </c>
      <c r="K484">
        <v>100</v>
      </c>
      <c r="L484">
        <v>6100</v>
      </c>
      <c r="M484">
        <v>61</v>
      </c>
      <c r="N484">
        <v>0</v>
      </c>
      <c r="O484">
        <v>0</v>
      </c>
      <c r="P484">
        <v>0</v>
      </c>
      <c r="Q484">
        <v>4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-100</v>
      </c>
      <c r="Y484">
        <v>1</v>
      </c>
      <c r="Z484">
        <v>-100</v>
      </c>
      <c r="AA484">
        <v>1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3660</v>
      </c>
      <c r="AN484" t="str">
        <f>T("9791190142793")</f>
        <v>9791190142793</v>
      </c>
      <c r="AP484" t="str">
        <f>T("BL 웹소설 &gt; 현대물")</f>
        <v>BL 웹소설 &gt; 현대물</v>
      </c>
    </row>
    <row r="485" spans="1:43" x14ac:dyDescent="0.4">
      <c r="A485" t="s">
        <v>43</v>
      </c>
      <c r="B485">
        <v>3822000994</v>
      </c>
      <c r="C485">
        <v>3822001147</v>
      </c>
      <c r="D485" t="str">
        <f>T("[연재]후회 없게 해 드립니다 71화")</f>
        <v>[연재]후회 없게 해 드립니다 71화</v>
      </c>
      <c r="E485" t="str">
        <f>T("71")</f>
        <v>71</v>
      </c>
      <c r="F485" t="str">
        <f>T("소하")</f>
        <v>소하</v>
      </c>
      <c r="I485" t="str">
        <f>T("비포선셋")</f>
        <v>비포선셋</v>
      </c>
      <c r="J485" t="str">
        <f>T("[연재]후회 없게 해 드립니다")</f>
        <v>[연재]후회 없게 해 드립니다</v>
      </c>
      <c r="K485">
        <v>100</v>
      </c>
      <c r="L485">
        <v>6100</v>
      </c>
      <c r="M485">
        <v>61</v>
      </c>
      <c r="N485">
        <v>0</v>
      </c>
      <c r="O485">
        <v>0</v>
      </c>
      <c r="P485">
        <v>0</v>
      </c>
      <c r="Q485">
        <v>2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-300</v>
      </c>
      <c r="Y485">
        <v>3</v>
      </c>
      <c r="Z485">
        <v>-300</v>
      </c>
      <c r="AA485">
        <v>3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3480</v>
      </c>
      <c r="AN485" t="str">
        <f>T("9791190142953")</f>
        <v>9791190142953</v>
      </c>
      <c r="AP485" t="str">
        <f>T("로맨스 웹소설 &gt; 판타지물")</f>
        <v>로맨스 웹소설 &gt; 판타지물</v>
      </c>
    </row>
    <row r="486" spans="1:43" x14ac:dyDescent="0.4">
      <c r="A486" t="s">
        <v>43</v>
      </c>
      <c r="B486">
        <v>3822000748</v>
      </c>
      <c r="C486">
        <v>3822000978</v>
      </c>
      <c r="D486" t="str">
        <f>T("[연재]왓에버 유 두(whatever you do) 151화 외전(6)")</f>
        <v>[연재]왓에버 유 두(whatever you do) 151화 외전(6)</v>
      </c>
      <c r="E486" t="str">
        <f>T("151")</f>
        <v>151</v>
      </c>
      <c r="F486" t="str">
        <f>T("원믹")</f>
        <v>원믹</v>
      </c>
      <c r="I486" t="str">
        <f>T("딥블렌드")</f>
        <v>딥블렌드</v>
      </c>
      <c r="J486" t="str">
        <f>T("[연재]왓에버 유 두(whatever you do)")</f>
        <v>[연재]왓에버 유 두(whatever you do)</v>
      </c>
      <c r="K486">
        <v>100</v>
      </c>
      <c r="L486">
        <v>6100</v>
      </c>
      <c r="M486">
        <v>61</v>
      </c>
      <c r="N486">
        <v>0</v>
      </c>
      <c r="O486">
        <v>0</v>
      </c>
      <c r="P486">
        <v>0</v>
      </c>
      <c r="Q486">
        <v>6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-100</v>
      </c>
      <c r="Y486">
        <v>1</v>
      </c>
      <c r="Z486">
        <v>-100</v>
      </c>
      <c r="AA486">
        <v>1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3670</v>
      </c>
      <c r="AN486" t="str">
        <f>T("9791190142793")</f>
        <v>9791190142793</v>
      </c>
      <c r="AP486" t="str">
        <f>T("BL 웹소설 &gt; 현대물")</f>
        <v>BL 웹소설 &gt; 현대물</v>
      </c>
    </row>
    <row r="487" spans="1:43" x14ac:dyDescent="0.4">
      <c r="A487" t="s">
        <v>43</v>
      </c>
      <c r="B487">
        <v>3822000748</v>
      </c>
      <c r="C487">
        <v>3822000986</v>
      </c>
      <c r="D487" t="str">
        <f>T("[연재]왓에버 유 두(whatever you do) 153화 외전(8)")</f>
        <v>[연재]왓에버 유 두(whatever you do) 153화 외전(8)</v>
      </c>
      <c r="E487" t="str">
        <f>T("153")</f>
        <v>153</v>
      </c>
      <c r="F487" t="str">
        <f>T("원믹")</f>
        <v>원믹</v>
      </c>
      <c r="I487" t="str">
        <f>T("딥블렌드")</f>
        <v>딥블렌드</v>
      </c>
      <c r="J487" t="str">
        <f>T("[연재]왓에버 유 두(whatever you do)")</f>
        <v>[연재]왓에버 유 두(whatever you do)</v>
      </c>
      <c r="K487">
        <v>100</v>
      </c>
      <c r="L487">
        <v>6000</v>
      </c>
      <c r="M487">
        <v>60</v>
      </c>
      <c r="N487">
        <v>0</v>
      </c>
      <c r="O487">
        <v>0</v>
      </c>
      <c r="P487">
        <v>0</v>
      </c>
      <c r="Q487">
        <v>3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-100</v>
      </c>
      <c r="Y487">
        <v>1</v>
      </c>
      <c r="Z487">
        <v>-100</v>
      </c>
      <c r="AA487">
        <v>1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3610</v>
      </c>
      <c r="AN487" t="str">
        <f>T("9791190142793")</f>
        <v>9791190142793</v>
      </c>
      <c r="AP487" t="str">
        <f>T("BL 웹소설 &gt; 현대물")</f>
        <v>BL 웹소설 &gt; 현대물</v>
      </c>
    </row>
    <row r="488" spans="1:43" x14ac:dyDescent="0.4">
      <c r="A488" t="s">
        <v>43</v>
      </c>
      <c r="B488">
        <v>3822000748</v>
      </c>
      <c r="C488">
        <v>3822000987</v>
      </c>
      <c r="D488" t="str">
        <f>T("[연재]왓에버 유 두(whatever you do) 154화 외전(9)")</f>
        <v>[연재]왓에버 유 두(whatever you do) 154화 외전(9)</v>
      </c>
      <c r="E488" t="str">
        <f>T("154")</f>
        <v>154</v>
      </c>
      <c r="F488" t="str">
        <f>T("원믹")</f>
        <v>원믹</v>
      </c>
      <c r="I488" t="str">
        <f>T("딥블렌드")</f>
        <v>딥블렌드</v>
      </c>
      <c r="J488" t="str">
        <f>T("[연재]왓에버 유 두(whatever you do)")</f>
        <v>[연재]왓에버 유 두(whatever you do)</v>
      </c>
      <c r="K488">
        <v>100</v>
      </c>
      <c r="L488">
        <v>6000</v>
      </c>
      <c r="M488">
        <v>60</v>
      </c>
      <c r="N488">
        <v>0</v>
      </c>
      <c r="O488">
        <v>0</v>
      </c>
      <c r="P488">
        <v>0</v>
      </c>
      <c r="Q488">
        <v>5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-100</v>
      </c>
      <c r="Y488">
        <v>1</v>
      </c>
      <c r="Z488">
        <v>-100</v>
      </c>
      <c r="AA488">
        <v>1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3600</v>
      </c>
      <c r="AN488" t="str">
        <f>T("9791190142793")</f>
        <v>9791190142793</v>
      </c>
      <c r="AP488" t="str">
        <f>T("BL 웹소설 &gt; 현대물")</f>
        <v>BL 웹소설 &gt; 현대물</v>
      </c>
    </row>
    <row r="489" spans="1:43" x14ac:dyDescent="0.4">
      <c r="A489" t="s">
        <v>43</v>
      </c>
      <c r="B489">
        <v>3822000994</v>
      </c>
      <c r="C489">
        <v>3822001073</v>
      </c>
      <c r="D489" t="str">
        <f>T("[연재]후회 없게 해 드립니다 64화")</f>
        <v>[연재]후회 없게 해 드립니다 64화</v>
      </c>
      <c r="E489" t="str">
        <f>T("64")</f>
        <v>64</v>
      </c>
      <c r="F489" t="str">
        <f>T("소하")</f>
        <v>소하</v>
      </c>
      <c r="I489" t="str">
        <f>T("비포선셋")</f>
        <v>비포선셋</v>
      </c>
      <c r="J489" t="str">
        <f>T("[연재]후회 없게 해 드립니다")</f>
        <v>[연재]후회 없게 해 드립니다</v>
      </c>
      <c r="K489">
        <v>100</v>
      </c>
      <c r="L489">
        <v>6000</v>
      </c>
      <c r="M489">
        <v>60</v>
      </c>
      <c r="N489">
        <v>0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-300</v>
      </c>
      <c r="Y489">
        <v>3</v>
      </c>
      <c r="Z489">
        <v>-300</v>
      </c>
      <c r="AA489">
        <v>3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3420</v>
      </c>
      <c r="AN489" t="str">
        <f>T("9791190142953")</f>
        <v>9791190142953</v>
      </c>
      <c r="AP489" t="str">
        <f>T("로맨스 웹소설 &gt; 판타지물")</f>
        <v>로맨스 웹소설 &gt; 판타지물</v>
      </c>
    </row>
    <row r="490" spans="1:43" x14ac:dyDescent="0.4">
      <c r="A490" t="s">
        <v>43</v>
      </c>
      <c r="B490">
        <v>3822000994</v>
      </c>
      <c r="C490">
        <v>3822001061</v>
      </c>
      <c r="D490" t="str">
        <f>T("[연재]후회 없게 해 드립니다 52화")</f>
        <v>[연재]후회 없게 해 드립니다 52화</v>
      </c>
      <c r="E490" t="str">
        <f>T("52")</f>
        <v>52</v>
      </c>
      <c r="F490" t="str">
        <f>T("소하")</f>
        <v>소하</v>
      </c>
      <c r="I490" t="str">
        <f>T("비포선셋")</f>
        <v>비포선셋</v>
      </c>
      <c r="J490" t="str">
        <f>T("[연재]후회 없게 해 드립니다")</f>
        <v>[연재]후회 없게 해 드립니다</v>
      </c>
      <c r="K490">
        <v>100</v>
      </c>
      <c r="L490">
        <v>6000</v>
      </c>
      <c r="M490">
        <v>60</v>
      </c>
      <c r="N490">
        <v>0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-200</v>
      </c>
      <c r="Y490">
        <v>2</v>
      </c>
      <c r="Z490">
        <v>-200</v>
      </c>
      <c r="AA490">
        <v>2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3480</v>
      </c>
      <c r="AN490" t="str">
        <f>T("9791190142953")</f>
        <v>9791190142953</v>
      </c>
      <c r="AP490" t="str">
        <f>T("로맨스 웹소설 &gt; 판타지물")</f>
        <v>로맨스 웹소설 &gt; 판타지물</v>
      </c>
    </row>
    <row r="491" spans="1:43" x14ac:dyDescent="0.4">
      <c r="A491" t="s">
        <v>43</v>
      </c>
      <c r="B491">
        <v>3822000994</v>
      </c>
      <c r="C491">
        <v>3822001050</v>
      </c>
      <c r="D491" t="str">
        <f>T("[연재]후회 없게 해 드립니다 47화")</f>
        <v>[연재]후회 없게 해 드립니다 47화</v>
      </c>
      <c r="E491" t="str">
        <f>T("47")</f>
        <v>47</v>
      </c>
      <c r="F491" t="str">
        <f>T("소하")</f>
        <v>소하</v>
      </c>
      <c r="I491" t="str">
        <f>T("비포선셋")</f>
        <v>비포선셋</v>
      </c>
      <c r="J491" t="str">
        <f>T("[연재]후회 없게 해 드립니다")</f>
        <v>[연재]후회 없게 해 드립니다</v>
      </c>
      <c r="K491">
        <v>100</v>
      </c>
      <c r="L491">
        <v>6000</v>
      </c>
      <c r="M491">
        <v>60</v>
      </c>
      <c r="N491">
        <v>0</v>
      </c>
      <c r="O491">
        <v>0</v>
      </c>
      <c r="P491">
        <v>0</v>
      </c>
      <c r="Q491">
        <v>3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-300</v>
      </c>
      <c r="Y491">
        <v>3</v>
      </c>
      <c r="Z491">
        <v>-300</v>
      </c>
      <c r="AA491">
        <v>3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3420</v>
      </c>
      <c r="AN491" t="str">
        <f>T("9791190142953")</f>
        <v>9791190142953</v>
      </c>
      <c r="AP491" t="str">
        <f>T("로맨스 웹소설 &gt; 판타지물")</f>
        <v>로맨스 웹소설 &gt; 판타지물</v>
      </c>
    </row>
    <row r="492" spans="1:43" x14ac:dyDescent="0.4">
      <c r="A492" t="s">
        <v>43</v>
      </c>
      <c r="B492">
        <v>3822000023</v>
      </c>
      <c r="C492">
        <v>3822000023</v>
      </c>
      <c r="D492" t="str">
        <f>T("젖어드는 남자")</f>
        <v>젖어드는 남자</v>
      </c>
      <c r="E492" t="str">
        <f>T("1")</f>
        <v>1</v>
      </c>
      <c r="F492" t="str">
        <f>T("주아일")</f>
        <v>주아일</v>
      </c>
      <c r="I492" t="str">
        <f>T("애프터선셋")</f>
        <v>애프터선셋</v>
      </c>
      <c r="J492" t="str">
        <f>T("젖어드는 남자")</f>
        <v>젖어드는 남자</v>
      </c>
      <c r="K492">
        <v>3000</v>
      </c>
      <c r="L492">
        <v>6000</v>
      </c>
      <c r="M492">
        <v>2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4200</v>
      </c>
      <c r="AL492" t="str">
        <f>T("0000000000000")</f>
        <v>0000000000000</v>
      </c>
      <c r="AN492" t="str">
        <f>T("9791190142151")</f>
        <v>9791190142151</v>
      </c>
      <c r="AP492" t="str">
        <f>T("로맨스 e북 &gt; 현대물")</f>
        <v>로맨스 e북 &gt; 현대물</v>
      </c>
      <c r="AQ492" t="str">
        <f>T("로맨스 e북 &gt; 19+")</f>
        <v>로맨스 e북 &gt; 19+</v>
      </c>
    </row>
    <row r="493" spans="1:43" x14ac:dyDescent="0.4">
      <c r="A493" t="s">
        <v>43</v>
      </c>
      <c r="B493">
        <v>3822000994</v>
      </c>
      <c r="C493">
        <v>3822001072</v>
      </c>
      <c r="D493" t="str">
        <f>T("[연재]후회 없게 해 드립니다 63화")</f>
        <v>[연재]후회 없게 해 드립니다 63화</v>
      </c>
      <c r="E493" t="str">
        <f>T("63")</f>
        <v>63</v>
      </c>
      <c r="F493" t="str">
        <f>T("소하")</f>
        <v>소하</v>
      </c>
      <c r="I493" t="str">
        <f>T("비포선셋")</f>
        <v>비포선셋</v>
      </c>
      <c r="J493" t="str">
        <f>T("[연재]후회 없게 해 드립니다")</f>
        <v>[연재]후회 없게 해 드립니다</v>
      </c>
      <c r="K493">
        <v>100</v>
      </c>
      <c r="L493">
        <v>5900</v>
      </c>
      <c r="M493">
        <v>59</v>
      </c>
      <c r="N493">
        <v>0</v>
      </c>
      <c r="O493">
        <v>0</v>
      </c>
      <c r="P493">
        <v>0</v>
      </c>
      <c r="Q493">
        <v>2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-300</v>
      </c>
      <c r="Y493">
        <v>3</v>
      </c>
      <c r="Z493">
        <v>-300</v>
      </c>
      <c r="AA493">
        <v>3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3360</v>
      </c>
      <c r="AN493" t="str">
        <f>T("9791190142953")</f>
        <v>9791190142953</v>
      </c>
      <c r="AP493" t="str">
        <f>T("로맨스 웹소설 &gt; 판타지물")</f>
        <v>로맨스 웹소설 &gt; 판타지물</v>
      </c>
    </row>
    <row r="494" spans="1:43" x14ac:dyDescent="0.4">
      <c r="A494" t="s">
        <v>43</v>
      </c>
      <c r="B494">
        <v>3822000994</v>
      </c>
      <c r="C494">
        <v>3822001074</v>
      </c>
      <c r="D494" t="str">
        <f>T("[연재]후회 없게 해 드립니다 65화")</f>
        <v>[연재]후회 없게 해 드립니다 65화</v>
      </c>
      <c r="E494" t="str">
        <f>T("65")</f>
        <v>65</v>
      </c>
      <c r="F494" t="str">
        <f>T("소하")</f>
        <v>소하</v>
      </c>
      <c r="I494" t="str">
        <f>T("비포선셋")</f>
        <v>비포선셋</v>
      </c>
      <c r="J494" t="str">
        <f>T("[연재]후회 없게 해 드립니다")</f>
        <v>[연재]후회 없게 해 드립니다</v>
      </c>
      <c r="K494">
        <v>100</v>
      </c>
      <c r="L494">
        <v>5900</v>
      </c>
      <c r="M494">
        <v>59</v>
      </c>
      <c r="N494">
        <v>0</v>
      </c>
      <c r="O494">
        <v>0</v>
      </c>
      <c r="P494">
        <v>0</v>
      </c>
      <c r="Q494">
        <v>3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-300</v>
      </c>
      <c r="Y494">
        <v>3</v>
      </c>
      <c r="Z494">
        <v>-300</v>
      </c>
      <c r="AA494">
        <v>3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3360</v>
      </c>
      <c r="AN494" t="str">
        <f>T("9791190142953")</f>
        <v>9791190142953</v>
      </c>
      <c r="AP494" t="str">
        <f>T("로맨스 웹소설 &gt; 판타지물")</f>
        <v>로맨스 웹소설 &gt; 판타지물</v>
      </c>
    </row>
    <row r="495" spans="1:43" x14ac:dyDescent="0.4">
      <c r="A495" t="s">
        <v>43</v>
      </c>
      <c r="B495">
        <v>3822000994</v>
      </c>
      <c r="C495">
        <v>3822001062</v>
      </c>
      <c r="D495" t="str">
        <f>T("[연재]후회 없게 해 드립니다 53화")</f>
        <v>[연재]후회 없게 해 드립니다 53화</v>
      </c>
      <c r="E495" t="str">
        <f>T("53")</f>
        <v>53</v>
      </c>
      <c r="F495" t="str">
        <f>T("소하")</f>
        <v>소하</v>
      </c>
      <c r="I495" t="str">
        <f>T("비포선셋")</f>
        <v>비포선셋</v>
      </c>
      <c r="J495" t="str">
        <f>T("[연재]후회 없게 해 드립니다")</f>
        <v>[연재]후회 없게 해 드립니다</v>
      </c>
      <c r="K495">
        <v>100</v>
      </c>
      <c r="L495">
        <v>5900</v>
      </c>
      <c r="M495">
        <v>59</v>
      </c>
      <c r="N495">
        <v>0</v>
      </c>
      <c r="O495">
        <v>0</v>
      </c>
      <c r="P495">
        <v>0</v>
      </c>
      <c r="Q495">
        <v>3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-200</v>
      </c>
      <c r="Y495">
        <v>2</v>
      </c>
      <c r="Z495">
        <v>-200</v>
      </c>
      <c r="AA495">
        <v>2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3420</v>
      </c>
      <c r="AN495" t="str">
        <f>T("9791190142953")</f>
        <v>9791190142953</v>
      </c>
      <c r="AP495" t="str">
        <f>T("로맨스 웹소설 &gt; 판타지물")</f>
        <v>로맨스 웹소설 &gt; 판타지물</v>
      </c>
    </row>
    <row r="496" spans="1:43" x14ac:dyDescent="0.4">
      <c r="A496" t="s">
        <v>43</v>
      </c>
      <c r="B496">
        <v>3822000994</v>
      </c>
      <c r="C496">
        <v>3822001123</v>
      </c>
      <c r="D496" t="str">
        <f>T("[연재]후회 없게 해 드립니다 66화")</f>
        <v>[연재]후회 없게 해 드립니다 66화</v>
      </c>
      <c r="E496" t="str">
        <f>T("66")</f>
        <v>66</v>
      </c>
      <c r="F496" t="str">
        <f>T("소하")</f>
        <v>소하</v>
      </c>
      <c r="I496" t="str">
        <f>T("비포선셋")</f>
        <v>비포선셋</v>
      </c>
      <c r="J496" t="str">
        <f>T("[연재]후회 없게 해 드립니다")</f>
        <v>[연재]후회 없게 해 드립니다</v>
      </c>
      <c r="K496">
        <v>100</v>
      </c>
      <c r="L496">
        <v>5900</v>
      </c>
      <c r="M496">
        <v>59</v>
      </c>
      <c r="N496">
        <v>0</v>
      </c>
      <c r="O496">
        <v>0</v>
      </c>
      <c r="P496">
        <v>0</v>
      </c>
      <c r="Q496">
        <v>4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-300</v>
      </c>
      <c r="Y496">
        <v>3</v>
      </c>
      <c r="Z496">
        <v>-300</v>
      </c>
      <c r="AA496">
        <v>3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3360</v>
      </c>
      <c r="AN496" t="str">
        <f>T("9791190142953")</f>
        <v>9791190142953</v>
      </c>
      <c r="AP496" t="str">
        <f>T("로맨스 웹소설 &gt; 판타지물")</f>
        <v>로맨스 웹소설 &gt; 판타지물</v>
      </c>
    </row>
    <row r="497" spans="1:42" x14ac:dyDescent="0.4">
      <c r="A497" t="s">
        <v>43</v>
      </c>
      <c r="B497">
        <v>3822000994</v>
      </c>
      <c r="C497">
        <v>3822001151</v>
      </c>
      <c r="D497" t="str">
        <f>T("[연재]후회 없게 해 드립니다 75화")</f>
        <v>[연재]후회 없게 해 드립니다 75화</v>
      </c>
      <c r="E497" t="str">
        <f>T("75")</f>
        <v>75</v>
      </c>
      <c r="F497" t="str">
        <f>T("소하")</f>
        <v>소하</v>
      </c>
      <c r="I497" t="str">
        <f>T("비포선셋")</f>
        <v>비포선셋</v>
      </c>
      <c r="J497" t="str">
        <f>T("[연재]후회 없게 해 드립니다")</f>
        <v>[연재]후회 없게 해 드립니다</v>
      </c>
      <c r="K497">
        <v>100</v>
      </c>
      <c r="L497">
        <v>5900</v>
      </c>
      <c r="M497">
        <v>59</v>
      </c>
      <c r="N497">
        <v>0</v>
      </c>
      <c r="O497">
        <v>0</v>
      </c>
      <c r="P497">
        <v>0</v>
      </c>
      <c r="Q497">
        <v>3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-300</v>
      </c>
      <c r="Y497">
        <v>3</v>
      </c>
      <c r="Z497">
        <v>-300</v>
      </c>
      <c r="AA497">
        <v>3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3360</v>
      </c>
      <c r="AN497" t="str">
        <f>T("9791190142953")</f>
        <v>9791190142953</v>
      </c>
      <c r="AP497" t="str">
        <f>T("로맨스 웹소설 &gt; 판타지물")</f>
        <v>로맨스 웹소설 &gt; 판타지물</v>
      </c>
    </row>
    <row r="498" spans="1:42" x14ac:dyDescent="0.4">
      <c r="A498" t="s">
        <v>43</v>
      </c>
      <c r="B498">
        <v>3822000437</v>
      </c>
      <c r="C498">
        <v>3822001168</v>
      </c>
      <c r="D498" t="str">
        <f>T("[연재]저승꽃감관 172화")</f>
        <v>[연재]저승꽃감관 172화</v>
      </c>
      <c r="E498" t="str">
        <f>T("172")</f>
        <v>172</v>
      </c>
      <c r="F498" t="str">
        <f>T("에복")</f>
        <v>에복</v>
      </c>
      <c r="I498" t="str">
        <f>T("딥블렌드")</f>
        <v>딥블렌드</v>
      </c>
      <c r="J498" t="str">
        <f>T("[연재]저승꽃감관")</f>
        <v>[연재]저승꽃감관</v>
      </c>
      <c r="K498">
        <v>100</v>
      </c>
      <c r="L498">
        <v>5900</v>
      </c>
      <c r="M498">
        <v>59</v>
      </c>
      <c r="N498">
        <v>0</v>
      </c>
      <c r="O498">
        <v>0</v>
      </c>
      <c r="P498">
        <v>0</v>
      </c>
      <c r="Q498">
        <v>3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-200</v>
      </c>
      <c r="Y498">
        <v>2</v>
      </c>
      <c r="Z498">
        <v>-200</v>
      </c>
      <c r="AA498">
        <v>2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3990</v>
      </c>
      <c r="AN498" t="str">
        <f>T("9791190142502")</f>
        <v>9791190142502</v>
      </c>
      <c r="AP498" t="str">
        <f>T("BL 웹소설 &gt; 역사/시대물")</f>
        <v>BL 웹소설 &gt; 역사/시대물</v>
      </c>
    </row>
    <row r="499" spans="1:42" x14ac:dyDescent="0.4">
      <c r="A499" t="s">
        <v>43</v>
      </c>
      <c r="B499">
        <v>3822000994</v>
      </c>
      <c r="C499">
        <v>3822001070</v>
      </c>
      <c r="D499" t="str">
        <f>T("[연재]후회 없게 해 드립니다 61화")</f>
        <v>[연재]후회 없게 해 드립니다 61화</v>
      </c>
      <c r="E499" t="str">
        <f>T("61")</f>
        <v>61</v>
      </c>
      <c r="F499" t="str">
        <f t="shared" ref="F499:F512" si="106">T("소하")</f>
        <v>소하</v>
      </c>
      <c r="I499" t="str">
        <f t="shared" ref="I499:I512" si="107">T("비포선셋")</f>
        <v>비포선셋</v>
      </c>
      <c r="J499" t="str">
        <f t="shared" ref="J499:J512" si="108">T("[연재]후회 없게 해 드립니다")</f>
        <v>[연재]후회 없게 해 드립니다</v>
      </c>
      <c r="K499">
        <v>100</v>
      </c>
      <c r="L499">
        <v>5900</v>
      </c>
      <c r="M499">
        <v>59</v>
      </c>
      <c r="N499">
        <v>0</v>
      </c>
      <c r="O499">
        <v>0</v>
      </c>
      <c r="P499">
        <v>0</v>
      </c>
      <c r="Q499">
        <v>2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-300</v>
      </c>
      <c r="Y499">
        <v>3</v>
      </c>
      <c r="Z499">
        <v>-300</v>
      </c>
      <c r="AA499">
        <v>3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3360</v>
      </c>
      <c r="AN499" t="str">
        <f t="shared" ref="AN499:AN512" si="109">T("9791190142953")</f>
        <v>9791190142953</v>
      </c>
      <c r="AP499" t="str">
        <f t="shared" ref="AP499:AP512" si="110">T("로맨스 웹소설 &gt; 판타지물")</f>
        <v>로맨스 웹소설 &gt; 판타지물</v>
      </c>
    </row>
    <row r="500" spans="1:42" x14ac:dyDescent="0.4">
      <c r="A500" t="s">
        <v>43</v>
      </c>
      <c r="B500">
        <v>3822000994</v>
      </c>
      <c r="C500">
        <v>3822001057</v>
      </c>
      <c r="D500" t="str">
        <f>T("[연재]후회 없게 해 드립니다 48화")</f>
        <v>[연재]후회 없게 해 드립니다 48화</v>
      </c>
      <c r="E500" t="str">
        <f>T("48")</f>
        <v>48</v>
      </c>
      <c r="F500" t="str">
        <f t="shared" si="106"/>
        <v>소하</v>
      </c>
      <c r="I500" t="str">
        <f t="shared" si="107"/>
        <v>비포선셋</v>
      </c>
      <c r="J500" t="str">
        <f t="shared" si="108"/>
        <v>[연재]후회 없게 해 드립니다</v>
      </c>
      <c r="K500">
        <v>100</v>
      </c>
      <c r="L500">
        <v>5800</v>
      </c>
      <c r="M500">
        <v>58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-300</v>
      </c>
      <c r="Y500">
        <v>3</v>
      </c>
      <c r="Z500">
        <v>-300</v>
      </c>
      <c r="AA500">
        <v>3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3300</v>
      </c>
      <c r="AN500" t="str">
        <f t="shared" si="109"/>
        <v>9791190142953</v>
      </c>
      <c r="AP500" t="str">
        <f t="shared" si="110"/>
        <v>로맨스 웹소설 &gt; 판타지물</v>
      </c>
    </row>
    <row r="501" spans="1:42" x14ac:dyDescent="0.4">
      <c r="A501" t="s">
        <v>43</v>
      </c>
      <c r="B501">
        <v>3822000994</v>
      </c>
      <c r="C501">
        <v>3822001058</v>
      </c>
      <c r="D501" t="str">
        <f>T("[연재]후회 없게 해 드립니다 49화")</f>
        <v>[연재]후회 없게 해 드립니다 49화</v>
      </c>
      <c r="E501" t="str">
        <f>T("49")</f>
        <v>49</v>
      </c>
      <c r="F501" t="str">
        <f t="shared" si="106"/>
        <v>소하</v>
      </c>
      <c r="I501" t="str">
        <f t="shared" si="107"/>
        <v>비포선셋</v>
      </c>
      <c r="J501" t="str">
        <f t="shared" si="108"/>
        <v>[연재]후회 없게 해 드립니다</v>
      </c>
      <c r="K501">
        <v>100</v>
      </c>
      <c r="L501">
        <v>5800</v>
      </c>
      <c r="M501">
        <v>58</v>
      </c>
      <c r="N501">
        <v>0</v>
      </c>
      <c r="O501">
        <v>0</v>
      </c>
      <c r="P501">
        <v>0</v>
      </c>
      <c r="Q501">
        <v>2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-300</v>
      </c>
      <c r="Y501">
        <v>3</v>
      </c>
      <c r="Z501">
        <v>-300</v>
      </c>
      <c r="AA501">
        <v>3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3300</v>
      </c>
      <c r="AN501" t="str">
        <f t="shared" si="109"/>
        <v>9791190142953</v>
      </c>
      <c r="AP501" t="str">
        <f t="shared" si="110"/>
        <v>로맨스 웹소설 &gt; 판타지물</v>
      </c>
    </row>
    <row r="502" spans="1:42" x14ac:dyDescent="0.4">
      <c r="A502" t="s">
        <v>43</v>
      </c>
      <c r="B502">
        <v>3822000994</v>
      </c>
      <c r="C502">
        <v>3822001145</v>
      </c>
      <c r="D502" t="str">
        <f>T("[연재]후회 없게 해 드립니다 69화")</f>
        <v>[연재]후회 없게 해 드립니다 69화</v>
      </c>
      <c r="E502" t="str">
        <f>T("69")</f>
        <v>69</v>
      </c>
      <c r="F502" t="str">
        <f t="shared" si="106"/>
        <v>소하</v>
      </c>
      <c r="I502" t="str">
        <f t="shared" si="107"/>
        <v>비포선셋</v>
      </c>
      <c r="J502" t="str">
        <f t="shared" si="108"/>
        <v>[연재]후회 없게 해 드립니다</v>
      </c>
      <c r="K502">
        <v>100</v>
      </c>
      <c r="L502">
        <v>5800</v>
      </c>
      <c r="M502">
        <v>58</v>
      </c>
      <c r="N502">
        <v>0</v>
      </c>
      <c r="O502">
        <v>0</v>
      </c>
      <c r="P502">
        <v>0</v>
      </c>
      <c r="Q502">
        <v>3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-300</v>
      </c>
      <c r="Y502">
        <v>3</v>
      </c>
      <c r="Z502">
        <v>-300</v>
      </c>
      <c r="AA502">
        <v>3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3300</v>
      </c>
      <c r="AN502" t="str">
        <f t="shared" si="109"/>
        <v>9791190142953</v>
      </c>
      <c r="AP502" t="str">
        <f t="shared" si="110"/>
        <v>로맨스 웹소설 &gt; 판타지물</v>
      </c>
    </row>
    <row r="503" spans="1:42" x14ac:dyDescent="0.4">
      <c r="A503" t="s">
        <v>43</v>
      </c>
      <c r="B503">
        <v>3822000994</v>
      </c>
      <c r="C503">
        <v>3822001146</v>
      </c>
      <c r="D503" t="str">
        <f>T("[연재]후회 없게 해 드립니다 70화")</f>
        <v>[연재]후회 없게 해 드립니다 70화</v>
      </c>
      <c r="E503" t="str">
        <f>T("70")</f>
        <v>70</v>
      </c>
      <c r="F503" t="str">
        <f t="shared" si="106"/>
        <v>소하</v>
      </c>
      <c r="I503" t="str">
        <f t="shared" si="107"/>
        <v>비포선셋</v>
      </c>
      <c r="J503" t="str">
        <f t="shared" si="108"/>
        <v>[연재]후회 없게 해 드립니다</v>
      </c>
      <c r="K503">
        <v>100</v>
      </c>
      <c r="L503">
        <v>5800</v>
      </c>
      <c r="M503">
        <v>58</v>
      </c>
      <c r="N503">
        <v>0</v>
      </c>
      <c r="O503">
        <v>0</v>
      </c>
      <c r="P503">
        <v>0</v>
      </c>
      <c r="Q503">
        <v>2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-300</v>
      </c>
      <c r="Y503">
        <v>3</v>
      </c>
      <c r="Z503">
        <v>-300</v>
      </c>
      <c r="AA503">
        <v>3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3300</v>
      </c>
      <c r="AN503" t="str">
        <f t="shared" si="109"/>
        <v>9791190142953</v>
      </c>
      <c r="AP503" t="str">
        <f t="shared" si="110"/>
        <v>로맨스 웹소설 &gt; 판타지물</v>
      </c>
    </row>
    <row r="504" spans="1:42" x14ac:dyDescent="0.4">
      <c r="A504" t="s">
        <v>43</v>
      </c>
      <c r="B504">
        <v>3822000994</v>
      </c>
      <c r="C504">
        <v>3822001148</v>
      </c>
      <c r="D504" t="str">
        <f>T("[연재]후회 없게 해 드립니다 72화")</f>
        <v>[연재]후회 없게 해 드립니다 72화</v>
      </c>
      <c r="E504" t="str">
        <f>T("72")</f>
        <v>72</v>
      </c>
      <c r="F504" t="str">
        <f t="shared" si="106"/>
        <v>소하</v>
      </c>
      <c r="I504" t="str">
        <f t="shared" si="107"/>
        <v>비포선셋</v>
      </c>
      <c r="J504" t="str">
        <f t="shared" si="108"/>
        <v>[연재]후회 없게 해 드립니다</v>
      </c>
      <c r="K504">
        <v>100</v>
      </c>
      <c r="L504">
        <v>5800</v>
      </c>
      <c r="M504">
        <v>58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-300</v>
      </c>
      <c r="Y504">
        <v>3</v>
      </c>
      <c r="Z504">
        <v>-300</v>
      </c>
      <c r="AA504">
        <v>3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3300</v>
      </c>
      <c r="AN504" t="str">
        <f t="shared" si="109"/>
        <v>9791190142953</v>
      </c>
      <c r="AP504" t="str">
        <f t="shared" si="110"/>
        <v>로맨스 웹소설 &gt; 판타지물</v>
      </c>
    </row>
    <row r="505" spans="1:42" x14ac:dyDescent="0.4">
      <c r="A505" t="s">
        <v>43</v>
      </c>
      <c r="B505">
        <v>3822000994</v>
      </c>
      <c r="C505">
        <v>3822001149</v>
      </c>
      <c r="D505" t="str">
        <f>T("[연재]후회 없게 해 드립니다 73화")</f>
        <v>[연재]후회 없게 해 드립니다 73화</v>
      </c>
      <c r="E505" t="str">
        <f>T("73")</f>
        <v>73</v>
      </c>
      <c r="F505" t="str">
        <f t="shared" si="106"/>
        <v>소하</v>
      </c>
      <c r="I505" t="str">
        <f t="shared" si="107"/>
        <v>비포선셋</v>
      </c>
      <c r="J505" t="str">
        <f t="shared" si="108"/>
        <v>[연재]후회 없게 해 드립니다</v>
      </c>
      <c r="K505">
        <v>100</v>
      </c>
      <c r="L505">
        <v>5800</v>
      </c>
      <c r="M505">
        <v>58</v>
      </c>
      <c r="N505">
        <v>0</v>
      </c>
      <c r="O505">
        <v>0</v>
      </c>
      <c r="P505">
        <v>0</v>
      </c>
      <c r="Q505">
        <v>2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-300</v>
      </c>
      <c r="Y505">
        <v>3</v>
      </c>
      <c r="Z505">
        <v>-300</v>
      </c>
      <c r="AA505">
        <v>3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3300</v>
      </c>
      <c r="AN505" t="str">
        <f t="shared" si="109"/>
        <v>9791190142953</v>
      </c>
      <c r="AP505" t="str">
        <f t="shared" si="110"/>
        <v>로맨스 웹소설 &gt; 판타지물</v>
      </c>
    </row>
    <row r="506" spans="1:42" x14ac:dyDescent="0.4">
      <c r="A506" t="s">
        <v>43</v>
      </c>
      <c r="B506">
        <v>3822000994</v>
      </c>
      <c r="C506">
        <v>3822001064</v>
      </c>
      <c r="D506" t="str">
        <f>T("[연재]후회 없게 해 드립니다 55화")</f>
        <v>[연재]후회 없게 해 드립니다 55화</v>
      </c>
      <c r="E506" t="str">
        <f>T("55")</f>
        <v>55</v>
      </c>
      <c r="F506" t="str">
        <f t="shared" si="106"/>
        <v>소하</v>
      </c>
      <c r="I506" t="str">
        <f t="shared" si="107"/>
        <v>비포선셋</v>
      </c>
      <c r="J506" t="str">
        <f t="shared" si="108"/>
        <v>[연재]후회 없게 해 드립니다</v>
      </c>
      <c r="K506">
        <v>100</v>
      </c>
      <c r="L506">
        <v>5800</v>
      </c>
      <c r="M506">
        <v>58</v>
      </c>
      <c r="N506">
        <v>0</v>
      </c>
      <c r="O506">
        <v>0</v>
      </c>
      <c r="P506">
        <v>0</v>
      </c>
      <c r="Q506">
        <v>2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-200</v>
      </c>
      <c r="Y506">
        <v>2</v>
      </c>
      <c r="Z506">
        <v>-200</v>
      </c>
      <c r="AA506">
        <v>2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3360</v>
      </c>
      <c r="AN506" t="str">
        <f t="shared" si="109"/>
        <v>9791190142953</v>
      </c>
      <c r="AP506" t="str">
        <f t="shared" si="110"/>
        <v>로맨스 웹소설 &gt; 판타지물</v>
      </c>
    </row>
    <row r="507" spans="1:42" x14ac:dyDescent="0.4">
      <c r="A507" t="s">
        <v>43</v>
      </c>
      <c r="B507">
        <v>3822000994</v>
      </c>
      <c r="C507">
        <v>3822001150</v>
      </c>
      <c r="D507" t="str">
        <f>T("[연재]후회 없게 해 드립니다 74화")</f>
        <v>[연재]후회 없게 해 드립니다 74화</v>
      </c>
      <c r="E507" t="str">
        <f>T("74")</f>
        <v>74</v>
      </c>
      <c r="F507" t="str">
        <f t="shared" si="106"/>
        <v>소하</v>
      </c>
      <c r="I507" t="str">
        <f t="shared" si="107"/>
        <v>비포선셋</v>
      </c>
      <c r="J507" t="str">
        <f t="shared" si="108"/>
        <v>[연재]후회 없게 해 드립니다</v>
      </c>
      <c r="K507">
        <v>100</v>
      </c>
      <c r="L507">
        <v>5800</v>
      </c>
      <c r="M507">
        <v>58</v>
      </c>
      <c r="N507">
        <v>0</v>
      </c>
      <c r="O507">
        <v>0</v>
      </c>
      <c r="P507">
        <v>0</v>
      </c>
      <c r="Q507">
        <v>2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-300</v>
      </c>
      <c r="Y507">
        <v>3</v>
      </c>
      <c r="Z507">
        <v>-300</v>
      </c>
      <c r="AA507">
        <v>3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3300</v>
      </c>
      <c r="AN507" t="str">
        <f t="shared" si="109"/>
        <v>9791190142953</v>
      </c>
      <c r="AP507" t="str">
        <f t="shared" si="110"/>
        <v>로맨스 웹소설 &gt; 판타지물</v>
      </c>
    </row>
    <row r="508" spans="1:42" x14ac:dyDescent="0.4">
      <c r="A508" t="s">
        <v>43</v>
      </c>
      <c r="B508">
        <v>3822000994</v>
      </c>
      <c r="C508">
        <v>3822001065</v>
      </c>
      <c r="D508" t="str">
        <f>T("[연재]후회 없게 해 드립니다 56화")</f>
        <v>[연재]후회 없게 해 드립니다 56화</v>
      </c>
      <c r="E508" t="str">
        <f>T("56")</f>
        <v>56</v>
      </c>
      <c r="F508" t="str">
        <f t="shared" si="106"/>
        <v>소하</v>
      </c>
      <c r="I508" t="str">
        <f t="shared" si="107"/>
        <v>비포선셋</v>
      </c>
      <c r="J508" t="str">
        <f t="shared" si="108"/>
        <v>[연재]후회 없게 해 드립니다</v>
      </c>
      <c r="K508">
        <v>100</v>
      </c>
      <c r="L508">
        <v>5800</v>
      </c>
      <c r="M508">
        <v>58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-200</v>
      </c>
      <c r="Y508">
        <v>2</v>
      </c>
      <c r="Z508">
        <v>-200</v>
      </c>
      <c r="AA508">
        <v>2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3360</v>
      </c>
      <c r="AN508" t="str">
        <f t="shared" si="109"/>
        <v>9791190142953</v>
      </c>
      <c r="AP508" t="str">
        <f t="shared" si="110"/>
        <v>로맨스 웹소설 &gt; 판타지물</v>
      </c>
    </row>
    <row r="509" spans="1:42" x14ac:dyDescent="0.4">
      <c r="A509" t="s">
        <v>43</v>
      </c>
      <c r="B509">
        <v>3822000994</v>
      </c>
      <c r="C509">
        <v>3822001066</v>
      </c>
      <c r="D509" t="str">
        <f>T("[연재]후회 없게 해 드립니다 57화")</f>
        <v>[연재]후회 없게 해 드립니다 57화</v>
      </c>
      <c r="E509" t="str">
        <f>T("57")</f>
        <v>57</v>
      </c>
      <c r="F509" t="str">
        <f t="shared" si="106"/>
        <v>소하</v>
      </c>
      <c r="I509" t="str">
        <f t="shared" si="107"/>
        <v>비포선셋</v>
      </c>
      <c r="J509" t="str">
        <f t="shared" si="108"/>
        <v>[연재]후회 없게 해 드립니다</v>
      </c>
      <c r="K509">
        <v>100</v>
      </c>
      <c r="L509">
        <v>5800</v>
      </c>
      <c r="M509">
        <v>58</v>
      </c>
      <c r="N509">
        <v>0</v>
      </c>
      <c r="O509">
        <v>0</v>
      </c>
      <c r="P509">
        <v>0</v>
      </c>
      <c r="Q509">
        <v>2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-200</v>
      </c>
      <c r="Y509">
        <v>2</v>
      </c>
      <c r="Z509">
        <v>-200</v>
      </c>
      <c r="AA509">
        <v>2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3360</v>
      </c>
      <c r="AN509" t="str">
        <f t="shared" si="109"/>
        <v>9791190142953</v>
      </c>
      <c r="AP509" t="str">
        <f t="shared" si="110"/>
        <v>로맨스 웹소설 &gt; 판타지물</v>
      </c>
    </row>
    <row r="510" spans="1:42" x14ac:dyDescent="0.4">
      <c r="A510" t="s">
        <v>43</v>
      </c>
      <c r="B510">
        <v>3822000994</v>
      </c>
      <c r="C510">
        <v>3822001181</v>
      </c>
      <c r="D510" t="str">
        <f>T("[연재]후회 없게 해 드립니다 77화")</f>
        <v>[연재]후회 없게 해 드립니다 77화</v>
      </c>
      <c r="E510" t="str">
        <f>T("77")</f>
        <v>77</v>
      </c>
      <c r="F510" t="str">
        <f t="shared" si="106"/>
        <v>소하</v>
      </c>
      <c r="I510" t="str">
        <f t="shared" si="107"/>
        <v>비포선셋</v>
      </c>
      <c r="J510" t="str">
        <f t="shared" si="108"/>
        <v>[연재]후회 없게 해 드립니다</v>
      </c>
      <c r="K510">
        <v>100</v>
      </c>
      <c r="L510">
        <v>5800</v>
      </c>
      <c r="M510">
        <v>58</v>
      </c>
      <c r="N510">
        <v>0</v>
      </c>
      <c r="O510">
        <v>0</v>
      </c>
      <c r="P510">
        <v>0</v>
      </c>
      <c r="Q510">
        <v>3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-300</v>
      </c>
      <c r="Y510">
        <v>3</v>
      </c>
      <c r="Z510">
        <v>-300</v>
      </c>
      <c r="AA510">
        <v>3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3300</v>
      </c>
      <c r="AN510" t="str">
        <f t="shared" si="109"/>
        <v>9791190142953</v>
      </c>
      <c r="AP510" t="str">
        <f t="shared" si="110"/>
        <v>로맨스 웹소설 &gt; 판타지물</v>
      </c>
    </row>
    <row r="511" spans="1:42" x14ac:dyDescent="0.4">
      <c r="A511" t="s">
        <v>43</v>
      </c>
      <c r="B511">
        <v>3822000994</v>
      </c>
      <c r="C511">
        <v>3822001125</v>
      </c>
      <c r="D511" t="str">
        <f>T("[연재]후회 없게 해 드립니다 68화")</f>
        <v>[연재]후회 없게 해 드립니다 68화</v>
      </c>
      <c r="E511" t="str">
        <f>T("68")</f>
        <v>68</v>
      </c>
      <c r="F511" t="str">
        <f t="shared" si="106"/>
        <v>소하</v>
      </c>
      <c r="I511" t="str">
        <f t="shared" si="107"/>
        <v>비포선셋</v>
      </c>
      <c r="J511" t="str">
        <f t="shared" si="108"/>
        <v>[연재]후회 없게 해 드립니다</v>
      </c>
      <c r="K511">
        <v>100</v>
      </c>
      <c r="L511">
        <v>5800</v>
      </c>
      <c r="M511">
        <v>58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-300</v>
      </c>
      <c r="Y511">
        <v>3</v>
      </c>
      <c r="Z511">
        <v>-300</v>
      </c>
      <c r="AA511">
        <v>3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3300</v>
      </c>
      <c r="AN511" t="str">
        <f t="shared" si="109"/>
        <v>9791190142953</v>
      </c>
      <c r="AP511" t="str">
        <f t="shared" si="110"/>
        <v>로맨스 웹소설 &gt; 판타지물</v>
      </c>
    </row>
    <row r="512" spans="1:42" x14ac:dyDescent="0.4">
      <c r="A512" t="s">
        <v>43</v>
      </c>
      <c r="B512">
        <v>3822000994</v>
      </c>
      <c r="C512">
        <v>3822001068</v>
      </c>
      <c r="D512" t="str">
        <f>T("[연재]후회 없게 해 드립니다 59화")</f>
        <v>[연재]후회 없게 해 드립니다 59화</v>
      </c>
      <c r="E512" t="str">
        <f>T("59")</f>
        <v>59</v>
      </c>
      <c r="F512" t="str">
        <f t="shared" si="106"/>
        <v>소하</v>
      </c>
      <c r="I512" t="str">
        <f t="shared" si="107"/>
        <v>비포선셋</v>
      </c>
      <c r="J512" t="str">
        <f t="shared" si="108"/>
        <v>[연재]후회 없게 해 드립니다</v>
      </c>
      <c r="K512">
        <v>100</v>
      </c>
      <c r="L512">
        <v>5800</v>
      </c>
      <c r="M512">
        <v>58</v>
      </c>
      <c r="N512">
        <v>0</v>
      </c>
      <c r="O512">
        <v>0</v>
      </c>
      <c r="P512">
        <v>0</v>
      </c>
      <c r="Q512">
        <v>2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-200</v>
      </c>
      <c r="Y512">
        <v>2</v>
      </c>
      <c r="Z512">
        <v>-200</v>
      </c>
      <c r="AA512">
        <v>2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3360</v>
      </c>
      <c r="AN512" t="str">
        <f t="shared" si="109"/>
        <v>9791190142953</v>
      </c>
      <c r="AP512" t="str">
        <f t="shared" si="110"/>
        <v>로맨스 웹소설 &gt; 판타지물</v>
      </c>
    </row>
    <row r="513" spans="1:43" x14ac:dyDescent="0.4">
      <c r="A513" t="s">
        <v>43</v>
      </c>
      <c r="B513">
        <v>3822000437</v>
      </c>
      <c r="C513">
        <v>3822001169</v>
      </c>
      <c r="D513" t="str">
        <f>T("[연재]저승꽃감관 173화")</f>
        <v>[연재]저승꽃감관 173화</v>
      </c>
      <c r="E513" t="str">
        <f>T("173")</f>
        <v>173</v>
      </c>
      <c r="F513" t="str">
        <f>T("에복")</f>
        <v>에복</v>
      </c>
      <c r="I513" t="str">
        <f>T("딥블렌드")</f>
        <v>딥블렌드</v>
      </c>
      <c r="J513" t="str">
        <f>T("[연재]저승꽃감관")</f>
        <v>[연재]저승꽃감관</v>
      </c>
      <c r="K513">
        <v>100</v>
      </c>
      <c r="L513">
        <v>5800</v>
      </c>
      <c r="M513">
        <v>58</v>
      </c>
      <c r="N513">
        <v>0</v>
      </c>
      <c r="O513">
        <v>0</v>
      </c>
      <c r="P513">
        <v>0</v>
      </c>
      <c r="Q513">
        <v>3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-100</v>
      </c>
      <c r="Y513">
        <v>1</v>
      </c>
      <c r="Z513">
        <v>-100</v>
      </c>
      <c r="AA513">
        <v>1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3990</v>
      </c>
      <c r="AN513" t="str">
        <f>T("9791190142502")</f>
        <v>9791190142502</v>
      </c>
      <c r="AP513" t="str">
        <f>T("BL 웹소설 &gt; 역사/시대물")</f>
        <v>BL 웹소설 &gt; 역사/시대물</v>
      </c>
    </row>
    <row r="514" spans="1:43" x14ac:dyDescent="0.4">
      <c r="A514" t="s">
        <v>43</v>
      </c>
      <c r="B514">
        <v>3822000437</v>
      </c>
      <c r="C514">
        <v>3822001175</v>
      </c>
      <c r="D514" t="str">
        <f>T("[연재]저승꽃감관 179화")</f>
        <v>[연재]저승꽃감관 179화</v>
      </c>
      <c r="E514" t="str">
        <f>T("179")</f>
        <v>179</v>
      </c>
      <c r="F514" t="str">
        <f>T("에복")</f>
        <v>에복</v>
      </c>
      <c r="I514" t="str">
        <f>T("딥블렌드")</f>
        <v>딥블렌드</v>
      </c>
      <c r="J514" t="str">
        <f>T("[연재]저승꽃감관")</f>
        <v>[연재]저승꽃감관</v>
      </c>
      <c r="K514">
        <v>100</v>
      </c>
      <c r="L514">
        <v>5700</v>
      </c>
      <c r="M514">
        <v>57</v>
      </c>
      <c r="N514">
        <v>0</v>
      </c>
      <c r="O514">
        <v>0</v>
      </c>
      <c r="P514">
        <v>0</v>
      </c>
      <c r="Q514">
        <v>6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-100</v>
      </c>
      <c r="Y514">
        <v>1</v>
      </c>
      <c r="Z514">
        <v>-100</v>
      </c>
      <c r="AA514">
        <v>1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3920</v>
      </c>
      <c r="AN514" t="str">
        <f>T("9791190142502")</f>
        <v>9791190142502</v>
      </c>
      <c r="AP514" t="str">
        <f>T("BL 웹소설 &gt; 역사/시대물")</f>
        <v>BL 웹소설 &gt; 역사/시대물</v>
      </c>
    </row>
    <row r="515" spans="1:43" x14ac:dyDescent="0.4">
      <c r="A515" t="s">
        <v>43</v>
      </c>
      <c r="B515">
        <v>3822000748</v>
      </c>
      <c r="C515">
        <v>3822000976</v>
      </c>
      <c r="D515" t="str">
        <f>T("[연재]왓에버 유 두(whatever you do) 149화 외전(4)")</f>
        <v>[연재]왓에버 유 두(whatever you do) 149화 외전(4)</v>
      </c>
      <c r="E515" t="str">
        <f>T("149")</f>
        <v>149</v>
      </c>
      <c r="F515" t="str">
        <f>T("원믹")</f>
        <v>원믹</v>
      </c>
      <c r="I515" t="str">
        <f>T("딥블렌드")</f>
        <v>딥블렌드</v>
      </c>
      <c r="J515" t="str">
        <f>T("[연재]왓에버 유 두(whatever you do)")</f>
        <v>[연재]왓에버 유 두(whatever you do)</v>
      </c>
      <c r="K515">
        <v>100</v>
      </c>
      <c r="L515">
        <v>5700</v>
      </c>
      <c r="M515">
        <v>57</v>
      </c>
      <c r="N515">
        <v>0</v>
      </c>
      <c r="O515">
        <v>0</v>
      </c>
      <c r="P515">
        <v>0</v>
      </c>
      <c r="Q515">
        <v>16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-100</v>
      </c>
      <c r="Y515">
        <v>1</v>
      </c>
      <c r="Z515">
        <v>-100</v>
      </c>
      <c r="AA515">
        <v>1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3420</v>
      </c>
      <c r="AN515" t="str">
        <f>T("9791190142793")</f>
        <v>9791190142793</v>
      </c>
      <c r="AP515" t="str">
        <f>T("BL 웹소설 &gt; 현대물")</f>
        <v>BL 웹소설 &gt; 현대물</v>
      </c>
    </row>
    <row r="516" spans="1:43" x14ac:dyDescent="0.4">
      <c r="A516" t="s">
        <v>43</v>
      </c>
      <c r="B516">
        <v>3822000994</v>
      </c>
      <c r="C516">
        <v>3822001180</v>
      </c>
      <c r="D516" t="str">
        <f>T("[연재]후회 없게 해 드립니다 76화")</f>
        <v>[연재]후회 없게 해 드립니다 76화</v>
      </c>
      <c r="E516" t="str">
        <f>T("76")</f>
        <v>76</v>
      </c>
      <c r="F516" t="str">
        <f>T("소하")</f>
        <v>소하</v>
      </c>
      <c r="I516" t="str">
        <f>T("비포선셋")</f>
        <v>비포선셋</v>
      </c>
      <c r="J516" t="str">
        <f>T("[연재]후회 없게 해 드립니다")</f>
        <v>[연재]후회 없게 해 드립니다</v>
      </c>
      <c r="K516">
        <v>100</v>
      </c>
      <c r="L516">
        <v>5700</v>
      </c>
      <c r="M516">
        <v>57</v>
      </c>
      <c r="N516">
        <v>0</v>
      </c>
      <c r="O516">
        <v>0</v>
      </c>
      <c r="P516">
        <v>0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-300</v>
      </c>
      <c r="Y516">
        <v>3</v>
      </c>
      <c r="Z516">
        <v>-300</v>
      </c>
      <c r="AA516">
        <v>3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3240</v>
      </c>
      <c r="AN516" t="str">
        <f>T("9791190142953")</f>
        <v>9791190142953</v>
      </c>
      <c r="AP516" t="str">
        <f>T("로맨스 웹소설 &gt; 판타지물")</f>
        <v>로맨스 웹소설 &gt; 판타지물</v>
      </c>
    </row>
    <row r="517" spans="1:43" x14ac:dyDescent="0.4">
      <c r="A517" t="s">
        <v>43</v>
      </c>
      <c r="B517">
        <v>3822000994</v>
      </c>
      <c r="C517">
        <v>3822001124</v>
      </c>
      <c r="D517" t="str">
        <f>T("[연재]후회 없게 해 드립니다 67화")</f>
        <v>[연재]후회 없게 해 드립니다 67화</v>
      </c>
      <c r="E517" t="str">
        <f>T("67")</f>
        <v>67</v>
      </c>
      <c r="F517" t="str">
        <f>T("소하")</f>
        <v>소하</v>
      </c>
      <c r="I517" t="str">
        <f>T("비포선셋")</f>
        <v>비포선셋</v>
      </c>
      <c r="J517" t="str">
        <f>T("[연재]후회 없게 해 드립니다")</f>
        <v>[연재]후회 없게 해 드립니다</v>
      </c>
      <c r="K517">
        <v>100</v>
      </c>
      <c r="L517">
        <v>5700</v>
      </c>
      <c r="M517">
        <v>57</v>
      </c>
      <c r="N517">
        <v>0</v>
      </c>
      <c r="O517">
        <v>0</v>
      </c>
      <c r="P517">
        <v>0</v>
      </c>
      <c r="Q517">
        <v>3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-300</v>
      </c>
      <c r="Y517">
        <v>3</v>
      </c>
      <c r="Z517">
        <v>-300</v>
      </c>
      <c r="AA517">
        <v>3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3240</v>
      </c>
      <c r="AN517" t="str">
        <f>T("9791190142953")</f>
        <v>9791190142953</v>
      </c>
      <c r="AP517" t="str">
        <f>T("로맨스 웹소설 &gt; 판타지물")</f>
        <v>로맨스 웹소설 &gt; 판타지물</v>
      </c>
    </row>
    <row r="518" spans="1:43" x14ac:dyDescent="0.4">
      <c r="A518" t="s">
        <v>43</v>
      </c>
      <c r="B518">
        <v>3822000994</v>
      </c>
      <c r="C518">
        <v>3822001069</v>
      </c>
      <c r="D518" t="str">
        <f>T("[연재]후회 없게 해 드립니다 60화")</f>
        <v>[연재]후회 없게 해 드립니다 60화</v>
      </c>
      <c r="E518" t="str">
        <f>T("60")</f>
        <v>60</v>
      </c>
      <c r="F518" t="str">
        <f>T("소하")</f>
        <v>소하</v>
      </c>
      <c r="I518" t="str">
        <f>T("비포선셋")</f>
        <v>비포선셋</v>
      </c>
      <c r="J518" t="str">
        <f>T("[연재]후회 없게 해 드립니다")</f>
        <v>[연재]후회 없게 해 드립니다</v>
      </c>
      <c r="K518">
        <v>100</v>
      </c>
      <c r="L518">
        <v>5700</v>
      </c>
      <c r="M518">
        <v>57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-200</v>
      </c>
      <c r="Y518">
        <v>2</v>
      </c>
      <c r="Z518">
        <v>-200</v>
      </c>
      <c r="AA518">
        <v>2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3300</v>
      </c>
      <c r="AN518" t="str">
        <f>T("9791190142953")</f>
        <v>9791190142953</v>
      </c>
      <c r="AP518" t="str">
        <f>T("로맨스 웹소설 &gt; 판타지물")</f>
        <v>로맨스 웹소설 &gt; 판타지물</v>
      </c>
    </row>
    <row r="519" spans="1:43" x14ac:dyDescent="0.4">
      <c r="A519" t="s">
        <v>43</v>
      </c>
      <c r="B519">
        <v>3822000437</v>
      </c>
      <c r="C519">
        <v>3822001170</v>
      </c>
      <c r="D519" t="str">
        <f>T("[연재]저승꽃감관 174화")</f>
        <v>[연재]저승꽃감관 174화</v>
      </c>
      <c r="E519" t="str">
        <f>T("174")</f>
        <v>174</v>
      </c>
      <c r="F519" t="str">
        <f>T("에복")</f>
        <v>에복</v>
      </c>
      <c r="I519" t="str">
        <f>T("딥블렌드")</f>
        <v>딥블렌드</v>
      </c>
      <c r="J519" t="str">
        <f>T("[연재]저승꽃감관")</f>
        <v>[연재]저승꽃감관</v>
      </c>
      <c r="K519">
        <v>100</v>
      </c>
      <c r="L519">
        <v>5700</v>
      </c>
      <c r="M519">
        <v>57</v>
      </c>
      <c r="N519">
        <v>0</v>
      </c>
      <c r="O519">
        <v>0</v>
      </c>
      <c r="P519">
        <v>0</v>
      </c>
      <c r="Q519">
        <v>5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-100</v>
      </c>
      <c r="Y519">
        <v>1</v>
      </c>
      <c r="Z519">
        <v>-100</v>
      </c>
      <c r="AA519">
        <v>1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3920</v>
      </c>
      <c r="AN519" t="str">
        <f>T("9791190142502")</f>
        <v>9791190142502</v>
      </c>
      <c r="AP519" t="str">
        <f>T("BL 웹소설 &gt; 역사/시대물")</f>
        <v>BL 웹소설 &gt; 역사/시대물</v>
      </c>
    </row>
    <row r="520" spans="1:43" x14ac:dyDescent="0.4">
      <c r="A520" t="s">
        <v>43</v>
      </c>
      <c r="B520">
        <v>3822000437</v>
      </c>
      <c r="C520">
        <v>3822001171</v>
      </c>
      <c r="D520" t="str">
        <f>T("[연재]저승꽃감관 175화")</f>
        <v>[연재]저승꽃감관 175화</v>
      </c>
      <c r="E520" t="str">
        <f>T("175")</f>
        <v>175</v>
      </c>
      <c r="F520" t="str">
        <f>T("에복")</f>
        <v>에복</v>
      </c>
      <c r="I520" t="str">
        <f>T("딥블렌드")</f>
        <v>딥블렌드</v>
      </c>
      <c r="J520" t="str">
        <f>T("[연재]저승꽃감관")</f>
        <v>[연재]저승꽃감관</v>
      </c>
      <c r="K520">
        <v>100</v>
      </c>
      <c r="L520">
        <v>5700</v>
      </c>
      <c r="M520">
        <v>57</v>
      </c>
      <c r="N520">
        <v>0</v>
      </c>
      <c r="O520">
        <v>0</v>
      </c>
      <c r="P520">
        <v>0</v>
      </c>
      <c r="Q520">
        <v>3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-100</v>
      </c>
      <c r="Y520">
        <v>1</v>
      </c>
      <c r="Z520">
        <v>-100</v>
      </c>
      <c r="AA520">
        <v>1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3920</v>
      </c>
      <c r="AN520" t="str">
        <f>T("9791190142502")</f>
        <v>9791190142502</v>
      </c>
      <c r="AP520" t="str">
        <f>T("BL 웹소설 &gt; 역사/시대물")</f>
        <v>BL 웹소설 &gt; 역사/시대물</v>
      </c>
    </row>
    <row r="521" spans="1:43" x14ac:dyDescent="0.4">
      <c r="A521" t="s">
        <v>43</v>
      </c>
      <c r="B521">
        <v>3822000033</v>
      </c>
      <c r="C521">
        <v>3822000033</v>
      </c>
      <c r="D521" t="str">
        <f>T("그림자 밟기 1권")</f>
        <v>그림자 밟기 1권</v>
      </c>
      <c r="E521" t="str">
        <f>T("1")</f>
        <v>1</v>
      </c>
      <c r="F521" t="str">
        <f>T("나다")</f>
        <v>나다</v>
      </c>
      <c r="I521" t="str">
        <f>T("딥블렌드")</f>
        <v>딥블렌드</v>
      </c>
      <c r="J521" t="str">
        <f>T("그림자 밟기")</f>
        <v>그림자 밟기</v>
      </c>
      <c r="K521">
        <v>2800</v>
      </c>
      <c r="L521">
        <v>5600</v>
      </c>
      <c r="M521">
        <v>2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14000</v>
      </c>
      <c r="U521">
        <v>5</v>
      </c>
      <c r="V521">
        <v>31350</v>
      </c>
      <c r="W521">
        <v>19</v>
      </c>
      <c r="X521">
        <v>-2800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-2800</v>
      </c>
      <c r="AG521">
        <v>1</v>
      </c>
      <c r="AH521">
        <v>0</v>
      </c>
      <c r="AI521">
        <v>0</v>
      </c>
      <c r="AJ521">
        <v>33705</v>
      </c>
      <c r="AL521" t="str">
        <f>T("0000000000000")</f>
        <v>0000000000000</v>
      </c>
      <c r="AN521" t="str">
        <f>T("9791190142380")</f>
        <v>9791190142380</v>
      </c>
      <c r="AP521" t="str">
        <f>T("BL 소설 e북 &gt; 현대물")</f>
        <v>BL 소설 e북 &gt; 현대물</v>
      </c>
      <c r="AQ521" t="str">
        <f>T("BL 소설 e북 &gt; 역사/시대물")</f>
        <v>BL 소설 e북 &gt; 역사/시대물</v>
      </c>
    </row>
    <row r="522" spans="1:43" x14ac:dyDescent="0.4">
      <c r="A522" t="s">
        <v>43</v>
      </c>
      <c r="B522">
        <v>3822000437</v>
      </c>
      <c r="C522">
        <v>3822001174</v>
      </c>
      <c r="D522" t="str">
        <f>T("[연재]저승꽃감관 178화")</f>
        <v>[연재]저승꽃감관 178화</v>
      </c>
      <c r="E522" t="str">
        <f>T("178")</f>
        <v>178</v>
      </c>
      <c r="F522" t="str">
        <f>T("에복")</f>
        <v>에복</v>
      </c>
      <c r="I522" t="str">
        <f>T("딥블렌드")</f>
        <v>딥블렌드</v>
      </c>
      <c r="J522" t="str">
        <f>T("[연재]저승꽃감관")</f>
        <v>[연재]저승꽃감관</v>
      </c>
      <c r="K522">
        <v>100</v>
      </c>
      <c r="L522">
        <v>5600</v>
      </c>
      <c r="M522">
        <v>56</v>
      </c>
      <c r="N522">
        <v>0</v>
      </c>
      <c r="O522">
        <v>0</v>
      </c>
      <c r="P522">
        <v>0</v>
      </c>
      <c r="Q522">
        <v>2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-100</v>
      </c>
      <c r="Y522">
        <v>1</v>
      </c>
      <c r="Z522">
        <v>-100</v>
      </c>
      <c r="AA522">
        <v>1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3850</v>
      </c>
      <c r="AN522" t="str">
        <f>T("9791190142502")</f>
        <v>9791190142502</v>
      </c>
      <c r="AP522" t="str">
        <f>T("BL 웹소설 &gt; 역사/시대물")</f>
        <v>BL 웹소설 &gt; 역사/시대물</v>
      </c>
    </row>
    <row r="523" spans="1:43" x14ac:dyDescent="0.4">
      <c r="A523" t="s">
        <v>43</v>
      </c>
      <c r="B523">
        <v>3822000437</v>
      </c>
      <c r="C523">
        <v>3822001176</v>
      </c>
      <c r="D523" t="str">
        <f>T("[연재]저승꽃감관 180화")</f>
        <v>[연재]저승꽃감관 180화</v>
      </c>
      <c r="E523" t="str">
        <f>T("180")</f>
        <v>180</v>
      </c>
      <c r="F523" t="str">
        <f>T("에복")</f>
        <v>에복</v>
      </c>
      <c r="I523" t="str">
        <f>T("딥블렌드")</f>
        <v>딥블렌드</v>
      </c>
      <c r="J523" t="str">
        <f>T("[연재]저승꽃감관")</f>
        <v>[연재]저승꽃감관</v>
      </c>
      <c r="K523">
        <v>100</v>
      </c>
      <c r="L523">
        <v>5600</v>
      </c>
      <c r="M523">
        <v>56</v>
      </c>
      <c r="N523">
        <v>0</v>
      </c>
      <c r="O523">
        <v>0</v>
      </c>
      <c r="P523">
        <v>0</v>
      </c>
      <c r="Q523">
        <v>5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-100</v>
      </c>
      <c r="Y523">
        <v>1</v>
      </c>
      <c r="Z523">
        <v>-100</v>
      </c>
      <c r="AA523">
        <v>1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3850</v>
      </c>
      <c r="AN523" t="str">
        <f>T("9791190142502")</f>
        <v>9791190142502</v>
      </c>
      <c r="AP523" t="str">
        <f>T("BL 웹소설 &gt; 역사/시대물")</f>
        <v>BL 웹소설 &gt; 역사/시대물</v>
      </c>
    </row>
    <row r="524" spans="1:43" x14ac:dyDescent="0.4">
      <c r="A524" t="s">
        <v>43</v>
      </c>
      <c r="B524">
        <v>3822000994</v>
      </c>
      <c r="C524">
        <v>3822001063</v>
      </c>
      <c r="D524" t="str">
        <f>T("[연재]후회 없게 해 드립니다 54화")</f>
        <v>[연재]후회 없게 해 드립니다 54화</v>
      </c>
      <c r="E524" t="str">
        <f>T("54")</f>
        <v>54</v>
      </c>
      <c r="F524" t="str">
        <f>T("소하")</f>
        <v>소하</v>
      </c>
      <c r="I524" t="str">
        <f>T("비포선셋")</f>
        <v>비포선셋</v>
      </c>
      <c r="J524" t="str">
        <f>T("[연재]후회 없게 해 드립니다")</f>
        <v>[연재]후회 없게 해 드립니다</v>
      </c>
      <c r="K524">
        <v>100</v>
      </c>
      <c r="L524">
        <v>5600</v>
      </c>
      <c r="M524">
        <v>56</v>
      </c>
      <c r="N524">
        <v>0</v>
      </c>
      <c r="O524">
        <v>0</v>
      </c>
      <c r="P524">
        <v>0</v>
      </c>
      <c r="Q524">
        <v>2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-200</v>
      </c>
      <c r="Y524">
        <v>2</v>
      </c>
      <c r="Z524">
        <v>-200</v>
      </c>
      <c r="AA524">
        <v>2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3240</v>
      </c>
      <c r="AN524" t="str">
        <f>T("9791190142953")</f>
        <v>9791190142953</v>
      </c>
      <c r="AP524" t="str">
        <f>T("로맨스 웹소설 &gt; 판타지물")</f>
        <v>로맨스 웹소설 &gt; 판타지물</v>
      </c>
    </row>
    <row r="525" spans="1:43" x14ac:dyDescent="0.4">
      <c r="A525" t="s">
        <v>43</v>
      </c>
      <c r="B525">
        <v>3822000437</v>
      </c>
      <c r="C525">
        <v>3822001172</v>
      </c>
      <c r="D525" t="str">
        <f>T("[연재]저승꽃감관 176화")</f>
        <v>[연재]저승꽃감관 176화</v>
      </c>
      <c r="E525" t="str">
        <f>T("176")</f>
        <v>176</v>
      </c>
      <c r="F525" t="str">
        <f>T("에복")</f>
        <v>에복</v>
      </c>
      <c r="I525" t="str">
        <f t="shared" ref="I525:I530" si="111">T("딥블렌드")</f>
        <v>딥블렌드</v>
      </c>
      <c r="J525" t="str">
        <f>T("[연재]저승꽃감관")</f>
        <v>[연재]저승꽃감관</v>
      </c>
      <c r="K525">
        <v>100</v>
      </c>
      <c r="L525">
        <v>5500</v>
      </c>
      <c r="M525">
        <v>55</v>
      </c>
      <c r="N525">
        <v>0</v>
      </c>
      <c r="O525">
        <v>0</v>
      </c>
      <c r="P525">
        <v>0</v>
      </c>
      <c r="Q525">
        <v>3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-100</v>
      </c>
      <c r="Y525">
        <v>1</v>
      </c>
      <c r="Z525">
        <v>-100</v>
      </c>
      <c r="AA525">
        <v>1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3780</v>
      </c>
      <c r="AN525" t="str">
        <f>T("9791190142502")</f>
        <v>9791190142502</v>
      </c>
      <c r="AP525" t="str">
        <f>T("BL 웹소설 &gt; 역사/시대물")</f>
        <v>BL 웹소설 &gt; 역사/시대물</v>
      </c>
    </row>
    <row r="526" spans="1:43" x14ac:dyDescent="0.4">
      <c r="A526" t="s">
        <v>43</v>
      </c>
      <c r="B526">
        <v>3822000437</v>
      </c>
      <c r="C526">
        <v>3822001173</v>
      </c>
      <c r="D526" t="str">
        <f>T("[연재]저승꽃감관 177화")</f>
        <v>[연재]저승꽃감관 177화</v>
      </c>
      <c r="E526" t="str">
        <f>T("177")</f>
        <v>177</v>
      </c>
      <c r="F526" t="str">
        <f>T("에복")</f>
        <v>에복</v>
      </c>
      <c r="I526" t="str">
        <f t="shared" si="111"/>
        <v>딥블렌드</v>
      </c>
      <c r="J526" t="str">
        <f>T("[연재]저승꽃감관")</f>
        <v>[연재]저승꽃감관</v>
      </c>
      <c r="K526">
        <v>100</v>
      </c>
      <c r="L526">
        <v>5500</v>
      </c>
      <c r="M526">
        <v>55</v>
      </c>
      <c r="N526">
        <v>0</v>
      </c>
      <c r="O526">
        <v>0</v>
      </c>
      <c r="P526">
        <v>0</v>
      </c>
      <c r="Q526">
        <v>4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-100</v>
      </c>
      <c r="Y526">
        <v>1</v>
      </c>
      <c r="Z526">
        <v>-100</v>
      </c>
      <c r="AA526">
        <v>1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3780</v>
      </c>
      <c r="AN526" t="str">
        <f>T("9791190142502")</f>
        <v>9791190142502</v>
      </c>
      <c r="AP526" t="str">
        <f>T("BL 웹소설 &gt; 역사/시대물")</f>
        <v>BL 웹소설 &gt; 역사/시대물</v>
      </c>
    </row>
    <row r="527" spans="1:43" x14ac:dyDescent="0.4">
      <c r="A527" t="s">
        <v>43</v>
      </c>
      <c r="B527">
        <v>3822000748</v>
      </c>
      <c r="C527">
        <v>3822000973</v>
      </c>
      <c r="D527" t="str">
        <f>T("[연재]왓에버 유 두(whatever you do) 147화 외전(2)")</f>
        <v>[연재]왓에버 유 두(whatever you do) 147화 외전(2)</v>
      </c>
      <c r="E527" t="str">
        <f>T("147")</f>
        <v>147</v>
      </c>
      <c r="F527" t="str">
        <f>T("원믹")</f>
        <v>원믹</v>
      </c>
      <c r="I527" t="str">
        <f t="shared" si="111"/>
        <v>딥블렌드</v>
      </c>
      <c r="J527" t="str">
        <f>T("[연재]왓에버 유 두(whatever you do)")</f>
        <v>[연재]왓에버 유 두(whatever you do)</v>
      </c>
      <c r="K527">
        <v>100</v>
      </c>
      <c r="L527">
        <v>5500</v>
      </c>
      <c r="M527">
        <v>55</v>
      </c>
      <c r="N527">
        <v>0</v>
      </c>
      <c r="O527">
        <v>0</v>
      </c>
      <c r="P527">
        <v>0</v>
      </c>
      <c r="Q527">
        <v>17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-100</v>
      </c>
      <c r="Y527">
        <v>1</v>
      </c>
      <c r="Z527">
        <v>-100</v>
      </c>
      <c r="AA527">
        <v>1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3300</v>
      </c>
      <c r="AN527" t="str">
        <f>T("9791190142793")</f>
        <v>9791190142793</v>
      </c>
      <c r="AP527" t="str">
        <f>T("BL 웹소설 &gt; 현대물")</f>
        <v>BL 웹소설 &gt; 현대물</v>
      </c>
    </row>
    <row r="528" spans="1:43" x14ac:dyDescent="0.4">
      <c r="A528" t="s">
        <v>43</v>
      </c>
      <c r="B528">
        <v>3822000748</v>
      </c>
      <c r="C528">
        <v>3822000974</v>
      </c>
      <c r="D528" t="str">
        <f>T("[연재]왓에버 유 두(whatever you do) 148화 외전(3)")</f>
        <v>[연재]왓에버 유 두(whatever you do) 148화 외전(3)</v>
      </c>
      <c r="E528" t="str">
        <f>T("148")</f>
        <v>148</v>
      </c>
      <c r="F528" t="str">
        <f>T("원믹")</f>
        <v>원믹</v>
      </c>
      <c r="I528" t="str">
        <f t="shared" si="111"/>
        <v>딥블렌드</v>
      </c>
      <c r="J528" t="str">
        <f>T("[연재]왓에버 유 두(whatever you do)")</f>
        <v>[연재]왓에버 유 두(whatever you do)</v>
      </c>
      <c r="K528">
        <v>100</v>
      </c>
      <c r="L528">
        <v>5500</v>
      </c>
      <c r="M528">
        <v>55</v>
      </c>
      <c r="N528">
        <v>0</v>
      </c>
      <c r="O528">
        <v>0</v>
      </c>
      <c r="P528">
        <v>0</v>
      </c>
      <c r="Q528">
        <v>15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-100</v>
      </c>
      <c r="Y528">
        <v>1</v>
      </c>
      <c r="Z528">
        <v>-100</v>
      </c>
      <c r="AA528">
        <v>1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3300</v>
      </c>
      <c r="AN528" t="str">
        <f>T("9791190142793")</f>
        <v>9791190142793</v>
      </c>
      <c r="AP528" t="str">
        <f>T("BL 웹소설 &gt; 현대물")</f>
        <v>BL 웹소설 &gt; 현대물</v>
      </c>
    </row>
    <row r="529" spans="1:43" x14ac:dyDescent="0.4">
      <c r="A529" t="s">
        <v>43</v>
      </c>
      <c r="B529">
        <v>3822000437</v>
      </c>
      <c r="C529">
        <v>3822001177</v>
      </c>
      <c r="D529" t="str">
        <f>T("[연재]저승꽃감관 181화")</f>
        <v>[연재]저승꽃감관 181화</v>
      </c>
      <c r="E529" t="str">
        <f>T("181")</f>
        <v>181</v>
      </c>
      <c r="F529" t="str">
        <f>T("에복")</f>
        <v>에복</v>
      </c>
      <c r="I529" t="str">
        <f t="shared" si="111"/>
        <v>딥블렌드</v>
      </c>
      <c r="J529" t="str">
        <f>T("[연재]저승꽃감관")</f>
        <v>[연재]저승꽃감관</v>
      </c>
      <c r="K529">
        <v>100</v>
      </c>
      <c r="L529">
        <v>5500</v>
      </c>
      <c r="M529">
        <v>55</v>
      </c>
      <c r="N529">
        <v>0</v>
      </c>
      <c r="O529">
        <v>0</v>
      </c>
      <c r="P529">
        <v>0</v>
      </c>
      <c r="Q529">
        <v>8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-100</v>
      </c>
      <c r="Y529">
        <v>1</v>
      </c>
      <c r="Z529">
        <v>-100</v>
      </c>
      <c r="AA529">
        <v>1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3780</v>
      </c>
      <c r="AN529" t="str">
        <f>T("9791190142502")</f>
        <v>9791190142502</v>
      </c>
      <c r="AP529" t="str">
        <f>T("BL 웹소설 &gt; 역사/시대물")</f>
        <v>BL 웹소설 &gt; 역사/시대물</v>
      </c>
    </row>
    <row r="530" spans="1:43" x14ac:dyDescent="0.4">
      <c r="A530" t="s">
        <v>43</v>
      </c>
      <c r="B530">
        <v>3822001129</v>
      </c>
      <c r="C530">
        <v>3822001137</v>
      </c>
      <c r="D530" t="str">
        <f>T("[연재]어비스(Abyss) 외전 9화 (완결)")</f>
        <v>[연재]어비스(Abyss) 외전 9화 (완결)</v>
      </c>
      <c r="E530" t="str">
        <f>T("9")</f>
        <v>9</v>
      </c>
      <c r="F530" t="str">
        <f>T("퀸에이")</f>
        <v>퀸에이</v>
      </c>
      <c r="I530" t="str">
        <f t="shared" si="111"/>
        <v>딥블렌드</v>
      </c>
      <c r="J530" t="str">
        <f>T("[연재]어비스(Abyss) 외전")</f>
        <v>[연재]어비스(Abyss) 외전</v>
      </c>
      <c r="K530">
        <v>100</v>
      </c>
      <c r="L530">
        <v>5500</v>
      </c>
      <c r="M530">
        <v>55</v>
      </c>
      <c r="N530">
        <v>0</v>
      </c>
      <c r="O530">
        <v>0</v>
      </c>
      <c r="P530">
        <v>0</v>
      </c>
      <c r="Q530">
        <v>6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1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3300</v>
      </c>
      <c r="AN530" t="str">
        <f>T("9791190142366")</f>
        <v>9791190142366</v>
      </c>
      <c r="AP530" t="str">
        <f>T("BL 웹소설 &gt; 현대물")</f>
        <v>BL 웹소설 &gt; 현대물</v>
      </c>
      <c r="AQ530" t="str">
        <f>T("BL 웹소설 &gt; 판타지물")</f>
        <v>BL 웹소설 &gt; 판타지물</v>
      </c>
    </row>
    <row r="531" spans="1:43" x14ac:dyDescent="0.4">
      <c r="A531" t="s">
        <v>43</v>
      </c>
      <c r="B531">
        <v>3822000994</v>
      </c>
      <c r="C531">
        <v>3822001067</v>
      </c>
      <c r="D531" t="str">
        <f>T("[연재]후회 없게 해 드립니다 58화")</f>
        <v>[연재]후회 없게 해 드립니다 58화</v>
      </c>
      <c r="E531" t="str">
        <f>T("58")</f>
        <v>58</v>
      </c>
      <c r="F531" t="str">
        <f>T("소하")</f>
        <v>소하</v>
      </c>
      <c r="I531" t="str">
        <f>T("비포선셋")</f>
        <v>비포선셋</v>
      </c>
      <c r="J531" t="str">
        <f>T("[연재]후회 없게 해 드립니다")</f>
        <v>[연재]후회 없게 해 드립니다</v>
      </c>
      <c r="K531">
        <v>100</v>
      </c>
      <c r="L531">
        <v>5500</v>
      </c>
      <c r="M531">
        <v>55</v>
      </c>
      <c r="N531">
        <v>0</v>
      </c>
      <c r="O531">
        <v>0</v>
      </c>
      <c r="P531">
        <v>0</v>
      </c>
      <c r="Q531">
        <v>2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-200</v>
      </c>
      <c r="Y531">
        <v>2</v>
      </c>
      <c r="Z531">
        <v>-200</v>
      </c>
      <c r="AA531">
        <v>2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3180</v>
      </c>
      <c r="AN531" t="str">
        <f>T("9791190142953")</f>
        <v>9791190142953</v>
      </c>
      <c r="AP531" t="str">
        <f>T("로맨스 웹소설 &gt; 판타지물")</f>
        <v>로맨스 웹소설 &gt; 판타지물</v>
      </c>
    </row>
    <row r="532" spans="1:43" x14ac:dyDescent="0.4">
      <c r="A532" t="s">
        <v>43</v>
      </c>
      <c r="B532">
        <v>3822001129</v>
      </c>
      <c r="C532">
        <v>3822001133</v>
      </c>
      <c r="D532" t="str">
        <f>T("[연재]어비스(Abyss) 외전 5화")</f>
        <v>[연재]어비스(Abyss) 외전 5화</v>
      </c>
      <c r="E532" t="str">
        <f>T("5")</f>
        <v>5</v>
      </c>
      <c r="F532" t="str">
        <f t="shared" ref="F532:F539" si="112">T("퀸에이")</f>
        <v>퀸에이</v>
      </c>
      <c r="I532" t="str">
        <f t="shared" ref="I532:I564" si="113">T("딥블렌드")</f>
        <v>딥블렌드</v>
      </c>
      <c r="J532" t="str">
        <f t="shared" ref="J532:J539" si="114">T("[연재]어비스(Abyss) 외전")</f>
        <v>[연재]어비스(Abyss) 외전</v>
      </c>
      <c r="K532">
        <v>100</v>
      </c>
      <c r="L532">
        <v>5400</v>
      </c>
      <c r="M532">
        <v>54</v>
      </c>
      <c r="N532">
        <v>0</v>
      </c>
      <c r="O532">
        <v>0</v>
      </c>
      <c r="P532">
        <v>0</v>
      </c>
      <c r="Q532">
        <v>2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3240</v>
      </c>
      <c r="AN532" t="str">
        <f t="shared" ref="AN532:AN539" si="115">T("9791190142366")</f>
        <v>9791190142366</v>
      </c>
      <c r="AP532" t="str">
        <f t="shared" ref="AP532:AP540" si="116">T("BL 웹소설 &gt; 현대물")</f>
        <v>BL 웹소설 &gt; 현대물</v>
      </c>
      <c r="AQ532" t="str">
        <f t="shared" ref="AQ532:AQ539" si="117">T("BL 웹소설 &gt; 판타지물")</f>
        <v>BL 웹소설 &gt; 판타지물</v>
      </c>
    </row>
    <row r="533" spans="1:43" x14ac:dyDescent="0.4">
      <c r="A533" t="s">
        <v>43</v>
      </c>
      <c r="B533">
        <v>3822001129</v>
      </c>
      <c r="C533">
        <v>3822001134</v>
      </c>
      <c r="D533" t="str">
        <f>T("[연재]어비스(Abyss) 외전 6화")</f>
        <v>[연재]어비스(Abyss) 외전 6화</v>
      </c>
      <c r="E533" t="str">
        <f>T("6")</f>
        <v>6</v>
      </c>
      <c r="F533" t="str">
        <f t="shared" si="112"/>
        <v>퀸에이</v>
      </c>
      <c r="I533" t="str">
        <f t="shared" si="113"/>
        <v>딥블렌드</v>
      </c>
      <c r="J533" t="str">
        <f t="shared" si="114"/>
        <v>[연재]어비스(Abyss) 외전</v>
      </c>
      <c r="K533">
        <v>100</v>
      </c>
      <c r="L533">
        <v>5400</v>
      </c>
      <c r="M533">
        <v>54</v>
      </c>
      <c r="N533">
        <v>0</v>
      </c>
      <c r="O533">
        <v>0</v>
      </c>
      <c r="P533">
        <v>0</v>
      </c>
      <c r="Q533">
        <v>1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3240</v>
      </c>
      <c r="AN533" t="str">
        <f t="shared" si="115"/>
        <v>9791190142366</v>
      </c>
      <c r="AP533" t="str">
        <f t="shared" si="116"/>
        <v>BL 웹소설 &gt; 현대물</v>
      </c>
      <c r="AQ533" t="str">
        <f t="shared" si="117"/>
        <v>BL 웹소설 &gt; 판타지물</v>
      </c>
    </row>
    <row r="534" spans="1:43" x14ac:dyDescent="0.4">
      <c r="A534" t="s">
        <v>43</v>
      </c>
      <c r="B534">
        <v>3822001129</v>
      </c>
      <c r="C534">
        <v>3822001132</v>
      </c>
      <c r="D534" t="str">
        <f>T("[연재]어비스(Abyss) 외전 4화")</f>
        <v>[연재]어비스(Abyss) 외전 4화</v>
      </c>
      <c r="E534" t="str">
        <f>T("4")</f>
        <v>4</v>
      </c>
      <c r="F534" t="str">
        <f t="shared" si="112"/>
        <v>퀸에이</v>
      </c>
      <c r="I534" t="str">
        <f t="shared" si="113"/>
        <v>딥블렌드</v>
      </c>
      <c r="J534" t="str">
        <f t="shared" si="114"/>
        <v>[연재]어비스(Abyss) 외전</v>
      </c>
      <c r="K534">
        <v>100</v>
      </c>
      <c r="L534">
        <v>5300</v>
      </c>
      <c r="M534">
        <v>53</v>
      </c>
      <c r="N534">
        <v>0</v>
      </c>
      <c r="O534">
        <v>0</v>
      </c>
      <c r="P534">
        <v>0</v>
      </c>
      <c r="Q534">
        <v>2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3180</v>
      </c>
      <c r="AN534" t="str">
        <f t="shared" si="115"/>
        <v>9791190142366</v>
      </c>
      <c r="AP534" t="str">
        <f t="shared" si="116"/>
        <v>BL 웹소설 &gt; 현대물</v>
      </c>
      <c r="AQ534" t="str">
        <f t="shared" si="117"/>
        <v>BL 웹소설 &gt; 판타지물</v>
      </c>
    </row>
    <row r="535" spans="1:43" x14ac:dyDescent="0.4">
      <c r="A535" t="s">
        <v>43</v>
      </c>
      <c r="B535">
        <v>3822001129</v>
      </c>
      <c r="C535">
        <v>3822001135</v>
      </c>
      <c r="D535" t="str">
        <f>T("[연재]어비스(Abyss) 외전 7화")</f>
        <v>[연재]어비스(Abyss) 외전 7화</v>
      </c>
      <c r="E535" t="str">
        <f>T("7")</f>
        <v>7</v>
      </c>
      <c r="F535" t="str">
        <f t="shared" si="112"/>
        <v>퀸에이</v>
      </c>
      <c r="I535" t="str">
        <f t="shared" si="113"/>
        <v>딥블렌드</v>
      </c>
      <c r="J535" t="str">
        <f t="shared" si="114"/>
        <v>[연재]어비스(Abyss) 외전</v>
      </c>
      <c r="K535">
        <v>100</v>
      </c>
      <c r="L535">
        <v>5300</v>
      </c>
      <c r="M535">
        <v>53</v>
      </c>
      <c r="N535">
        <v>0</v>
      </c>
      <c r="O535">
        <v>0</v>
      </c>
      <c r="P535">
        <v>0</v>
      </c>
      <c r="Q535">
        <v>5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1</v>
      </c>
      <c r="Z535">
        <v>0</v>
      </c>
      <c r="AA535">
        <v>0</v>
      </c>
      <c r="AB535">
        <v>0</v>
      </c>
      <c r="AC535">
        <v>1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3180</v>
      </c>
      <c r="AN535" t="str">
        <f t="shared" si="115"/>
        <v>9791190142366</v>
      </c>
      <c r="AP535" t="str">
        <f t="shared" si="116"/>
        <v>BL 웹소설 &gt; 현대물</v>
      </c>
      <c r="AQ535" t="str">
        <f t="shared" si="117"/>
        <v>BL 웹소설 &gt; 판타지물</v>
      </c>
    </row>
    <row r="536" spans="1:43" x14ac:dyDescent="0.4">
      <c r="A536" t="s">
        <v>43</v>
      </c>
      <c r="B536">
        <v>3822001129</v>
      </c>
      <c r="C536">
        <v>3822001129</v>
      </c>
      <c r="D536" t="str">
        <f>T("[연재]어비스(Abyss) 외전 1화")</f>
        <v>[연재]어비스(Abyss) 외전 1화</v>
      </c>
      <c r="E536" t="str">
        <f>T("1")</f>
        <v>1</v>
      </c>
      <c r="F536" t="str">
        <f t="shared" si="112"/>
        <v>퀸에이</v>
      </c>
      <c r="I536" t="str">
        <f t="shared" si="113"/>
        <v>딥블렌드</v>
      </c>
      <c r="J536" t="str">
        <f t="shared" si="114"/>
        <v>[연재]어비스(Abyss) 외전</v>
      </c>
      <c r="K536">
        <v>100</v>
      </c>
      <c r="L536">
        <v>5200</v>
      </c>
      <c r="M536">
        <v>52</v>
      </c>
      <c r="N536">
        <v>0</v>
      </c>
      <c r="O536">
        <v>0</v>
      </c>
      <c r="P536">
        <v>0</v>
      </c>
      <c r="Q536">
        <v>3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3120</v>
      </c>
      <c r="AN536" t="str">
        <f t="shared" si="115"/>
        <v>9791190142366</v>
      </c>
      <c r="AP536" t="str">
        <f t="shared" si="116"/>
        <v>BL 웹소설 &gt; 현대물</v>
      </c>
      <c r="AQ536" t="str">
        <f t="shared" si="117"/>
        <v>BL 웹소설 &gt; 판타지물</v>
      </c>
    </row>
    <row r="537" spans="1:43" x14ac:dyDescent="0.4">
      <c r="A537" t="s">
        <v>43</v>
      </c>
      <c r="B537">
        <v>3822001129</v>
      </c>
      <c r="C537">
        <v>3822001130</v>
      </c>
      <c r="D537" t="str">
        <f>T("[연재]어비스(Abyss) 외전 2화")</f>
        <v>[연재]어비스(Abyss) 외전 2화</v>
      </c>
      <c r="E537" t="str">
        <f>T("2")</f>
        <v>2</v>
      </c>
      <c r="F537" t="str">
        <f t="shared" si="112"/>
        <v>퀸에이</v>
      </c>
      <c r="I537" t="str">
        <f t="shared" si="113"/>
        <v>딥블렌드</v>
      </c>
      <c r="J537" t="str">
        <f t="shared" si="114"/>
        <v>[연재]어비스(Abyss) 외전</v>
      </c>
      <c r="K537">
        <v>100</v>
      </c>
      <c r="L537">
        <v>5200</v>
      </c>
      <c r="M537">
        <v>52</v>
      </c>
      <c r="N537">
        <v>0</v>
      </c>
      <c r="O537">
        <v>0</v>
      </c>
      <c r="P537">
        <v>0</v>
      </c>
      <c r="Q537">
        <v>3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3120</v>
      </c>
      <c r="AN537" t="str">
        <f t="shared" si="115"/>
        <v>9791190142366</v>
      </c>
      <c r="AP537" t="str">
        <f t="shared" si="116"/>
        <v>BL 웹소설 &gt; 현대물</v>
      </c>
      <c r="AQ537" t="str">
        <f t="shared" si="117"/>
        <v>BL 웹소설 &gt; 판타지물</v>
      </c>
    </row>
    <row r="538" spans="1:43" x14ac:dyDescent="0.4">
      <c r="A538" t="s">
        <v>43</v>
      </c>
      <c r="B538">
        <v>3822001129</v>
      </c>
      <c r="C538">
        <v>3822001131</v>
      </c>
      <c r="D538" t="str">
        <f>T("[연재]어비스(Abyss) 외전 3화")</f>
        <v>[연재]어비스(Abyss) 외전 3화</v>
      </c>
      <c r="E538" t="str">
        <f>T("3")</f>
        <v>3</v>
      </c>
      <c r="F538" t="str">
        <f t="shared" si="112"/>
        <v>퀸에이</v>
      </c>
      <c r="I538" t="str">
        <f t="shared" si="113"/>
        <v>딥블렌드</v>
      </c>
      <c r="J538" t="str">
        <f t="shared" si="114"/>
        <v>[연재]어비스(Abyss) 외전</v>
      </c>
      <c r="K538">
        <v>100</v>
      </c>
      <c r="L538">
        <v>5100</v>
      </c>
      <c r="M538">
        <v>51</v>
      </c>
      <c r="N538">
        <v>0</v>
      </c>
      <c r="O538">
        <v>0</v>
      </c>
      <c r="P538">
        <v>0</v>
      </c>
      <c r="Q538">
        <v>2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3060</v>
      </c>
      <c r="AN538" t="str">
        <f t="shared" si="115"/>
        <v>9791190142366</v>
      </c>
      <c r="AP538" t="str">
        <f t="shared" si="116"/>
        <v>BL 웹소설 &gt; 현대물</v>
      </c>
      <c r="AQ538" t="str">
        <f t="shared" si="117"/>
        <v>BL 웹소설 &gt; 판타지물</v>
      </c>
    </row>
    <row r="539" spans="1:43" x14ac:dyDescent="0.4">
      <c r="A539" t="s">
        <v>43</v>
      </c>
      <c r="B539">
        <v>3822001129</v>
      </c>
      <c r="C539">
        <v>3822001136</v>
      </c>
      <c r="D539" t="str">
        <f>T("[연재]어비스(Abyss) 외전 8화")</f>
        <v>[연재]어비스(Abyss) 외전 8화</v>
      </c>
      <c r="E539" t="str">
        <f>T("8")</f>
        <v>8</v>
      </c>
      <c r="F539" t="str">
        <f t="shared" si="112"/>
        <v>퀸에이</v>
      </c>
      <c r="I539" t="str">
        <f t="shared" si="113"/>
        <v>딥블렌드</v>
      </c>
      <c r="J539" t="str">
        <f t="shared" si="114"/>
        <v>[연재]어비스(Abyss) 외전</v>
      </c>
      <c r="K539">
        <v>100</v>
      </c>
      <c r="L539">
        <v>5100</v>
      </c>
      <c r="M539">
        <v>51</v>
      </c>
      <c r="N539">
        <v>0</v>
      </c>
      <c r="O539">
        <v>0</v>
      </c>
      <c r="P539">
        <v>0</v>
      </c>
      <c r="Q539">
        <v>5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1</v>
      </c>
      <c r="Z539">
        <v>0</v>
      </c>
      <c r="AA539">
        <v>0</v>
      </c>
      <c r="AB539">
        <v>0</v>
      </c>
      <c r="AC539">
        <v>1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3060</v>
      </c>
      <c r="AN539" t="str">
        <f t="shared" si="115"/>
        <v>9791190142366</v>
      </c>
      <c r="AP539" t="str">
        <f t="shared" si="116"/>
        <v>BL 웹소설 &gt; 현대물</v>
      </c>
      <c r="AQ539" t="str">
        <f t="shared" si="117"/>
        <v>BL 웹소설 &gt; 판타지물</v>
      </c>
    </row>
    <row r="540" spans="1:43" x14ac:dyDescent="0.4">
      <c r="A540" t="s">
        <v>43</v>
      </c>
      <c r="B540">
        <v>3822000645</v>
      </c>
      <c r="C540">
        <v>3822000648</v>
      </c>
      <c r="D540" t="str">
        <f>T("[연재]방송 켜셔야죠 4화")</f>
        <v>[연재]방송 켜셔야죠 4화</v>
      </c>
      <c r="E540" t="str">
        <f>T("4")</f>
        <v>4</v>
      </c>
      <c r="F540" t="str">
        <f>T("파란비")</f>
        <v>파란비</v>
      </c>
      <c r="I540" t="str">
        <f t="shared" si="113"/>
        <v>딥블렌드</v>
      </c>
      <c r="J540" t="str">
        <f>T("[연재]방송 켜셔야죠")</f>
        <v>[연재]방송 켜셔야죠</v>
      </c>
      <c r="K540">
        <v>100</v>
      </c>
      <c r="L540">
        <v>4400</v>
      </c>
      <c r="M540">
        <v>44</v>
      </c>
      <c r="N540">
        <v>0</v>
      </c>
      <c r="O540">
        <v>0</v>
      </c>
      <c r="P540">
        <v>0</v>
      </c>
      <c r="Q540">
        <v>160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2640</v>
      </c>
      <c r="AN540" t="str">
        <f>T("9791190142717")</f>
        <v>9791190142717</v>
      </c>
      <c r="AP540" t="str">
        <f t="shared" si="116"/>
        <v>BL 웹소설 &gt; 현대물</v>
      </c>
    </row>
    <row r="541" spans="1:43" x14ac:dyDescent="0.4">
      <c r="A541" t="s">
        <v>43</v>
      </c>
      <c r="C541">
        <v>3822001164</v>
      </c>
      <c r="D541" t="str">
        <f>T("39일간의 기록")</f>
        <v>39일간의 기록</v>
      </c>
      <c r="F541" t="str">
        <f>T("일리오레")</f>
        <v>일리오레</v>
      </c>
      <c r="I541" t="str">
        <f t="shared" si="113"/>
        <v>딥블렌드</v>
      </c>
      <c r="K541">
        <v>2200</v>
      </c>
      <c r="L541">
        <v>4400</v>
      </c>
      <c r="M541">
        <v>2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3080</v>
      </c>
      <c r="AN541" t="str">
        <f>T("9791190876223")</f>
        <v>9791190876223</v>
      </c>
      <c r="AP541" t="str">
        <f>T("BL 소설 e북 &gt; 현대물")</f>
        <v>BL 소설 e북 &gt; 현대물</v>
      </c>
    </row>
    <row r="542" spans="1:43" x14ac:dyDescent="0.4">
      <c r="A542" t="s">
        <v>43</v>
      </c>
      <c r="B542">
        <v>3822000748</v>
      </c>
      <c r="C542">
        <v>3822000807</v>
      </c>
      <c r="D542" t="str">
        <f>T("[연재]왓에버 유 두(whatever you do) 60화")</f>
        <v>[연재]왓에버 유 두(whatever you do) 60화</v>
      </c>
      <c r="E542" t="str">
        <f>T("60")</f>
        <v>60</v>
      </c>
      <c r="F542" t="str">
        <f t="shared" ref="F542:F561" si="118">T("원믹")</f>
        <v>원믹</v>
      </c>
      <c r="I542" t="str">
        <f t="shared" si="113"/>
        <v>딥블렌드</v>
      </c>
      <c r="J542" t="str">
        <f t="shared" ref="J542:J561" si="119">T("[연재]왓에버 유 두(whatever you do)")</f>
        <v>[연재]왓에버 유 두(whatever you do)</v>
      </c>
      <c r="K542">
        <v>100</v>
      </c>
      <c r="L542">
        <v>4100</v>
      </c>
      <c r="M542">
        <v>41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2490</v>
      </c>
      <c r="AN542" t="str">
        <f t="shared" ref="AN542:AN561" si="120">T("9791190142793")</f>
        <v>9791190142793</v>
      </c>
      <c r="AP542" t="str">
        <f t="shared" ref="AP542:AP561" si="121">T("BL 웹소설 &gt; 현대물")</f>
        <v>BL 웹소설 &gt; 현대물</v>
      </c>
    </row>
    <row r="543" spans="1:43" x14ac:dyDescent="0.4">
      <c r="A543" t="s">
        <v>43</v>
      </c>
      <c r="B543">
        <v>3822000748</v>
      </c>
      <c r="C543">
        <v>3822000812</v>
      </c>
      <c r="D543" t="str">
        <f>T("[연재]왓에버 유 두(whatever you do) 65화")</f>
        <v>[연재]왓에버 유 두(whatever you do) 65화</v>
      </c>
      <c r="E543" t="str">
        <f>T("65")</f>
        <v>65</v>
      </c>
      <c r="F543" t="str">
        <f t="shared" si="118"/>
        <v>원믹</v>
      </c>
      <c r="I543" t="str">
        <f t="shared" si="113"/>
        <v>딥블렌드</v>
      </c>
      <c r="J543" t="str">
        <f t="shared" si="119"/>
        <v>[연재]왓에버 유 두(whatever you do)</v>
      </c>
      <c r="K543">
        <v>100</v>
      </c>
      <c r="L543">
        <v>3900</v>
      </c>
      <c r="M543">
        <v>39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2370</v>
      </c>
      <c r="AN543" t="str">
        <f t="shared" si="120"/>
        <v>9791190142793</v>
      </c>
      <c r="AP543" t="str">
        <f t="shared" si="121"/>
        <v>BL 웹소설 &gt; 현대물</v>
      </c>
    </row>
    <row r="544" spans="1:43" x14ac:dyDescent="0.4">
      <c r="A544" t="s">
        <v>43</v>
      </c>
      <c r="B544">
        <v>3822000748</v>
      </c>
      <c r="C544">
        <v>3822000972</v>
      </c>
      <c r="D544" t="str">
        <f>T("[연재]왓에버 유 두(whatever you do) 146화 외전(1)")</f>
        <v>[연재]왓에버 유 두(whatever you do) 146화 외전(1)</v>
      </c>
      <c r="E544" t="str">
        <f>T("146")</f>
        <v>146</v>
      </c>
      <c r="F544" t="str">
        <f t="shared" si="118"/>
        <v>원믹</v>
      </c>
      <c r="I544" t="str">
        <f t="shared" si="113"/>
        <v>딥블렌드</v>
      </c>
      <c r="J544" t="str">
        <f t="shared" si="119"/>
        <v>[연재]왓에버 유 두(whatever you do)</v>
      </c>
      <c r="K544">
        <v>100</v>
      </c>
      <c r="L544">
        <v>3800</v>
      </c>
      <c r="M544">
        <v>38</v>
      </c>
      <c r="N544">
        <v>0</v>
      </c>
      <c r="O544">
        <v>0</v>
      </c>
      <c r="P544">
        <v>0</v>
      </c>
      <c r="Q544">
        <v>2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-100</v>
      </c>
      <c r="Y544">
        <v>1</v>
      </c>
      <c r="Z544">
        <v>-100</v>
      </c>
      <c r="AA544">
        <v>1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2270</v>
      </c>
      <c r="AN544" t="str">
        <f t="shared" si="120"/>
        <v>9791190142793</v>
      </c>
      <c r="AP544" t="str">
        <f t="shared" si="121"/>
        <v>BL 웹소설 &gt; 현대물</v>
      </c>
    </row>
    <row r="545" spans="1:42" x14ac:dyDescent="0.4">
      <c r="A545" t="s">
        <v>43</v>
      </c>
      <c r="B545">
        <v>3822000748</v>
      </c>
      <c r="C545">
        <v>3822000815</v>
      </c>
      <c r="D545" t="str">
        <f>T("[연재]왓에버 유 두(whatever you do) 68화")</f>
        <v>[연재]왓에버 유 두(whatever you do) 68화</v>
      </c>
      <c r="E545" t="str">
        <f>T("68")</f>
        <v>68</v>
      </c>
      <c r="F545" t="str">
        <f t="shared" si="118"/>
        <v>원믹</v>
      </c>
      <c r="I545" t="str">
        <f t="shared" si="113"/>
        <v>딥블렌드</v>
      </c>
      <c r="J545" t="str">
        <f t="shared" si="119"/>
        <v>[연재]왓에버 유 두(whatever you do)</v>
      </c>
      <c r="K545">
        <v>100</v>
      </c>
      <c r="L545">
        <v>3800</v>
      </c>
      <c r="M545">
        <v>38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2310</v>
      </c>
      <c r="AN545" t="str">
        <f t="shared" si="120"/>
        <v>9791190142793</v>
      </c>
      <c r="AP545" t="str">
        <f t="shared" si="121"/>
        <v>BL 웹소설 &gt; 현대물</v>
      </c>
    </row>
    <row r="546" spans="1:42" x14ac:dyDescent="0.4">
      <c r="A546" t="s">
        <v>43</v>
      </c>
      <c r="B546">
        <v>3822000748</v>
      </c>
      <c r="C546">
        <v>3822000816</v>
      </c>
      <c r="D546" t="str">
        <f>T("[연재]왓에버 유 두(whatever you do) 69화")</f>
        <v>[연재]왓에버 유 두(whatever you do) 69화</v>
      </c>
      <c r="E546" t="str">
        <f>T("69")</f>
        <v>69</v>
      </c>
      <c r="F546" t="str">
        <f t="shared" si="118"/>
        <v>원믹</v>
      </c>
      <c r="I546" t="str">
        <f t="shared" si="113"/>
        <v>딥블렌드</v>
      </c>
      <c r="J546" t="str">
        <f t="shared" si="119"/>
        <v>[연재]왓에버 유 두(whatever you do)</v>
      </c>
      <c r="K546">
        <v>100</v>
      </c>
      <c r="L546">
        <v>3800</v>
      </c>
      <c r="M546">
        <v>38</v>
      </c>
      <c r="N546">
        <v>0</v>
      </c>
      <c r="O546">
        <v>0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2310</v>
      </c>
      <c r="AN546" t="str">
        <f t="shared" si="120"/>
        <v>9791190142793</v>
      </c>
      <c r="AP546" t="str">
        <f t="shared" si="121"/>
        <v>BL 웹소설 &gt; 현대물</v>
      </c>
    </row>
    <row r="547" spans="1:42" x14ac:dyDescent="0.4">
      <c r="A547" t="s">
        <v>43</v>
      </c>
      <c r="B547">
        <v>3822000748</v>
      </c>
      <c r="C547">
        <v>3822000806</v>
      </c>
      <c r="D547" t="str">
        <f>T("[연재]왓에버 유 두(whatever you do) 59화")</f>
        <v>[연재]왓에버 유 두(whatever you do) 59화</v>
      </c>
      <c r="E547" t="str">
        <f>T("59")</f>
        <v>59</v>
      </c>
      <c r="F547" t="str">
        <f t="shared" si="118"/>
        <v>원믹</v>
      </c>
      <c r="I547" t="str">
        <f t="shared" si="113"/>
        <v>딥블렌드</v>
      </c>
      <c r="J547" t="str">
        <f t="shared" si="119"/>
        <v>[연재]왓에버 유 두(whatever you do)</v>
      </c>
      <c r="K547">
        <v>100</v>
      </c>
      <c r="L547">
        <v>3800</v>
      </c>
      <c r="M547">
        <v>38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2310</v>
      </c>
      <c r="AN547" t="str">
        <f t="shared" si="120"/>
        <v>9791190142793</v>
      </c>
      <c r="AP547" t="str">
        <f t="shared" si="121"/>
        <v>BL 웹소설 &gt; 현대물</v>
      </c>
    </row>
    <row r="548" spans="1:42" x14ac:dyDescent="0.4">
      <c r="A548" t="s">
        <v>43</v>
      </c>
      <c r="B548">
        <v>3822000748</v>
      </c>
      <c r="C548">
        <v>3822000813</v>
      </c>
      <c r="D548" t="str">
        <f>T("[연재]왓에버 유 두(whatever you do) 66화")</f>
        <v>[연재]왓에버 유 두(whatever you do) 66화</v>
      </c>
      <c r="E548" t="str">
        <f>T("66")</f>
        <v>66</v>
      </c>
      <c r="F548" t="str">
        <f t="shared" si="118"/>
        <v>원믹</v>
      </c>
      <c r="I548" t="str">
        <f t="shared" si="113"/>
        <v>딥블렌드</v>
      </c>
      <c r="J548" t="str">
        <f t="shared" si="119"/>
        <v>[연재]왓에버 유 두(whatever you do)</v>
      </c>
      <c r="K548">
        <v>100</v>
      </c>
      <c r="L548">
        <v>3800</v>
      </c>
      <c r="M548">
        <v>38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2310</v>
      </c>
      <c r="AN548" t="str">
        <f t="shared" si="120"/>
        <v>9791190142793</v>
      </c>
      <c r="AP548" t="str">
        <f t="shared" si="121"/>
        <v>BL 웹소설 &gt; 현대물</v>
      </c>
    </row>
    <row r="549" spans="1:42" x14ac:dyDescent="0.4">
      <c r="A549" t="s">
        <v>43</v>
      </c>
      <c r="B549">
        <v>3822000748</v>
      </c>
      <c r="C549">
        <v>3822000814</v>
      </c>
      <c r="D549" t="str">
        <f>T("[연재]왓에버 유 두(whatever you do) 67화")</f>
        <v>[연재]왓에버 유 두(whatever you do) 67화</v>
      </c>
      <c r="E549" t="str">
        <f>T("67")</f>
        <v>67</v>
      </c>
      <c r="F549" t="str">
        <f t="shared" si="118"/>
        <v>원믹</v>
      </c>
      <c r="I549" t="str">
        <f t="shared" si="113"/>
        <v>딥블렌드</v>
      </c>
      <c r="J549" t="str">
        <f t="shared" si="119"/>
        <v>[연재]왓에버 유 두(whatever you do)</v>
      </c>
      <c r="K549">
        <v>100</v>
      </c>
      <c r="L549">
        <v>3700</v>
      </c>
      <c r="M549">
        <v>37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2250</v>
      </c>
      <c r="AN549" t="str">
        <f t="shared" si="120"/>
        <v>9791190142793</v>
      </c>
      <c r="AP549" t="str">
        <f t="shared" si="121"/>
        <v>BL 웹소설 &gt; 현대물</v>
      </c>
    </row>
    <row r="550" spans="1:42" x14ac:dyDescent="0.4">
      <c r="A550" t="s">
        <v>43</v>
      </c>
      <c r="B550">
        <v>3822000748</v>
      </c>
      <c r="C550">
        <v>3822000808</v>
      </c>
      <c r="D550" t="str">
        <f>T("[연재]왓에버 유 두(whatever you do) 61화")</f>
        <v>[연재]왓에버 유 두(whatever you do) 61화</v>
      </c>
      <c r="E550" t="str">
        <f>T("61")</f>
        <v>61</v>
      </c>
      <c r="F550" t="str">
        <f t="shared" si="118"/>
        <v>원믹</v>
      </c>
      <c r="I550" t="str">
        <f t="shared" si="113"/>
        <v>딥블렌드</v>
      </c>
      <c r="J550" t="str">
        <f t="shared" si="119"/>
        <v>[연재]왓에버 유 두(whatever you do)</v>
      </c>
      <c r="K550">
        <v>100</v>
      </c>
      <c r="L550">
        <v>3700</v>
      </c>
      <c r="M550">
        <v>37</v>
      </c>
      <c r="N550">
        <v>0</v>
      </c>
      <c r="O550">
        <v>0</v>
      </c>
      <c r="P550">
        <v>0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2250</v>
      </c>
      <c r="AN550" t="str">
        <f t="shared" si="120"/>
        <v>9791190142793</v>
      </c>
      <c r="AP550" t="str">
        <f t="shared" si="121"/>
        <v>BL 웹소설 &gt; 현대물</v>
      </c>
    </row>
    <row r="551" spans="1:42" x14ac:dyDescent="0.4">
      <c r="A551" t="s">
        <v>43</v>
      </c>
      <c r="B551">
        <v>3822000748</v>
      </c>
      <c r="C551">
        <v>3822000810</v>
      </c>
      <c r="D551" t="str">
        <f>T("[연재]왓에버 유 두(whatever you do) 63화")</f>
        <v>[연재]왓에버 유 두(whatever you do) 63화</v>
      </c>
      <c r="E551" t="str">
        <f>T("63")</f>
        <v>63</v>
      </c>
      <c r="F551" t="str">
        <f t="shared" si="118"/>
        <v>원믹</v>
      </c>
      <c r="I551" t="str">
        <f t="shared" si="113"/>
        <v>딥블렌드</v>
      </c>
      <c r="J551" t="str">
        <f t="shared" si="119"/>
        <v>[연재]왓에버 유 두(whatever you do)</v>
      </c>
      <c r="K551">
        <v>100</v>
      </c>
      <c r="L551">
        <v>3700</v>
      </c>
      <c r="M551">
        <v>37</v>
      </c>
      <c r="N551">
        <v>0</v>
      </c>
      <c r="O551">
        <v>0</v>
      </c>
      <c r="P551">
        <v>0</v>
      </c>
      <c r="Q551">
        <v>2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2250</v>
      </c>
      <c r="AN551" t="str">
        <f t="shared" si="120"/>
        <v>9791190142793</v>
      </c>
      <c r="AP551" t="str">
        <f t="shared" si="121"/>
        <v>BL 웹소설 &gt; 현대물</v>
      </c>
    </row>
    <row r="552" spans="1:42" x14ac:dyDescent="0.4">
      <c r="A552" t="s">
        <v>43</v>
      </c>
      <c r="B552">
        <v>3822000748</v>
      </c>
      <c r="C552">
        <v>3822000811</v>
      </c>
      <c r="D552" t="str">
        <f>T("[연재]왓에버 유 두(whatever you do) 64화")</f>
        <v>[연재]왓에버 유 두(whatever you do) 64화</v>
      </c>
      <c r="E552" t="str">
        <f>T("64")</f>
        <v>64</v>
      </c>
      <c r="F552" t="str">
        <f t="shared" si="118"/>
        <v>원믹</v>
      </c>
      <c r="I552" t="str">
        <f t="shared" si="113"/>
        <v>딥블렌드</v>
      </c>
      <c r="J552" t="str">
        <f t="shared" si="119"/>
        <v>[연재]왓에버 유 두(whatever you do)</v>
      </c>
      <c r="K552">
        <v>100</v>
      </c>
      <c r="L552">
        <v>3700</v>
      </c>
      <c r="M552">
        <v>37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2250</v>
      </c>
      <c r="AN552" t="str">
        <f t="shared" si="120"/>
        <v>9791190142793</v>
      </c>
      <c r="AP552" t="str">
        <f t="shared" si="121"/>
        <v>BL 웹소설 &gt; 현대물</v>
      </c>
    </row>
    <row r="553" spans="1:42" x14ac:dyDescent="0.4">
      <c r="A553" t="s">
        <v>43</v>
      </c>
      <c r="B553">
        <v>3822000748</v>
      </c>
      <c r="C553">
        <v>3822000772</v>
      </c>
      <c r="D553" t="str">
        <f>T("[연재]왓에버 유 두(whatever you do) 25화")</f>
        <v>[연재]왓에버 유 두(whatever you do) 25화</v>
      </c>
      <c r="E553" t="str">
        <f>T("25")</f>
        <v>25</v>
      </c>
      <c r="F553" t="str">
        <f t="shared" si="118"/>
        <v>원믹</v>
      </c>
      <c r="I553" t="str">
        <f t="shared" si="113"/>
        <v>딥블렌드</v>
      </c>
      <c r="J553" t="str">
        <f t="shared" si="119"/>
        <v>[연재]왓에버 유 두(whatever you do)</v>
      </c>
      <c r="K553">
        <v>100</v>
      </c>
      <c r="L553">
        <v>3600</v>
      </c>
      <c r="M553">
        <v>36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2210</v>
      </c>
      <c r="AN553" t="str">
        <f t="shared" si="120"/>
        <v>9791190142793</v>
      </c>
      <c r="AP553" t="str">
        <f t="shared" si="121"/>
        <v>BL 웹소설 &gt; 현대물</v>
      </c>
    </row>
    <row r="554" spans="1:42" x14ac:dyDescent="0.4">
      <c r="A554" t="s">
        <v>43</v>
      </c>
      <c r="B554">
        <v>3822000748</v>
      </c>
      <c r="C554">
        <v>3822000773</v>
      </c>
      <c r="D554" t="str">
        <f>T("[연재]왓에버 유 두(whatever you do) 26화")</f>
        <v>[연재]왓에버 유 두(whatever you do) 26화</v>
      </c>
      <c r="E554" t="str">
        <f>T("26")</f>
        <v>26</v>
      </c>
      <c r="F554" t="str">
        <f t="shared" si="118"/>
        <v>원믹</v>
      </c>
      <c r="I554" t="str">
        <f t="shared" si="113"/>
        <v>딥블렌드</v>
      </c>
      <c r="J554" t="str">
        <f t="shared" si="119"/>
        <v>[연재]왓에버 유 두(whatever you do)</v>
      </c>
      <c r="K554">
        <v>100</v>
      </c>
      <c r="L554">
        <v>3600</v>
      </c>
      <c r="M554">
        <v>36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2210</v>
      </c>
      <c r="AN554" t="str">
        <f t="shared" si="120"/>
        <v>9791190142793</v>
      </c>
      <c r="AP554" t="str">
        <f t="shared" si="121"/>
        <v>BL 웹소설 &gt; 현대물</v>
      </c>
    </row>
    <row r="555" spans="1:42" x14ac:dyDescent="0.4">
      <c r="A555" t="s">
        <v>43</v>
      </c>
      <c r="B555">
        <v>3822000748</v>
      </c>
      <c r="C555">
        <v>3822000817</v>
      </c>
      <c r="D555" t="str">
        <f>T("[연재]왓에버 유 두(whatever you do) 70화")</f>
        <v>[연재]왓에버 유 두(whatever you do) 70화</v>
      </c>
      <c r="E555" t="str">
        <f>T("70")</f>
        <v>70</v>
      </c>
      <c r="F555" t="str">
        <f t="shared" si="118"/>
        <v>원믹</v>
      </c>
      <c r="I555" t="str">
        <f t="shared" si="113"/>
        <v>딥블렌드</v>
      </c>
      <c r="J555" t="str">
        <f t="shared" si="119"/>
        <v>[연재]왓에버 유 두(whatever you do)</v>
      </c>
      <c r="K555">
        <v>100</v>
      </c>
      <c r="L555">
        <v>3600</v>
      </c>
      <c r="M555">
        <v>36</v>
      </c>
      <c r="N555">
        <v>0</v>
      </c>
      <c r="O555">
        <v>0</v>
      </c>
      <c r="P555">
        <v>0</v>
      </c>
      <c r="Q555">
        <v>1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2190</v>
      </c>
      <c r="AN555" t="str">
        <f t="shared" si="120"/>
        <v>9791190142793</v>
      </c>
      <c r="AP555" t="str">
        <f t="shared" si="121"/>
        <v>BL 웹소설 &gt; 현대물</v>
      </c>
    </row>
    <row r="556" spans="1:42" x14ac:dyDescent="0.4">
      <c r="A556" t="s">
        <v>43</v>
      </c>
      <c r="B556">
        <v>3822000748</v>
      </c>
      <c r="C556">
        <v>3822000818</v>
      </c>
      <c r="D556" t="str">
        <f>T("[연재]왓에버 유 두(whatever you do) 71화")</f>
        <v>[연재]왓에버 유 두(whatever you do) 71화</v>
      </c>
      <c r="E556" t="str">
        <f>T("71")</f>
        <v>71</v>
      </c>
      <c r="F556" t="str">
        <f t="shared" si="118"/>
        <v>원믹</v>
      </c>
      <c r="I556" t="str">
        <f t="shared" si="113"/>
        <v>딥블렌드</v>
      </c>
      <c r="J556" t="str">
        <f t="shared" si="119"/>
        <v>[연재]왓에버 유 두(whatever you do)</v>
      </c>
      <c r="K556">
        <v>100</v>
      </c>
      <c r="L556">
        <v>3600</v>
      </c>
      <c r="M556">
        <v>36</v>
      </c>
      <c r="N556">
        <v>0</v>
      </c>
      <c r="O556">
        <v>0</v>
      </c>
      <c r="P556">
        <v>0</v>
      </c>
      <c r="Q556">
        <v>1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2190</v>
      </c>
      <c r="AN556" t="str">
        <f t="shared" si="120"/>
        <v>9791190142793</v>
      </c>
      <c r="AP556" t="str">
        <f t="shared" si="121"/>
        <v>BL 웹소설 &gt; 현대물</v>
      </c>
    </row>
    <row r="557" spans="1:42" x14ac:dyDescent="0.4">
      <c r="A557" t="s">
        <v>43</v>
      </c>
      <c r="B557">
        <v>3822000748</v>
      </c>
      <c r="C557">
        <v>3822000805</v>
      </c>
      <c r="D557" t="str">
        <f>T("[연재]왓에버 유 두(whatever you do) 58화")</f>
        <v>[연재]왓에버 유 두(whatever you do) 58화</v>
      </c>
      <c r="E557" t="str">
        <f>T("58")</f>
        <v>58</v>
      </c>
      <c r="F557" t="str">
        <f t="shared" si="118"/>
        <v>원믹</v>
      </c>
      <c r="I557" t="str">
        <f t="shared" si="113"/>
        <v>딥블렌드</v>
      </c>
      <c r="J557" t="str">
        <f t="shared" si="119"/>
        <v>[연재]왓에버 유 두(whatever you do)</v>
      </c>
      <c r="K557">
        <v>100</v>
      </c>
      <c r="L557">
        <v>3600</v>
      </c>
      <c r="M557">
        <v>36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2190</v>
      </c>
      <c r="AN557" t="str">
        <f t="shared" si="120"/>
        <v>9791190142793</v>
      </c>
      <c r="AP557" t="str">
        <f t="shared" si="121"/>
        <v>BL 웹소설 &gt; 현대물</v>
      </c>
    </row>
    <row r="558" spans="1:42" x14ac:dyDescent="0.4">
      <c r="A558" t="s">
        <v>43</v>
      </c>
      <c r="B558">
        <v>3822000748</v>
      </c>
      <c r="C558">
        <v>3822000862</v>
      </c>
      <c r="D558" t="str">
        <f>T("[연재]왓에버 유 두(whatever you do) 99화")</f>
        <v>[연재]왓에버 유 두(whatever you do) 99화</v>
      </c>
      <c r="E558" t="str">
        <f>T("99")</f>
        <v>99</v>
      </c>
      <c r="F558" t="str">
        <f t="shared" si="118"/>
        <v>원믹</v>
      </c>
      <c r="I558" t="str">
        <f t="shared" si="113"/>
        <v>딥블렌드</v>
      </c>
      <c r="J558" t="str">
        <f t="shared" si="119"/>
        <v>[연재]왓에버 유 두(whatever you do)</v>
      </c>
      <c r="K558">
        <v>100</v>
      </c>
      <c r="L558">
        <v>3600</v>
      </c>
      <c r="M558">
        <v>36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2200</v>
      </c>
      <c r="AN558" t="str">
        <f t="shared" si="120"/>
        <v>9791190142793</v>
      </c>
      <c r="AP558" t="str">
        <f t="shared" si="121"/>
        <v>BL 웹소설 &gt; 현대물</v>
      </c>
    </row>
    <row r="559" spans="1:42" x14ac:dyDescent="0.4">
      <c r="A559" t="s">
        <v>43</v>
      </c>
      <c r="B559">
        <v>3822000748</v>
      </c>
      <c r="C559">
        <v>3822000822</v>
      </c>
      <c r="D559" t="str">
        <f>T("[연재]왓에버 유 두(whatever you do) 75화")</f>
        <v>[연재]왓에버 유 두(whatever you do) 75화</v>
      </c>
      <c r="E559" t="str">
        <f>T("75")</f>
        <v>75</v>
      </c>
      <c r="F559" t="str">
        <f t="shared" si="118"/>
        <v>원믹</v>
      </c>
      <c r="I559" t="str">
        <f t="shared" si="113"/>
        <v>딥블렌드</v>
      </c>
      <c r="J559" t="str">
        <f t="shared" si="119"/>
        <v>[연재]왓에버 유 두(whatever you do)</v>
      </c>
      <c r="K559">
        <v>100</v>
      </c>
      <c r="L559">
        <v>3600</v>
      </c>
      <c r="M559">
        <v>36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2200</v>
      </c>
      <c r="AN559" t="str">
        <f t="shared" si="120"/>
        <v>9791190142793</v>
      </c>
      <c r="AP559" t="str">
        <f t="shared" si="121"/>
        <v>BL 웹소설 &gt; 현대물</v>
      </c>
    </row>
    <row r="560" spans="1:42" x14ac:dyDescent="0.4">
      <c r="A560" t="s">
        <v>43</v>
      </c>
      <c r="B560">
        <v>3822000748</v>
      </c>
      <c r="C560">
        <v>3822000837</v>
      </c>
      <c r="D560" t="str">
        <f>T("[연재]왓에버 유 두(whatever you do) 90화")</f>
        <v>[연재]왓에버 유 두(whatever you do) 90화</v>
      </c>
      <c r="E560" t="str">
        <f>T("90")</f>
        <v>90</v>
      </c>
      <c r="F560" t="str">
        <f t="shared" si="118"/>
        <v>원믹</v>
      </c>
      <c r="I560" t="str">
        <f t="shared" si="113"/>
        <v>딥블렌드</v>
      </c>
      <c r="J560" t="str">
        <f t="shared" si="119"/>
        <v>[연재]왓에버 유 두(whatever you do)</v>
      </c>
      <c r="K560">
        <v>100</v>
      </c>
      <c r="L560">
        <v>3600</v>
      </c>
      <c r="M560">
        <v>36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2190</v>
      </c>
      <c r="AN560" t="str">
        <f t="shared" si="120"/>
        <v>9791190142793</v>
      </c>
      <c r="AP560" t="str">
        <f t="shared" si="121"/>
        <v>BL 웹소설 &gt; 현대물</v>
      </c>
    </row>
    <row r="561" spans="1:42" x14ac:dyDescent="0.4">
      <c r="A561" t="s">
        <v>43</v>
      </c>
      <c r="B561">
        <v>3822000748</v>
      </c>
      <c r="C561">
        <v>3822000809</v>
      </c>
      <c r="D561" t="str">
        <f>T("[연재]왓에버 유 두(whatever you do) 62화")</f>
        <v>[연재]왓에버 유 두(whatever you do) 62화</v>
      </c>
      <c r="E561" t="str">
        <f>T("62")</f>
        <v>62</v>
      </c>
      <c r="F561" t="str">
        <f t="shared" si="118"/>
        <v>원믹</v>
      </c>
      <c r="I561" t="str">
        <f t="shared" si="113"/>
        <v>딥블렌드</v>
      </c>
      <c r="J561" t="str">
        <f t="shared" si="119"/>
        <v>[연재]왓에버 유 두(whatever you do)</v>
      </c>
      <c r="K561">
        <v>100</v>
      </c>
      <c r="L561">
        <v>3600</v>
      </c>
      <c r="M561">
        <v>36</v>
      </c>
      <c r="N561">
        <v>0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2190</v>
      </c>
      <c r="AN561" t="str">
        <f t="shared" si="120"/>
        <v>9791190142793</v>
      </c>
      <c r="AP561" t="str">
        <f t="shared" si="121"/>
        <v>BL 웹소설 &gt; 현대물</v>
      </c>
    </row>
    <row r="562" spans="1:42" x14ac:dyDescent="0.4">
      <c r="A562" t="s">
        <v>43</v>
      </c>
      <c r="B562">
        <v>3822000437</v>
      </c>
      <c r="C562">
        <v>3822001167</v>
      </c>
      <c r="D562" t="str">
        <f>T("[연재]저승꽃감관 171화")</f>
        <v>[연재]저승꽃감관 171화</v>
      </c>
      <c r="E562" t="str">
        <f>T("171")</f>
        <v>171</v>
      </c>
      <c r="F562" t="str">
        <f>T("에복")</f>
        <v>에복</v>
      </c>
      <c r="I562" t="str">
        <f t="shared" si="113"/>
        <v>딥블렌드</v>
      </c>
      <c r="J562" t="str">
        <f>T("[연재]저승꽃감관")</f>
        <v>[연재]저승꽃감관</v>
      </c>
      <c r="K562">
        <v>100</v>
      </c>
      <c r="L562">
        <v>3600</v>
      </c>
      <c r="M562">
        <v>36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2520</v>
      </c>
      <c r="AN562" t="str">
        <f>T("9791190142502")</f>
        <v>9791190142502</v>
      </c>
      <c r="AP562" t="str">
        <f>T("BL 웹소설 &gt; 역사/시대물")</f>
        <v>BL 웹소설 &gt; 역사/시대물</v>
      </c>
    </row>
    <row r="563" spans="1:42" x14ac:dyDescent="0.4">
      <c r="A563" t="s">
        <v>43</v>
      </c>
      <c r="B563">
        <v>3822000748</v>
      </c>
      <c r="C563">
        <v>3822000838</v>
      </c>
      <c r="D563" t="str">
        <f>T("[연재]왓에버 유 두(whatever you do) 91화")</f>
        <v>[연재]왓에버 유 두(whatever you do) 91화</v>
      </c>
      <c r="E563" t="str">
        <f>T("91")</f>
        <v>91</v>
      </c>
      <c r="F563" t="str">
        <f>T("원믹")</f>
        <v>원믹</v>
      </c>
      <c r="I563" t="str">
        <f t="shared" si="113"/>
        <v>딥블렌드</v>
      </c>
      <c r="J563" t="str">
        <f>T("[연재]왓에버 유 두(whatever you do)")</f>
        <v>[연재]왓에버 유 두(whatever you do)</v>
      </c>
      <c r="K563">
        <v>100</v>
      </c>
      <c r="L563">
        <v>3600</v>
      </c>
      <c r="M563">
        <v>36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2190</v>
      </c>
      <c r="AN563" t="str">
        <f>T("9791190142793")</f>
        <v>9791190142793</v>
      </c>
      <c r="AP563" t="str">
        <f>T("BL 웹소설 &gt; 현대물")</f>
        <v>BL 웹소설 &gt; 현대물</v>
      </c>
    </row>
    <row r="564" spans="1:42" x14ac:dyDescent="0.4">
      <c r="A564" t="s">
        <v>43</v>
      </c>
      <c r="B564">
        <v>3822000748</v>
      </c>
      <c r="C564">
        <v>3822000824</v>
      </c>
      <c r="D564" t="str">
        <f>T("[연재]왓에버 유 두(whatever you do) 77화")</f>
        <v>[연재]왓에버 유 두(whatever you do) 77화</v>
      </c>
      <c r="E564" t="str">
        <f>T("77")</f>
        <v>77</v>
      </c>
      <c r="F564" t="str">
        <f>T("원믹")</f>
        <v>원믹</v>
      </c>
      <c r="I564" t="str">
        <f t="shared" si="113"/>
        <v>딥블렌드</v>
      </c>
      <c r="J564" t="str">
        <f>T("[연재]왓에버 유 두(whatever you do)")</f>
        <v>[연재]왓에버 유 두(whatever you do)</v>
      </c>
      <c r="K564">
        <v>100</v>
      </c>
      <c r="L564">
        <v>3600</v>
      </c>
      <c r="M564">
        <v>36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2190</v>
      </c>
      <c r="AN564" t="str">
        <f>T("9791190142793")</f>
        <v>9791190142793</v>
      </c>
      <c r="AP564" t="str">
        <f>T("BL 웹소설 &gt; 현대물")</f>
        <v>BL 웹소설 &gt; 현대물</v>
      </c>
    </row>
    <row r="565" spans="1:42" x14ac:dyDescent="0.4">
      <c r="A565" t="s">
        <v>43</v>
      </c>
      <c r="B565">
        <v>3822000994</v>
      </c>
      <c r="C565">
        <v>3822000997</v>
      </c>
      <c r="D565" t="str">
        <f>T("[연재]후회 없게 해 드립니다 4화")</f>
        <v>[연재]후회 없게 해 드립니다 4화</v>
      </c>
      <c r="E565" t="str">
        <f>T("4")</f>
        <v>4</v>
      </c>
      <c r="F565" t="str">
        <f>T("소하")</f>
        <v>소하</v>
      </c>
      <c r="I565" t="str">
        <f>T("비포선셋")</f>
        <v>비포선셋</v>
      </c>
      <c r="J565" t="str">
        <f>T("[연재]후회 없게 해 드립니다")</f>
        <v>[연재]후회 없게 해 드립니다</v>
      </c>
      <c r="K565">
        <v>100</v>
      </c>
      <c r="L565">
        <v>3600</v>
      </c>
      <c r="M565">
        <v>36</v>
      </c>
      <c r="N565">
        <v>0</v>
      </c>
      <c r="O565">
        <v>0</v>
      </c>
      <c r="P565">
        <v>0</v>
      </c>
      <c r="Q565">
        <v>143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-200</v>
      </c>
      <c r="Y565">
        <v>2</v>
      </c>
      <c r="Z565">
        <v>-200</v>
      </c>
      <c r="AA565">
        <v>2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2040</v>
      </c>
      <c r="AN565" t="str">
        <f>T("9791190142953")</f>
        <v>9791190142953</v>
      </c>
      <c r="AP565" t="str">
        <f>T("로맨스 웹소설 &gt; 판타지물")</f>
        <v>로맨스 웹소설 &gt; 판타지물</v>
      </c>
    </row>
    <row r="566" spans="1:42" x14ac:dyDescent="0.4">
      <c r="A566" t="s">
        <v>43</v>
      </c>
      <c r="B566">
        <v>3822000748</v>
      </c>
      <c r="C566">
        <v>3822000840</v>
      </c>
      <c r="D566" t="str">
        <f>T("[연재]왓에버 유 두(whatever you do) 93화")</f>
        <v>[연재]왓에버 유 두(whatever you do) 93화</v>
      </c>
      <c r="E566" t="str">
        <f>T("93")</f>
        <v>93</v>
      </c>
      <c r="F566" t="str">
        <f t="shared" ref="F566:F600" si="122">T("원믹")</f>
        <v>원믹</v>
      </c>
      <c r="I566" t="str">
        <f t="shared" ref="I566:I601" si="123">T("딥블렌드")</f>
        <v>딥블렌드</v>
      </c>
      <c r="J566" t="str">
        <f t="shared" ref="J566:J600" si="124">T("[연재]왓에버 유 두(whatever you do)")</f>
        <v>[연재]왓에버 유 두(whatever you do)</v>
      </c>
      <c r="K566">
        <v>100</v>
      </c>
      <c r="L566">
        <v>3600</v>
      </c>
      <c r="M566">
        <v>36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2190</v>
      </c>
      <c r="AN566" t="str">
        <f t="shared" ref="AN566:AN600" si="125">T("9791190142793")</f>
        <v>9791190142793</v>
      </c>
      <c r="AP566" t="str">
        <f t="shared" ref="AP566:AP600" si="126">T("BL 웹소설 &gt; 현대물")</f>
        <v>BL 웹소설 &gt; 현대물</v>
      </c>
    </row>
    <row r="567" spans="1:42" x14ac:dyDescent="0.4">
      <c r="A567" t="s">
        <v>43</v>
      </c>
      <c r="B567">
        <v>3822000748</v>
      </c>
      <c r="C567">
        <v>3822000857</v>
      </c>
      <c r="D567" t="str">
        <f>T("[연재]왓에버 유 두(whatever you do) 94화")</f>
        <v>[연재]왓에버 유 두(whatever you do) 94화</v>
      </c>
      <c r="E567" t="str">
        <f>T("94")</f>
        <v>94</v>
      </c>
      <c r="F567" t="str">
        <f t="shared" si="122"/>
        <v>원믹</v>
      </c>
      <c r="I567" t="str">
        <f t="shared" si="123"/>
        <v>딥블렌드</v>
      </c>
      <c r="J567" t="str">
        <f t="shared" si="124"/>
        <v>[연재]왓에버 유 두(whatever you do)</v>
      </c>
      <c r="K567">
        <v>100</v>
      </c>
      <c r="L567">
        <v>3500</v>
      </c>
      <c r="M567">
        <v>35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2130</v>
      </c>
      <c r="AN567" t="str">
        <f t="shared" si="125"/>
        <v>9791190142793</v>
      </c>
      <c r="AP567" t="str">
        <f t="shared" si="126"/>
        <v>BL 웹소설 &gt; 현대물</v>
      </c>
    </row>
    <row r="568" spans="1:42" x14ac:dyDescent="0.4">
      <c r="A568" t="s">
        <v>43</v>
      </c>
      <c r="B568">
        <v>3822000748</v>
      </c>
      <c r="C568">
        <v>3822000859</v>
      </c>
      <c r="D568" t="str">
        <f>T("[연재]왓에버 유 두(whatever you do) 96화")</f>
        <v>[연재]왓에버 유 두(whatever you do) 96화</v>
      </c>
      <c r="E568" t="str">
        <f>T("96")</f>
        <v>96</v>
      </c>
      <c r="F568" t="str">
        <f t="shared" si="122"/>
        <v>원믹</v>
      </c>
      <c r="I568" t="str">
        <f t="shared" si="123"/>
        <v>딥블렌드</v>
      </c>
      <c r="J568" t="str">
        <f t="shared" si="124"/>
        <v>[연재]왓에버 유 두(whatever you do)</v>
      </c>
      <c r="K568">
        <v>100</v>
      </c>
      <c r="L568">
        <v>3500</v>
      </c>
      <c r="M568">
        <v>35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2130</v>
      </c>
      <c r="AN568" t="str">
        <f t="shared" si="125"/>
        <v>9791190142793</v>
      </c>
      <c r="AP568" t="str">
        <f t="shared" si="126"/>
        <v>BL 웹소설 &gt; 현대물</v>
      </c>
    </row>
    <row r="569" spans="1:42" x14ac:dyDescent="0.4">
      <c r="A569" t="s">
        <v>43</v>
      </c>
      <c r="B569">
        <v>3822000748</v>
      </c>
      <c r="C569">
        <v>3822000767</v>
      </c>
      <c r="D569" t="str">
        <f>T("[연재]왓에버 유 두(whatever you do) 20화")</f>
        <v>[연재]왓에버 유 두(whatever you do) 20화</v>
      </c>
      <c r="E569" t="str">
        <f>T("20")</f>
        <v>20</v>
      </c>
      <c r="F569" t="str">
        <f t="shared" si="122"/>
        <v>원믹</v>
      </c>
      <c r="I569" t="str">
        <f t="shared" si="123"/>
        <v>딥블렌드</v>
      </c>
      <c r="J569" t="str">
        <f t="shared" si="124"/>
        <v>[연재]왓에버 유 두(whatever you do)</v>
      </c>
      <c r="K569">
        <v>100</v>
      </c>
      <c r="L569">
        <v>3500</v>
      </c>
      <c r="M569">
        <v>35</v>
      </c>
      <c r="N569">
        <v>0</v>
      </c>
      <c r="O569">
        <v>0</v>
      </c>
      <c r="P569">
        <v>0</v>
      </c>
      <c r="Q569">
        <v>1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2150</v>
      </c>
      <c r="AN569" t="str">
        <f t="shared" si="125"/>
        <v>9791190142793</v>
      </c>
      <c r="AP569" t="str">
        <f t="shared" si="126"/>
        <v>BL 웹소설 &gt; 현대물</v>
      </c>
    </row>
    <row r="570" spans="1:42" x14ac:dyDescent="0.4">
      <c r="A570" t="s">
        <v>43</v>
      </c>
      <c r="B570">
        <v>3822000748</v>
      </c>
      <c r="C570">
        <v>3822000970</v>
      </c>
      <c r="D570" t="str">
        <f>T("[연재]왓에버 유 두(whatever you do) 145화 (완결)")</f>
        <v>[연재]왓에버 유 두(whatever you do) 145화 (완결)</v>
      </c>
      <c r="E570" t="str">
        <f>T("145")</f>
        <v>145</v>
      </c>
      <c r="F570" t="str">
        <f t="shared" si="122"/>
        <v>원믹</v>
      </c>
      <c r="I570" t="str">
        <f t="shared" si="123"/>
        <v>딥블렌드</v>
      </c>
      <c r="J570" t="str">
        <f t="shared" si="124"/>
        <v>[연재]왓에버 유 두(whatever you do)</v>
      </c>
      <c r="K570">
        <v>100</v>
      </c>
      <c r="L570">
        <v>3500</v>
      </c>
      <c r="M570">
        <v>35</v>
      </c>
      <c r="N570">
        <v>0</v>
      </c>
      <c r="O570">
        <v>0</v>
      </c>
      <c r="P570">
        <v>0</v>
      </c>
      <c r="Q570">
        <v>4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2150</v>
      </c>
      <c r="AN570" t="str">
        <f t="shared" si="125"/>
        <v>9791190142793</v>
      </c>
      <c r="AP570" t="str">
        <f t="shared" si="126"/>
        <v>BL 웹소설 &gt; 현대물</v>
      </c>
    </row>
    <row r="571" spans="1:42" x14ac:dyDescent="0.4">
      <c r="A571" t="s">
        <v>43</v>
      </c>
      <c r="B571">
        <v>3822000748</v>
      </c>
      <c r="C571">
        <v>3822000800</v>
      </c>
      <c r="D571" t="str">
        <f>T("[연재]왓에버 유 두(whatever you do) 53화")</f>
        <v>[연재]왓에버 유 두(whatever you do) 53화</v>
      </c>
      <c r="E571" t="str">
        <f>T("53")</f>
        <v>53</v>
      </c>
      <c r="F571" t="str">
        <f t="shared" si="122"/>
        <v>원믹</v>
      </c>
      <c r="I571" t="str">
        <f t="shared" si="123"/>
        <v>딥블렌드</v>
      </c>
      <c r="J571" t="str">
        <f t="shared" si="124"/>
        <v>[연재]왓에버 유 두(whatever you do)</v>
      </c>
      <c r="K571">
        <v>100</v>
      </c>
      <c r="L571">
        <v>3400</v>
      </c>
      <c r="M571">
        <v>34</v>
      </c>
      <c r="N571">
        <v>0</v>
      </c>
      <c r="O571">
        <v>0</v>
      </c>
      <c r="P571">
        <v>0</v>
      </c>
      <c r="Q571">
        <v>4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2080</v>
      </c>
      <c r="AN571" t="str">
        <f t="shared" si="125"/>
        <v>9791190142793</v>
      </c>
      <c r="AP571" t="str">
        <f t="shared" si="126"/>
        <v>BL 웹소설 &gt; 현대물</v>
      </c>
    </row>
    <row r="572" spans="1:42" x14ac:dyDescent="0.4">
      <c r="A572" t="s">
        <v>43</v>
      </c>
      <c r="B572">
        <v>3822000748</v>
      </c>
      <c r="C572">
        <v>3822000774</v>
      </c>
      <c r="D572" t="str">
        <f>T("[연재]왓에버 유 두(whatever you do) 27화")</f>
        <v>[연재]왓에버 유 두(whatever you do) 27화</v>
      </c>
      <c r="E572" t="str">
        <f>T("27")</f>
        <v>27</v>
      </c>
      <c r="F572" t="str">
        <f t="shared" si="122"/>
        <v>원믹</v>
      </c>
      <c r="I572" t="str">
        <f t="shared" si="123"/>
        <v>딥블렌드</v>
      </c>
      <c r="J572" t="str">
        <f t="shared" si="124"/>
        <v>[연재]왓에버 유 두(whatever you do)</v>
      </c>
      <c r="K572">
        <v>100</v>
      </c>
      <c r="L572">
        <v>3400</v>
      </c>
      <c r="M572">
        <v>34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2070</v>
      </c>
      <c r="AN572" t="str">
        <f t="shared" si="125"/>
        <v>9791190142793</v>
      </c>
      <c r="AP572" t="str">
        <f t="shared" si="126"/>
        <v>BL 웹소설 &gt; 현대물</v>
      </c>
    </row>
    <row r="573" spans="1:42" x14ac:dyDescent="0.4">
      <c r="A573" t="s">
        <v>43</v>
      </c>
      <c r="B573">
        <v>3822000748</v>
      </c>
      <c r="C573">
        <v>3822000858</v>
      </c>
      <c r="D573" t="str">
        <f>T("[연재]왓에버 유 두(whatever you do) 95화")</f>
        <v>[연재]왓에버 유 두(whatever you do) 95화</v>
      </c>
      <c r="E573" t="str">
        <f>T("95")</f>
        <v>95</v>
      </c>
      <c r="F573" t="str">
        <f t="shared" si="122"/>
        <v>원믹</v>
      </c>
      <c r="I573" t="str">
        <f t="shared" si="123"/>
        <v>딥블렌드</v>
      </c>
      <c r="J573" t="str">
        <f t="shared" si="124"/>
        <v>[연재]왓에버 유 두(whatever you do)</v>
      </c>
      <c r="K573">
        <v>100</v>
      </c>
      <c r="L573">
        <v>3400</v>
      </c>
      <c r="M573">
        <v>34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2070</v>
      </c>
      <c r="AN573" t="str">
        <f t="shared" si="125"/>
        <v>9791190142793</v>
      </c>
      <c r="AP573" t="str">
        <f t="shared" si="126"/>
        <v>BL 웹소설 &gt; 현대물</v>
      </c>
    </row>
    <row r="574" spans="1:42" x14ac:dyDescent="0.4">
      <c r="A574" t="s">
        <v>43</v>
      </c>
      <c r="B574">
        <v>3822000748</v>
      </c>
      <c r="C574">
        <v>3822000918</v>
      </c>
      <c r="D574" t="str">
        <f>T("[연재]왓에버 유 두(whatever you do) 119화")</f>
        <v>[연재]왓에버 유 두(whatever you do) 119화</v>
      </c>
      <c r="E574" t="str">
        <f>T("119")</f>
        <v>119</v>
      </c>
      <c r="F574" t="str">
        <f t="shared" si="122"/>
        <v>원믹</v>
      </c>
      <c r="I574" t="str">
        <f t="shared" si="123"/>
        <v>딥블렌드</v>
      </c>
      <c r="J574" t="str">
        <f t="shared" si="124"/>
        <v>[연재]왓에버 유 두(whatever you do)</v>
      </c>
      <c r="K574">
        <v>100</v>
      </c>
      <c r="L574">
        <v>3400</v>
      </c>
      <c r="M574">
        <v>34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2090</v>
      </c>
      <c r="AN574" t="str">
        <f t="shared" si="125"/>
        <v>9791190142793</v>
      </c>
      <c r="AP574" t="str">
        <f t="shared" si="126"/>
        <v>BL 웹소설 &gt; 현대물</v>
      </c>
    </row>
    <row r="575" spans="1:42" x14ac:dyDescent="0.4">
      <c r="A575" t="s">
        <v>43</v>
      </c>
      <c r="B575">
        <v>3822000748</v>
      </c>
      <c r="C575">
        <v>3822000776</v>
      </c>
      <c r="D575" t="str">
        <f>T("[연재]왓에버 유 두(whatever you do) 29화")</f>
        <v>[연재]왓에버 유 두(whatever you do) 29화</v>
      </c>
      <c r="E575" t="str">
        <f>T("29")</f>
        <v>29</v>
      </c>
      <c r="F575" t="str">
        <f t="shared" si="122"/>
        <v>원믹</v>
      </c>
      <c r="I575" t="str">
        <f t="shared" si="123"/>
        <v>딥블렌드</v>
      </c>
      <c r="J575" t="str">
        <f t="shared" si="124"/>
        <v>[연재]왓에버 유 두(whatever you do)</v>
      </c>
      <c r="K575">
        <v>100</v>
      </c>
      <c r="L575">
        <v>3400</v>
      </c>
      <c r="M575">
        <v>34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2080</v>
      </c>
      <c r="AN575" t="str">
        <f t="shared" si="125"/>
        <v>9791190142793</v>
      </c>
      <c r="AP575" t="str">
        <f t="shared" si="126"/>
        <v>BL 웹소설 &gt; 현대물</v>
      </c>
    </row>
    <row r="576" spans="1:42" x14ac:dyDescent="0.4">
      <c r="A576" t="s">
        <v>43</v>
      </c>
      <c r="B576">
        <v>3822000748</v>
      </c>
      <c r="C576">
        <v>3822000919</v>
      </c>
      <c r="D576" t="str">
        <f>T("[연재]왓에버 유 두(whatever you do) 120화")</f>
        <v>[연재]왓에버 유 두(whatever you do) 120화</v>
      </c>
      <c r="E576" t="str">
        <f>T("120")</f>
        <v>120</v>
      </c>
      <c r="F576" t="str">
        <f t="shared" si="122"/>
        <v>원믹</v>
      </c>
      <c r="I576" t="str">
        <f t="shared" si="123"/>
        <v>딥블렌드</v>
      </c>
      <c r="J576" t="str">
        <f t="shared" si="124"/>
        <v>[연재]왓에버 유 두(whatever you do)</v>
      </c>
      <c r="K576">
        <v>100</v>
      </c>
      <c r="L576">
        <v>3400</v>
      </c>
      <c r="M576">
        <v>34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2090</v>
      </c>
      <c r="AN576" t="str">
        <f t="shared" si="125"/>
        <v>9791190142793</v>
      </c>
      <c r="AP576" t="str">
        <f t="shared" si="126"/>
        <v>BL 웹소설 &gt; 현대물</v>
      </c>
    </row>
    <row r="577" spans="1:42" x14ac:dyDescent="0.4">
      <c r="A577" t="s">
        <v>43</v>
      </c>
      <c r="B577">
        <v>3822000748</v>
      </c>
      <c r="C577">
        <v>3822000860</v>
      </c>
      <c r="D577" t="str">
        <f>T("[연재]왓에버 유 두(whatever you do) 97화")</f>
        <v>[연재]왓에버 유 두(whatever you do) 97화</v>
      </c>
      <c r="E577" t="str">
        <f>T("97")</f>
        <v>97</v>
      </c>
      <c r="F577" t="str">
        <f t="shared" si="122"/>
        <v>원믹</v>
      </c>
      <c r="I577" t="str">
        <f t="shared" si="123"/>
        <v>딥블렌드</v>
      </c>
      <c r="J577" t="str">
        <f t="shared" si="124"/>
        <v>[연재]왓에버 유 두(whatever you do)</v>
      </c>
      <c r="K577">
        <v>100</v>
      </c>
      <c r="L577">
        <v>3400</v>
      </c>
      <c r="M577">
        <v>34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2070</v>
      </c>
      <c r="AN577" t="str">
        <f t="shared" si="125"/>
        <v>9791190142793</v>
      </c>
      <c r="AP577" t="str">
        <f t="shared" si="126"/>
        <v>BL 웹소설 &gt; 현대물</v>
      </c>
    </row>
    <row r="578" spans="1:42" x14ac:dyDescent="0.4">
      <c r="A578" t="s">
        <v>43</v>
      </c>
      <c r="B578">
        <v>3822000748</v>
      </c>
      <c r="C578">
        <v>3822000804</v>
      </c>
      <c r="D578" t="str">
        <f>T("[연재]왓에버 유 두(whatever you do) 57화")</f>
        <v>[연재]왓에버 유 두(whatever you do) 57화</v>
      </c>
      <c r="E578" t="str">
        <f>T("57")</f>
        <v>57</v>
      </c>
      <c r="F578" t="str">
        <f t="shared" si="122"/>
        <v>원믹</v>
      </c>
      <c r="I578" t="str">
        <f t="shared" si="123"/>
        <v>딥블렌드</v>
      </c>
      <c r="J578" t="str">
        <f t="shared" si="124"/>
        <v>[연재]왓에버 유 두(whatever you do)</v>
      </c>
      <c r="K578">
        <v>100</v>
      </c>
      <c r="L578">
        <v>3400</v>
      </c>
      <c r="M578">
        <v>34</v>
      </c>
      <c r="N578">
        <v>0</v>
      </c>
      <c r="O578">
        <v>0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2080</v>
      </c>
      <c r="AN578" t="str">
        <f t="shared" si="125"/>
        <v>9791190142793</v>
      </c>
      <c r="AP578" t="str">
        <f t="shared" si="126"/>
        <v>BL 웹소설 &gt; 현대물</v>
      </c>
    </row>
    <row r="579" spans="1:42" x14ac:dyDescent="0.4">
      <c r="A579" t="s">
        <v>43</v>
      </c>
      <c r="B579">
        <v>3822000748</v>
      </c>
      <c r="C579">
        <v>3822000777</v>
      </c>
      <c r="D579" t="str">
        <f>T("[연재]왓에버 유 두(whatever you do) 30화")</f>
        <v>[연재]왓에버 유 두(whatever you do) 30화</v>
      </c>
      <c r="E579" t="str">
        <f>T("30")</f>
        <v>30</v>
      </c>
      <c r="F579" t="str">
        <f t="shared" si="122"/>
        <v>원믹</v>
      </c>
      <c r="I579" t="str">
        <f t="shared" si="123"/>
        <v>딥블렌드</v>
      </c>
      <c r="J579" t="str">
        <f t="shared" si="124"/>
        <v>[연재]왓에버 유 두(whatever you do)</v>
      </c>
      <c r="K579">
        <v>100</v>
      </c>
      <c r="L579">
        <v>3400</v>
      </c>
      <c r="M579">
        <v>34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2080</v>
      </c>
      <c r="AN579" t="str">
        <f t="shared" si="125"/>
        <v>9791190142793</v>
      </c>
      <c r="AP579" t="str">
        <f t="shared" si="126"/>
        <v>BL 웹소설 &gt; 현대물</v>
      </c>
    </row>
    <row r="580" spans="1:42" x14ac:dyDescent="0.4">
      <c r="A580" t="s">
        <v>43</v>
      </c>
      <c r="B580">
        <v>3822000748</v>
      </c>
      <c r="C580">
        <v>3822000861</v>
      </c>
      <c r="D580" t="str">
        <f>T("[연재]왓에버 유 두(whatever you do) 98화")</f>
        <v>[연재]왓에버 유 두(whatever you do) 98화</v>
      </c>
      <c r="E580" t="str">
        <f>T("98")</f>
        <v>98</v>
      </c>
      <c r="F580" t="str">
        <f t="shared" si="122"/>
        <v>원믹</v>
      </c>
      <c r="I580" t="str">
        <f t="shared" si="123"/>
        <v>딥블렌드</v>
      </c>
      <c r="J580" t="str">
        <f t="shared" si="124"/>
        <v>[연재]왓에버 유 두(whatever you do)</v>
      </c>
      <c r="K580">
        <v>100</v>
      </c>
      <c r="L580">
        <v>3400</v>
      </c>
      <c r="M580">
        <v>34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2080</v>
      </c>
      <c r="AN580" t="str">
        <f t="shared" si="125"/>
        <v>9791190142793</v>
      </c>
      <c r="AP580" t="str">
        <f t="shared" si="126"/>
        <v>BL 웹소설 &gt; 현대물</v>
      </c>
    </row>
    <row r="581" spans="1:42" x14ac:dyDescent="0.4">
      <c r="A581" t="s">
        <v>43</v>
      </c>
      <c r="B581">
        <v>3822000748</v>
      </c>
      <c r="C581">
        <v>3822000821</v>
      </c>
      <c r="D581" t="str">
        <f>T("[연재]왓에버 유 두(whatever you do) 74화")</f>
        <v>[연재]왓에버 유 두(whatever you do) 74화</v>
      </c>
      <c r="E581" t="str">
        <f>T("74")</f>
        <v>74</v>
      </c>
      <c r="F581" t="str">
        <f t="shared" si="122"/>
        <v>원믹</v>
      </c>
      <c r="I581" t="str">
        <f t="shared" si="123"/>
        <v>딥블렌드</v>
      </c>
      <c r="J581" t="str">
        <f t="shared" si="124"/>
        <v>[연재]왓에버 유 두(whatever you do)</v>
      </c>
      <c r="K581">
        <v>100</v>
      </c>
      <c r="L581">
        <v>3400</v>
      </c>
      <c r="M581">
        <v>34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2070</v>
      </c>
      <c r="AN581" t="str">
        <f t="shared" si="125"/>
        <v>9791190142793</v>
      </c>
      <c r="AP581" t="str">
        <f t="shared" si="126"/>
        <v>BL 웹소설 &gt; 현대물</v>
      </c>
    </row>
    <row r="582" spans="1:42" x14ac:dyDescent="0.4">
      <c r="A582" t="s">
        <v>43</v>
      </c>
      <c r="B582">
        <v>3822000748</v>
      </c>
      <c r="C582">
        <v>3822000836</v>
      </c>
      <c r="D582" t="str">
        <f>T("[연재]왓에버 유 두(whatever you do) 89화")</f>
        <v>[연재]왓에버 유 두(whatever you do) 89화</v>
      </c>
      <c r="E582" t="str">
        <f>T("89")</f>
        <v>89</v>
      </c>
      <c r="F582" t="str">
        <f t="shared" si="122"/>
        <v>원믹</v>
      </c>
      <c r="I582" t="str">
        <f t="shared" si="123"/>
        <v>딥블렌드</v>
      </c>
      <c r="J582" t="str">
        <f t="shared" si="124"/>
        <v>[연재]왓에버 유 두(whatever you do)</v>
      </c>
      <c r="K582">
        <v>100</v>
      </c>
      <c r="L582">
        <v>3400</v>
      </c>
      <c r="M582">
        <v>34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2070</v>
      </c>
      <c r="AN582" t="str">
        <f t="shared" si="125"/>
        <v>9791190142793</v>
      </c>
      <c r="AP582" t="str">
        <f t="shared" si="126"/>
        <v>BL 웹소설 &gt; 현대물</v>
      </c>
    </row>
    <row r="583" spans="1:42" x14ac:dyDescent="0.4">
      <c r="A583" t="s">
        <v>43</v>
      </c>
      <c r="B583">
        <v>3822000748</v>
      </c>
      <c r="C583">
        <v>3822000766</v>
      </c>
      <c r="D583" t="str">
        <f>T("[연재]왓에버 유 두(whatever you do) 19화")</f>
        <v>[연재]왓에버 유 두(whatever you do) 19화</v>
      </c>
      <c r="E583" t="str">
        <f>T("19")</f>
        <v>19</v>
      </c>
      <c r="F583" t="str">
        <f t="shared" si="122"/>
        <v>원믹</v>
      </c>
      <c r="I583" t="str">
        <f t="shared" si="123"/>
        <v>딥블렌드</v>
      </c>
      <c r="J583" t="str">
        <f t="shared" si="124"/>
        <v>[연재]왓에버 유 두(whatever you do)</v>
      </c>
      <c r="K583">
        <v>100</v>
      </c>
      <c r="L583">
        <v>3400</v>
      </c>
      <c r="M583">
        <v>34</v>
      </c>
      <c r="N583">
        <v>0</v>
      </c>
      <c r="O583">
        <v>0</v>
      </c>
      <c r="P583">
        <v>0</v>
      </c>
      <c r="Q583">
        <v>2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2090</v>
      </c>
      <c r="AN583" t="str">
        <f t="shared" si="125"/>
        <v>9791190142793</v>
      </c>
      <c r="AP583" t="str">
        <f t="shared" si="126"/>
        <v>BL 웹소설 &gt; 현대물</v>
      </c>
    </row>
    <row r="584" spans="1:42" x14ac:dyDescent="0.4">
      <c r="A584" t="s">
        <v>43</v>
      </c>
      <c r="B584">
        <v>3822000748</v>
      </c>
      <c r="C584">
        <v>3822000823</v>
      </c>
      <c r="D584" t="str">
        <f>T("[연재]왓에버 유 두(whatever you do) 76화")</f>
        <v>[연재]왓에버 유 두(whatever you do) 76화</v>
      </c>
      <c r="E584" t="str">
        <f>T("76")</f>
        <v>76</v>
      </c>
      <c r="F584" t="str">
        <f t="shared" si="122"/>
        <v>원믹</v>
      </c>
      <c r="I584" t="str">
        <f t="shared" si="123"/>
        <v>딥블렌드</v>
      </c>
      <c r="J584" t="str">
        <f t="shared" si="124"/>
        <v>[연재]왓에버 유 두(whatever you do)</v>
      </c>
      <c r="K584">
        <v>100</v>
      </c>
      <c r="L584">
        <v>3400</v>
      </c>
      <c r="M584">
        <v>34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2080</v>
      </c>
      <c r="AN584" t="str">
        <f t="shared" si="125"/>
        <v>9791190142793</v>
      </c>
      <c r="AP584" t="str">
        <f t="shared" si="126"/>
        <v>BL 웹소설 &gt; 현대물</v>
      </c>
    </row>
    <row r="585" spans="1:42" x14ac:dyDescent="0.4">
      <c r="A585" t="s">
        <v>43</v>
      </c>
      <c r="B585">
        <v>3822000748</v>
      </c>
      <c r="C585">
        <v>3822000839</v>
      </c>
      <c r="D585" t="str">
        <f>T("[연재]왓에버 유 두(whatever you do) 92화")</f>
        <v>[연재]왓에버 유 두(whatever you do) 92화</v>
      </c>
      <c r="E585" t="str">
        <f>T("92")</f>
        <v>92</v>
      </c>
      <c r="F585" t="str">
        <f t="shared" si="122"/>
        <v>원믹</v>
      </c>
      <c r="I585" t="str">
        <f t="shared" si="123"/>
        <v>딥블렌드</v>
      </c>
      <c r="J585" t="str">
        <f t="shared" si="124"/>
        <v>[연재]왓에버 유 두(whatever you do)</v>
      </c>
      <c r="K585">
        <v>100</v>
      </c>
      <c r="L585">
        <v>3400</v>
      </c>
      <c r="M585">
        <v>34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2070</v>
      </c>
      <c r="AN585" t="str">
        <f t="shared" si="125"/>
        <v>9791190142793</v>
      </c>
      <c r="AP585" t="str">
        <f t="shared" si="126"/>
        <v>BL 웹소설 &gt; 현대물</v>
      </c>
    </row>
    <row r="586" spans="1:42" x14ac:dyDescent="0.4">
      <c r="A586" t="s">
        <v>43</v>
      </c>
      <c r="B586">
        <v>3822000748</v>
      </c>
      <c r="C586">
        <v>3822000769</v>
      </c>
      <c r="D586" t="str">
        <f>T("[연재]왓에버 유 두(whatever you do) 22화")</f>
        <v>[연재]왓에버 유 두(whatever you do) 22화</v>
      </c>
      <c r="E586" t="str">
        <f>T("22")</f>
        <v>22</v>
      </c>
      <c r="F586" t="str">
        <f t="shared" si="122"/>
        <v>원믹</v>
      </c>
      <c r="I586" t="str">
        <f t="shared" si="123"/>
        <v>딥블렌드</v>
      </c>
      <c r="J586" t="str">
        <f t="shared" si="124"/>
        <v>[연재]왓에버 유 두(whatever you do)</v>
      </c>
      <c r="K586">
        <v>100</v>
      </c>
      <c r="L586">
        <v>3400</v>
      </c>
      <c r="M586">
        <v>34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2080</v>
      </c>
      <c r="AN586" t="str">
        <f t="shared" si="125"/>
        <v>9791190142793</v>
      </c>
      <c r="AP586" t="str">
        <f t="shared" si="126"/>
        <v>BL 웹소설 &gt; 현대물</v>
      </c>
    </row>
    <row r="587" spans="1:42" x14ac:dyDescent="0.4">
      <c r="A587" t="s">
        <v>43</v>
      </c>
      <c r="B587">
        <v>3822000748</v>
      </c>
      <c r="C587">
        <v>3822000770</v>
      </c>
      <c r="D587" t="str">
        <f>T("[연재]왓에버 유 두(whatever you do) 23화")</f>
        <v>[연재]왓에버 유 두(whatever you do) 23화</v>
      </c>
      <c r="E587" t="str">
        <f>T("23")</f>
        <v>23</v>
      </c>
      <c r="F587" t="str">
        <f t="shared" si="122"/>
        <v>원믹</v>
      </c>
      <c r="I587" t="str">
        <f t="shared" si="123"/>
        <v>딥블렌드</v>
      </c>
      <c r="J587" t="str">
        <f t="shared" si="124"/>
        <v>[연재]왓에버 유 두(whatever you do)</v>
      </c>
      <c r="K587">
        <v>100</v>
      </c>
      <c r="L587">
        <v>3400</v>
      </c>
      <c r="M587">
        <v>34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2090</v>
      </c>
      <c r="AN587" t="str">
        <f t="shared" si="125"/>
        <v>9791190142793</v>
      </c>
      <c r="AP587" t="str">
        <f t="shared" si="126"/>
        <v>BL 웹소설 &gt; 현대물</v>
      </c>
    </row>
    <row r="588" spans="1:42" x14ac:dyDescent="0.4">
      <c r="A588" t="s">
        <v>43</v>
      </c>
      <c r="B588">
        <v>3822000748</v>
      </c>
      <c r="C588">
        <v>3822000828</v>
      </c>
      <c r="D588" t="str">
        <f>T("[연재]왓에버 유 두(whatever you do) 81화")</f>
        <v>[연재]왓에버 유 두(whatever you do) 81화</v>
      </c>
      <c r="E588" t="str">
        <f>T("81")</f>
        <v>81</v>
      </c>
      <c r="F588" t="str">
        <f t="shared" si="122"/>
        <v>원믹</v>
      </c>
      <c r="I588" t="str">
        <f t="shared" si="123"/>
        <v>딥블렌드</v>
      </c>
      <c r="J588" t="str">
        <f t="shared" si="124"/>
        <v>[연재]왓에버 유 두(whatever you do)</v>
      </c>
      <c r="K588">
        <v>100</v>
      </c>
      <c r="L588">
        <v>3300</v>
      </c>
      <c r="M588">
        <v>33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2010</v>
      </c>
      <c r="AN588" t="str">
        <f t="shared" si="125"/>
        <v>9791190142793</v>
      </c>
      <c r="AP588" t="str">
        <f t="shared" si="126"/>
        <v>BL 웹소설 &gt; 현대물</v>
      </c>
    </row>
    <row r="589" spans="1:42" x14ac:dyDescent="0.4">
      <c r="A589" t="s">
        <v>43</v>
      </c>
      <c r="B589">
        <v>3822000748</v>
      </c>
      <c r="C589">
        <v>3822000917</v>
      </c>
      <c r="D589" t="str">
        <f>T("[연재]왓에버 유 두(whatever you do) 118화")</f>
        <v>[연재]왓에버 유 두(whatever you do) 118화</v>
      </c>
      <c r="E589" t="str">
        <f>T("118")</f>
        <v>118</v>
      </c>
      <c r="F589" t="str">
        <f t="shared" si="122"/>
        <v>원믹</v>
      </c>
      <c r="I589" t="str">
        <f t="shared" si="123"/>
        <v>딥블렌드</v>
      </c>
      <c r="J589" t="str">
        <f t="shared" si="124"/>
        <v>[연재]왓에버 유 두(whatever you do)</v>
      </c>
      <c r="K589">
        <v>100</v>
      </c>
      <c r="L589">
        <v>3300</v>
      </c>
      <c r="M589">
        <v>33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2020</v>
      </c>
      <c r="AN589" t="str">
        <f t="shared" si="125"/>
        <v>9791190142793</v>
      </c>
      <c r="AP589" t="str">
        <f t="shared" si="126"/>
        <v>BL 웹소설 &gt; 현대물</v>
      </c>
    </row>
    <row r="590" spans="1:42" x14ac:dyDescent="0.4">
      <c r="A590" t="s">
        <v>43</v>
      </c>
      <c r="B590">
        <v>3822000748</v>
      </c>
      <c r="C590">
        <v>3822000802</v>
      </c>
      <c r="D590" t="str">
        <f>T("[연재]왓에버 유 두(whatever you do) 55화")</f>
        <v>[연재]왓에버 유 두(whatever you do) 55화</v>
      </c>
      <c r="E590" t="str">
        <f>T("55")</f>
        <v>55</v>
      </c>
      <c r="F590" t="str">
        <f t="shared" si="122"/>
        <v>원믹</v>
      </c>
      <c r="I590" t="str">
        <f t="shared" si="123"/>
        <v>딥블렌드</v>
      </c>
      <c r="J590" t="str">
        <f t="shared" si="124"/>
        <v>[연재]왓에버 유 두(whatever you do)</v>
      </c>
      <c r="K590">
        <v>100</v>
      </c>
      <c r="L590">
        <v>3300</v>
      </c>
      <c r="M590">
        <v>33</v>
      </c>
      <c r="N590">
        <v>0</v>
      </c>
      <c r="O590">
        <v>0</v>
      </c>
      <c r="P590">
        <v>0</v>
      </c>
      <c r="Q590">
        <v>4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2020</v>
      </c>
      <c r="AN590" t="str">
        <f t="shared" si="125"/>
        <v>9791190142793</v>
      </c>
      <c r="AP590" t="str">
        <f t="shared" si="126"/>
        <v>BL 웹소설 &gt; 현대물</v>
      </c>
    </row>
    <row r="591" spans="1:42" x14ac:dyDescent="0.4">
      <c r="A591" t="s">
        <v>43</v>
      </c>
      <c r="B591">
        <v>3822000748</v>
      </c>
      <c r="C591">
        <v>3822000831</v>
      </c>
      <c r="D591" t="str">
        <f>T("[연재]왓에버 유 두(whatever you do) 84화")</f>
        <v>[연재]왓에버 유 두(whatever you do) 84화</v>
      </c>
      <c r="E591" t="str">
        <f>T("84")</f>
        <v>84</v>
      </c>
      <c r="F591" t="str">
        <f t="shared" si="122"/>
        <v>원믹</v>
      </c>
      <c r="I591" t="str">
        <f t="shared" si="123"/>
        <v>딥블렌드</v>
      </c>
      <c r="J591" t="str">
        <f t="shared" si="124"/>
        <v>[연재]왓에버 유 두(whatever you do)</v>
      </c>
      <c r="K591">
        <v>100</v>
      </c>
      <c r="L591">
        <v>3300</v>
      </c>
      <c r="M591">
        <v>33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2010</v>
      </c>
      <c r="AN591" t="str">
        <f t="shared" si="125"/>
        <v>9791190142793</v>
      </c>
      <c r="AP591" t="str">
        <f t="shared" si="126"/>
        <v>BL 웹소설 &gt; 현대물</v>
      </c>
    </row>
    <row r="592" spans="1:42" x14ac:dyDescent="0.4">
      <c r="A592" t="s">
        <v>43</v>
      </c>
      <c r="B592">
        <v>3822000748</v>
      </c>
      <c r="C592">
        <v>3822000932</v>
      </c>
      <c r="D592" t="str">
        <f>T("[연재]왓에버 유 두(whatever you do) 128화")</f>
        <v>[연재]왓에버 유 두(whatever you do) 128화</v>
      </c>
      <c r="E592" t="str">
        <f>T("128")</f>
        <v>128</v>
      </c>
      <c r="F592" t="str">
        <f t="shared" si="122"/>
        <v>원믹</v>
      </c>
      <c r="I592" t="str">
        <f t="shared" si="123"/>
        <v>딥블렌드</v>
      </c>
      <c r="J592" t="str">
        <f t="shared" si="124"/>
        <v>[연재]왓에버 유 두(whatever you do)</v>
      </c>
      <c r="K592">
        <v>100</v>
      </c>
      <c r="L592">
        <v>3300</v>
      </c>
      <c r="M592">
        <v>33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2030</v>
      </c>
      <c r="AN592" t="str">
        <f t="shared" si="125"/>
        <v>9791190142793</v>
      </c>
      <c r="AP592" t="str">
        <f t="shared" si="126"/>
        <v>BL 웹소설 &gt; 현대물</v>
      </c>
    </row>
    <row r="593" spans="1:42" x14ac:dyDescent="0.4">
      <c r="A593" t="s">
        <v>43</v>
      </c>
      <c r="B593">
        <v>3822000748</v>
      </c>
      <c r="C593">
        <v>3822000803</v>
      </c>
      <c r="D593" t="str">
        <f>T("[연재]왓에버 유 두(whatever you do) 56화")</f>
        <v>[연재]왓에버 유 두(whatever you do) 56화</v>
      </c>
      <c r="E593" t="str">
        <f>T("56")</f>
        <v>56</v>
      </c>
      <c r="F593" t="str">
        <f t="shared" si="122"/>
        <v>원믹</v>
      </c>
      <c r="I593" t="str">
        <f t="shared" si="123"/>
        <v>딥블렌드</v>
      </c>
      <c r="J593" t="str">
        <f t="shared" si="124"/>
        <v>[연재]왓에버 유 두(whatever you do)</v>
      </c>
      <c r="K593">
        <v>100</v>
      </c>
      <c r="L593">
        <v>3300</v>
      </c>
      <c r="M593">
        <v>33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2020</v>
      </c>
      <c r="AN593" t="str">
        <f t="shared" si="125"/>
        <v>9791190142793</v>
      </c>
      <c r="AP593" t="str">
        <f t="shared" si="126"/>
        <v>BL 웹소설 &gt; 현대물</v>
      </c>
    </row>
    <row r="594" spans="1:42" x14ac:dyDescent="0.4">
      <c r="A594" t="s">
        <v>43</v>
      </c>
      <c r="B594">
        <v>3822000748</v>
      </c>
      <c r="C594">
        <v>3822000832</v>
      </c>
      <c r="D594" t="str">
        <f>T("[연재]왓에버 유 두(whatever you do) 85화")</f>
        <v>[연재]왓에버 유 두(whatever you do) 85화</v>
      </c>
      <c r="E594" t="str">
        <f>T("85")</f>
        <v>85</v>
      </c>
      <c r="F594" t="str">
        <f t="shared" si="122"/>
        <v>원믹</v>
      </c>
      <c r="I594" t="str">
        <f t="shared" si="123"/>
        <v>딥블렌드</v>
      </c>
      <c r="J594" t="str">
        <f t="shared" si="124"/>
        <v>[연재]왓에버 유 두(whatever you do)</v>
      </c>
      <c r="K594">
        <v>100</v>
      </c>
      <c r="L594">
        <v>3300</v>
      </c>
      <c r="M594">
        <v>33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2010</v>
      </c>
      <c r="AN594" t="str">
        <f t="shared" si="125"/>
        <v>9791190142793</v>
      </c>
      <c r="AP594" t="str">
        <f t="shared" si="126"/>
        <v>BL 웹소설 &gt; 현대물</v>
      </c>
    </row>
    <row r="595" spans="1:42" x14ac:dyDescent="0.4">
      <c r="A595" t="s">
        <v>43</v>
      </c>
      <c r="B595">
        <v>3822000748</v>
      </c>
      <c r="C595">
        <v>3822000933</v>
      </c>
      <c r="D595" t="str">
        <f>T("[연재]왓에버 유 두(whatever you do) 129화")</f>
        <v>[연재]왓에버 유 두(whatever you do) 129화</v>
      </c>
      <c r="E595" t="str">
        <f>T("129")</f>
        <v>129</v>
      </c>
      <c r="F595" t="str">
        <f t="shared" si="122"/>
        <v>원믹</v>
      </c>
      <c r="I595" t="str">
        <f t="shared" si="123"/>
        <v>딥블렌드</v>
      </c>
      <c r="J595" t="str">
        <f t="shared" si="124"/>
        <v>[연재]왓에버 유 두(whatever you do)</v>
      </c>
      <c r="K595">
        <v>100</v>
      </c>
      <c r="L595">
        <v>3300</v>
      </c>
      <c r="M595">
        <v>33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2030</v>
      </c>
      <c r="AN595" t="str">
        <f t="shared" si="125"/>
        <v>9791190142793</v>
      </c>
      <c r="AP595" t="str">
        <f t="shared" si="126"/>
        <v>BL 웹소설 &gt; 현대물</v>
      </c>
    </row>
    <row r="596" spans="1:42" x14ac:dyDescent="0.4">
      <c r="A596" t="s">
        <v>43</v>
      </c>
      <c r="B596">
        <v>3822000748</v>
      </c>
      <c r="C596">
        <v>3822000833</v>
      </c>
      <c r="D596" t="str">
        <f>T("[연재]왓에버 유 두(whatever you do) 86화")</f>
        <v>[연재]왓에버 유 두(whatever you do) 86화</v>
      </c>
      <c r="E596" t="str">
        <f>T("86")</f>
        <v>86</v>
      </c>
      <c r="F596" t="str">
        <f t="shared" si="122"/>
        <v>원믹</v>
      </c>
      <c r="I596" t="str">
        <f t="shared" si="123"/>
        <v>딥블렌드</v>
      </c>
      <c r="J596" t="str">
        <f t="shared" si="124"/>
        <v>[연재]왓에버 유 두(whatever you do)</v>
      </c>
      <c r="K596">
        <v>100</v>
      </c>
      <c r="L596">
        <v>3300</v>
      </c>
      <c r="M596">
        <v>33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2010</v>
      </c>
      <c r="AN596" t="str">
        <f t="shared" si="125"/>
        <v>9791190142793</v>
      </c>
      <c r="AP596" t="str">
        <f t="shared" si="126"/>
        <v>BL 웹소설 &gt; 현대물</v>
      </c>
    </row>
    <row r="597" spans="1:42" x14ac:dyDescent="0.4">
      <c r="A597" t="s">
        <v>43</v>
      </c>
      <c r="B597">
        <v>3822000748</v>
      </c>
      <c r="C597">
        <v>3822000834</v>
      </c>
      <c r="D597" t="str">
        <f>T("[연재]왓에버 유 두(whatever you do) 87화")</f>
        <v>[연재]왓에버 유 두(whatever you do) 87화</v>
      </c>
      <c r="E597" t="str">
        <f>T("87")</f>
        <v>87</v>
      </c>
      <c r="F597" t="str">
        <f t="shared" si="122"/>
        <v>원믹</v>
      </c>
      <c r="I597" t="str">
        <f t="shared" si="123"/>
        <v>딥블렌드</v>
      </c>
      <c r="J597" t="str">
        <f t="shared" si="124"/>
        <v>[연재]왓에버 유 두(whatever you do)</v>
      </c>
      <c r="K597">
        <v>100</v>
      </c>
      <c r="L597">
        <v>3300</v>
      </c>
      <c r="M597">
        <v>33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2010</v>
      </c>
      <c r="AN597" t="str">
        <f t="shared" si="125"/>
        <v>9791190142793</v>
      </c>
      <c r="AP597" t="str">
        <f t="shared" si="126"/>
        <v>BL 웹소설 &gt; 현대물</v>
      </c>
    </row>
    <row r="598" spans="1:42" x14ac:dyDescent="0.4">
      <c r="A598" t="s">
        <v>43</v>
      </c>
      <c r="B598">
        <v>3822000748</v>
      </c>
      <c r="C598">
        <v>3822000820</v>
      </c>
      <c r="D598" t="str">
        <f>T("[연재]왓에버 유 두(whatever you do) 73화")</f>
        <v>[연재]왓에버 유 두(whatever you do) 73화</v>
      </c>
      <c r="E598" t="str">
        <f>T("73")</f>
        <v>73</v>
      </c>
      <c r="F598" t="str">
        <f t="shared" si="122"/>
        <v>원믹</v>
      </c>
      <c r="I598" t="str">
        <f t="shared" si="123"/>
        <v>딥블렌드</v>
      </c>
      <c r="J598" t="str">
        <f t="shared" si="124"/>
        <v>[연재]왓에버 유 두(whatever you do)</v>
      </c>
      <c r="K598">
        <v>100</v>
      </c>
      <c r="L598">
        <v>3300</v>
      </c>
      <c r="M598">
        <v>33</v>
      </c>
      <c r="N598">
        <v>0</v>
      </c>
      <c r="O598">
        <v>0</v>
      </c>
      <c r="P598">
        <v>0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2010</v>
      </c>
      <c r="AN598" t="str">
        <f t="shared" si="125"/>
        <v>9791190142793</v>
      </c>
      <c r="AP598" t="str">
        <f t="shared" si="126"/>
        <v>BL 웹소설 &gt; 현대물</v>
      </c>
    </row>
    <row r="599" spans="1:42" x14ac:dyDescent="0.4">
      <c r="A599" t="s">
        <v>43</v>
      </c>
      <c r="B599">
        <v>3822000748</v>
      </c>
      <c r="C599">
        <v>3822000835</v>
      </c>
      <c r="D599" t="str">
        <f>T("[연재]왓에버 유 두(whatever you do) 88화")</f>
        <v>[연재]왓에버 유 두(whatever you do) 88화</v>
      </c>
      <c r="E599" t="str">
        <f>T("88")</f>
        <v>88</v>
      </c>
      <c r="F599" t="str">
        <f t="shared" si="122"/>
        <v>원믹</v>
      </c>
      <c r="I599" t="str">
        <f t="shared" si="123"/>
        <v>딥블렌드</v>
      </c>
      <c r="J599" t="str">
        <f t="shared" si="124"/>
        <v>[연재]왓에버 유 두(whatever you do)</v>
      </c>
      <c r="K599">
        <v>100</v>
      </c>
      <c r="L599">
        <v>3300</v>
      </c>
      <c r="M599">
        <v>33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2010</v>
      </c>
      <c r="AN599" t="str">
        <f t="shared" si="125"/>
        <v>9791190142793</v>
      </c>
      <c r="AP599" t="str">
        <f t="shared" si="126"/>
        <v>BL 웹소설 &gt; 현대물</v>
      </c>
    </row>
    <row r="600" spans="1:42" x14ac:dyDescent="0.4">
      <c r="A600" t="s">
        <v>43</v>
      </c>
      <c r="B600">
        <v>3822000748</v>
      </c>
      <c r="C600">
        <v>3822000765</v>
      </c>
      <c r="D600" t="str">
        <f>T("[연재]왓에버 유 두(whatever you do) 18화")</f>
        <v>[연재]왓에버 유 두(whatever you do) 18화</v>
      </c>
      <c r="E600" t="str">
        <f>T("18")</f>
        <v>18</v>
      </c>
      <c r="F600" t="str">
        <f t="shared" si="122"/>
        <v>원믹</v>
      </c>
      <c r="I600" t="str">
        <f t="shared" si="123"/>
        <v>딥블렌드</v>
      </c>
      <c r="J600" t="str">
        <f t="shared" si="124"/>
        <v>[연재]왓에버 유 두(whatever you do)</v>
      </c>
      <c r="K600">
        <v>100</v>
      </c>
      <c r="L600">
        <v>3300</v>
      </c>
      <c r="M600">
        <v>33</v>
      </c>
      <c r="N600">
        <v>0</v>
      </c>
      <c r="O600">
        <v>0</v>
      </c>
      <c r="P600">
        <v>0</v>
      </c>
      <c r="Q600">
        <v>2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2030</v>
      </c>
      <c r="AN600" t="str">
        <f t="shared" si="125"/>
        <v>9791190142793</v>
      </c>
      <c r="AP600" t="str">
        <f t="shared" si="126"/>
        <v>BL 웹소설 &gt; 현대물</v>
      </c>
    </row>
    <row r="601" spans="1:42" x14ac:dyDescent="0.4">
      <c r="A601" t="s">
        <v>43</v>
      </c>
      <c r="B601">
        <v>3822000001</v>
      </c>
      <c r="C601">
        <v>3822000003</v>
      </c>
      <c r="D601" t="str">
        <f>T("속삭이는 꽃 3권 (완결)")</f>
        <v>속삭이는 꽃 3권 (완결)</v>
      </c>
      <c r="E601" t="str">
        <f>T("3")</f>
        <v>3</v>
      </c>
      <c r="F601" t="str">
        <f>T("나다")</f>
        <v>나다</v>
      </c>
      <c r="I601" t="str">
        <f t="shared" si="123"/>
        <v>딥블렌드</v>
      </c>
      <c r="J601" t="str">
        <f>T("속삭이는 꽃")</f>
        <v>속삭이는 꽃</v>
      </c>
      <c r="K601">
        <v>3300</v>
      </c>
      <c r="L601">
        <v>3300</v>
      </c>
      <c r="M601">
        <v>1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3300</v>
      </c>
      <c r="U601">
        <v>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4620</v>
      </c>
      <c r="AL601" t="str">
        <f>T("0000000000000")</f>
        <v>0000000000000</v>
      </c>
      <c r="AN601" t="str">
        <f>T("9791196658038")</f>
        <v>9791196658038</v>
      </c>
      <c r="AP601" t="str">
        <f>T("BL 소설 e북 &gt; 역사/시대물")</f>
        <v>BL 소설 e북 &gt; 역사/시대물</v>
      </c>
    </row>
    <row r="602" spans="1:42" x14ac:dyDescent="0.4">
      <c r="A602" t="s">
        <v>43</v>
      </c>
      <c r="B602">
        <v>3822000895</v>
      </c>
      <c r="C602">
        <v>3822000896</v>
      </c>
      <c r="D602" t="str">
        <f>T("남자 주인공과 이혼하는 법 2권")</f>
        <v>남자 주인공과 이혼하는 법 2권</v>
      </c>
      <c r="E602" t="str">
        <f>T("2")</f>
        <v>2</v>
      </c>
      <c r="F602" t="str">
        <f>T("라라")</f>
        <v>라라</v>
      </c>
      <c r="I602" t="str">
        <f>T("비포선셋")</f>
        <v>비포선셋</v>
      </c>
      <c r="J602" t="str">
        <f>T("남자 주인공과 이혼하는 법")</f>
        <v>남자 주인공과 이혼하는 법</v>
      </c>
      <c r="K602">
        <v>3300</v>
      </c>
      <c r="L602">
        <v>3300</v>
      </c>
      <c r="M602">
        <v>1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2310</v>
      </c>
      <c r="AN602" t="str">
        <f>T("9791190142854")</f>
        <v>9791190142854</v>
      </c>
      <c r="AP602" t="str">
        <f>T("로맨스 e북 &gt; 판타지물")</f>
        <v>로맨스 e북 &gt; 판타지물</v>
      </c>
    </row>
    <row r="603" spans="1:42" x14ac:dyDescent="0.4">
      <c r="A603" t="s">
        <v>43</v>
      </c>
      <c r="B603">
        <v>3822000748</v>
      </c>
      <c r="C603">
        <v>3822000768</v>
      </c>
      <c r="D603" t="str">
        <f>T("[연재]왓에버 유 두(whatever you do) 21화")</f>
        <v>[연재]왓에버 유 두(whatever you do) 21화</v>
      </c>
      <c r="E603" t="str">
        <f>T("21")</f>
        <v>21</v>
      </c>
      <c r="F603" t="str">
        <f t="shared" ref="F603:F613" si="127">T("원믹")</f>
        <v>원믹</v>
      </c>
      <c r="I603" t="str">
        <f t="shared" ref="I603:I616" si="128">T("딥블렌드")</f>
        <v>딥블렌드</v>
      </c>
      <c r="J603" t="str">
        <f t="shared" ref="J603:J613" si="129">T("[연재]왓에버 유 두(whatever you do)")</f>
        <v>[연재]왓에버 유 두(whatever you do)</v>
      </c>
      <c r="K603">
        <v>100</v>
      </c>
      <c r="L603">
        <v>3300</v>
      </c>
      <c r="M603">
        <v>33</v>
      </c>
      <c r="N603">
        <v>0</v>
      </c>
      <c r="O603">
        <v>0</v>
      </c>
      <c r="P603">
        <v>0</v>
      </c>
      <c r="Q603">
        <v>1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2020</v>
      </c>
      <c r="AN603" t="str">
        <f t="shared" ref="AN603:AN613" si="130">T("9791190142793")</f>
        <v>9791190142793</v>
      </c>
      <c r="AP603" t="str">
        <f t="shared" ref="AP603:AP613" si="131">T("BL 웹소설 &gt; 현대물")</f>
        <v>BL 웹소설 &gt; 현대물</v>
      </c>
    </row>
    <row r="604" spans="1:42" x14ac:dyDescent="0.4">
      <c r="A604" t="s">
        <v>43</v>
      </c>
      <c r="B604">
        <v>3822000748</v>
      </c>
      <c r="C604">
        <v>3822000826</v>
      </c>
      <c r="D604" t="str">
        <f>T("[연재]왓에버 유 두(whatever you do) 79화")</f>
        <v>[연재]왓에버 유 두(whatever you do) 79화</v>
      </c>
      <c r="E604" t="str">
        <f>T("79")</f>
        <v>79</v>
      </c>
      <c r="F604" t="str">
        <f t="shared" si="127"/>
        <v>원믹</v>
      </c>
      <c r="I604" t="str">
        <f t="shared" si="128"/>
        <v>딥블렌드</v>
      </c>
      <c r="J604" t="str">
        <f t="shared" si="129"/>
        <v>[연재]왓에버 유 두(whatever you do)</v>
      </c>
      <c r="K604">
        <v>100</v>
      </c>
      <c r="L604">
        <v>3300</v>
      </c>
      <c r="M604">
        <v>33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2010</v>
      </c>
      <c r="AN604" t="str">
        <f t="shared" si="130"/>
        <v>9791190142793</v>
      </c>
      <c r="AP604" t="str">
        <f t="shared" si="131"/>
        <v>BL 웹소설 &gt; 현대물</v>
      </c>
    </row>
    <row r="605" spans="1:42" x14ac:dyDescent="0.4">
      <c r="A605" t="s">
        <v>43</v>
      </c>
      <c r="B605">
        <v>3822000748</v>
      </c>
      <c r="C605">
        <v>3822000927</v>
      </c>
      <c r="D605" t="str">
        <f>T("[연재]왓에버 유 두(whatever you do) 123화")</f>
        <v>[연재]왓에버 유 두(whatever you do) 123화</v>
      </c>
      <c r="E605" t="str">
        <f>T("123")</f>
        <v>123</v>
      </c>
      <c r="F605" t="str">
        <f t="shared" si="127"/>
        <v>원믹</v>
      </c>
      <c r="I605" t="str">
        <f t="shared" si="128"/>
        <v>딥블렌드</v>
      </c>
      <c r="J605" t="str">
        <f t="shared" si="129"/>
        <v>[연재]왓에버 유 두(whatever you do)</v>
      </c>
      <c r="K605">
        <v>100</v>
      </c>
      <c r="L605">
        <v>3300</v>
      </c>
      <c r="M605">
        <v>33</v>
      </c>
      <c r="N605">
        <v>0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2030</v>
      </c>
      <c r="AN605" t="str">
        <f t="shared" si="130"/>
        <v>9791190142793</v>
      </c>
      <c r="AP605" t="str">
        <f t="shared" si="131"/>
        <v>BL 웹소설 &gt; 현대물</v>
      </c>
    </row>
    <row r="606" spans="1:42" x14ac:dyDescent="0.4">
      <c r="A606" t="s">
        <v>43</v>
      </c>
      <c r="B606">
        <v>3822000748</v>
      </c>
      <c r="C606">
        <v>3822000829</v>
      </c>
      <c r="D606" t="str">
        <f>T("[연재]왓에버 유 두(whatever you do) 82화")</f>
        <v>[연재]왓에버 유 두(whatever you do) 82화</v>
      </c>
      <c r="E606" t="str">
        <f>T("82")</f>
        <v>82</v>
      </c>
      <c r="F606" t="str">
        <f t="shared" si="127"/>
        <v>원믹</v>
      </c>
      <c r="I606" t="str">
        <f t="shared" si="128"/>
        <v>딥블렌드</v>
      </c>
      <c r="J606" t="str">
        <f t="shared" si="129"/>
        <v>[연재]왓에버 유 두(whatever you do)</v>
      </c>
      <c r="K606">
        <v>100</v>
      </c>
      <c r="L606">
        <v>3200</v>
      </c>
      <c r="M606">
        <v>32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1950</v>
      </c>
      <c r="AN606" t="str">
        <f t="shared" si="130"/>
        <v>9791190142793</v>
      </c>
      <c r="AP606" t="str">
        <f t="shared" si="131"/>
        <v>BL 웹소설 &gt; 현대물</v>
      </c>
    </row>
    <row r="607" spans="1:42" x14ac:dyDescent="0.4">
      <c r="A607" t="s">
        <v>43</v>
      </c>
      <c r="B607">
        <v>3822000748</v>
      </c>
      <c r="C607">
        <v>3822000801</v>
      </c>
      <c r="D607" t="str">
        <f>T("[연재]왓에버 유 두(whatever you do) 54화")</f>
        <v>[연재]왓에버 유 두(whatever you do) 54화</v>
      </c>
      <c r="E607" t="str">
        <f>T("54")</f>
        <v>54</v>
      </c>
      <c r="F607" t="str">
        <f t="shared" si="127"/>
        <v>원믹</v>
      </c>
      <c r="I607" t="str">
        <f t="shared" si="128"/>
        <v>딥블렌드</v>
      </c>
      <c r="J607" t="str">
        <f t="shared" si="129"/>
        <v>[연재]왓에버 유 두(whatever you do)</v>
      </c>
      <c r="K607">
        <v>100</v>
      </c>
      <c r="L607">
        <v>3200</v>
      </c>
      <c r="M607">
        <v>32</v>
      </c>
      <c r="N607">
        <v>0</v>
      </c>
      <c r="O607">
        <v>0</v>
      </c>
      <c r="P607">
        <v>0</v>
      </c>
      <c r="Q607">
        <v>3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1960</v>
      </c>
      <c r="AN607" t="str">
        <f t="shared" si="130"/>
        <v>9791190142793</v>
      </c>
      <c r="AP607" t="str">
        <f t="shared" si="131"/>
        <v>BL 웹소설 &gt; 현대물</v>
      </c>
    </row>
    <row r="608" spans="1:42" x14ac:dyDescent="0.4">
      <c r="A608" t="s">
        <v>43</v>
      </c>
      <c r="B608">
        <v>3822000748</v>
      </c>
      <c r="C608">
        <v>3822000830</v>
      </c>
      <c r="D608" t="str">
        <f>T("[연재]왓에버 유 두(whatever you do) 83화")</f>
        <v>[연재]왓에버 유 두(whatever you do) 83화</v>
      </c>
      <c r="E608" t="str">
        <f>T("83")</f>
        <v>83</v>
      </c>
      <c r="F608" t="str">
        <f t="shared" si="127"/>
        <v>원믹</v>
      </c>
      <c r="I608" t="str">
        <f t="shared" si="128"/>
        <v>딥블렌드</v>
      </c>
      <c r="J608" t="str">
        <f t="shared" si="129"/>
        <v>[연재]왓에버 유 두(whatever you do)</v>
      </c>
      <c r="K608">
        <v>100</v>
      </c>
      <c r="L608">
        <v>3200</v>
      </c>
      <c r="M608">
        <v>32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1950</v>
      </c>
      <c r="AN608" t="str">
        <f t="shared" si="130"/>
        <v>9791190142793</v>
      </c>
      <c r="AP608" t="str">
        <f t="shared" si="131"/>
        <v>BL 웹소설 &gt; 현대물</v>
      </c>
    </row>
    <row r="609" spans="1:43" x14ac:dyDescent="0.4">
      <c r="A609" t="s">
        <v>43</v>
      </c>
      <c r="B609">
        <v>3822000748</v>
      </c>
      <c r="C609">
        <v>3822000934</v>
      </c>
      <c r="D609" t="str">
        <f>T("[연재]왓에버 유 두(whatever you do) 130화")</f>
        <v>[연재]왓에버 유 두(whatever you do) 130화</v>
      </c>
      <c r="E609" t="str">
        <f>T("130")</f>
        <v>130</v>
      </c>
      <c r="F609" t="str">
        <f t="shared" si="127"/>
        <v>원믹</v>
      </c>
      <c r="I609" t="str">
        <f t="shared" si="128"/>
        <v>딥블렌드</v>
      </c>
      <c r="J609" t="str">
        <f t="shared" si="129"/>
        <v>[연재]왓에버 유 두(whatever you do)</v>
      </c>
      <c r="K609">
        <v>100</v>
      </c>
      <c r="L609">
        <v>3200</v>
      </c>
      <c r="M609">
        <v>32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1970</v>
      </c>
      <c r="AN609" t="str">
        <f t="shared" si="130"/>
        <v>9791190142793</v>
      </c>
      <c r="AP609" t="str">
        <f t="shared" si="131"/>
        <v>BL 웹소설 &gt; 현대물</v>
      </c>
    </row>
    <row r="610" spans="1:43" x14ac:dyDescent="0.4">
      <c r="A610" t="s">
        <v>43</v>
      </c>
      <c r="B610">
        <v>3822000748</v>
      </c>
      <c r="C610">
        <v>3822000819</v>
      </c>
      <c r="D610" t="str">
        <f>T("[연재]왓에버 유 두(whatever you do) 72화")</f>
        <v>[연재]왓에버 유 두(whatever you do) 72화</v>
      </c>
      <c r="E610" t="str">
        <f>T("72")</f>
        <v>72</v>
      </c>
      <c r="F610" t="str">
        <f t="shared" si="127"/>
        <v>원믹</v>
      </c>
      <c r="I610" t="str">
        <f t="shared" si="128"/>
        <v>딥블렌드</v>
      </c>
      <c r="J610" t="str">
        <f t="shared" si="129"/>
        <v>[연재]왓에버 유 두(whatever you do)</v>
      </c>
      <c r="K610">
        <v>100</v>
      </c>
      <c r="L610">
        <v>3200</v>
      </c>
      <c r="M610">
        <v>32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1950</v>
      </c>
      <c r="AN610" t="str">
        <f t="shared" si="130"/>
        <v>9791190142793</v>
      </c>
      <c r="AP610" t="str">
        <f t="shared" si="131"/>
        <v>BL 웹소설 &gt; 현대물</v>
      </c>
    </row>
    <row r="611" spans="1:43" x14ac:dyDescent="0.4">
      <c r="A611" t="s">
        <v>43</v>
      </c>
      <c r="B611">
        <v>3822000748</v>
      </c>
      <c r="C611">
        <v>3822000763</v>
      </c>
      <c r="D611" t="str">
        <f>T("[연재]왓에버 유 두(whatever you do) 16화")</f>
        <v>[연재]왓에버 유 두(whatever you do) 16화</v>
      </c>
      <c r="E611" t="str">
        <f>T("16")</f>
        <v>16</v>
      </c>
      <c r="F611" t="str">
        <f t="shared" si="127"/>
        <v>원믹</v>
      </c>
      <c r="I611" t="str">
        <f t="shared" si="128"/>
        <v>딥블렌드</v>
      </c>
      <c r="J611" t="str">
        <f t="shared" si="129"/>
        <v>[연재]왓에버 유 두(whatever you do)</v>
      </c>
      <c r="K611">
        <v>100</v>
      </c>
      <c r="L611">
        <v>3200</v>
      </c>
      <c r="M611">
        <v>32</v>
      </c>
      <c r="N611">
        <v>0</v>
      </c>
      <c r="O611">
        <v>0</v>
      </c>
      <c r="P611">
        <v>0</v>
      </c>
      <c r="Q611">
        <v>4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1970</v>
      </c>
      <c r="AN611" t="str">
        <f t="shared" si="130"/>
        <v>9791190142793</v>
      </c>
      <c r="AP611" t="str">
        <f t="shared" si="131"/>
        <v>BL 웹소설 &gt; 현대물</v>
      </c>
    </row>
    <row r="612" spans="1:43" x14ac:dyDescent="0.4">
      <c r="A612" t="s">
        <v>43</v>
      </c>
      <c r="B612">
        <v>3822000748</v>
      </c>
      <c r="C612">
        <v>3822000764</v>
      </c>
      <c r="D612" t="str">
        <f>T("[연재]왓에버 유 두(whatever you do) 17화")</f>
        <v>[연재]왓에버 유 두(whatever you do) 17화</v>
      </c>
      <c r="E612" t="str">
        <f>T("17")</f>
        <v>17</v>
      </c>
      <c r="F612" t="str">
        <f t="shared" si="127"/>
        <v>원믹</v>
      </c>
      <c r="I612" t="str">
        <f t="shared" si="128"/>
        <v>딥블렌드</v>
      </c>
      <c r="J612" t="str">
        <f t="shared" si="129"/>
        <v>[연재]왓에버 유 두(whatever you do)</v>
      </c>
      <c r="K612">
        <v>100</v>
      </c>
      <c r="L612">
        <v>3200</v>
      </c>
      <c r="M612">
        <v>32</v>
      </c>
      <c r="N612">
        <v>0</v>
      </c>
      <c r="O612">
        <v>0</v>
      </c>
      <c r="P612">
        <v>0</v>
      </c>
      <c r="Q612">
        <v>2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1960</v>
      </c>
      <c r="AN612" t="str">
        <f t="shared" si="130"/>
        <v>9791190142793</v>
      </c>
      <c r="AP612" t="str">
        <f t="shared" si="131"/>
        <v>BL 웹소설 &gt; 현대물</v>
      </c>
    </row>
    <row r="613" spans="1:43" x14ac:dyDescent="0.4">
      <c r="A613" t="s">
        <v>43</v>
      </c>
      <c r="B613">
        <v>3822000748</v>
      </c>
      <c r="C613">
        <v>3822000779</v>
      </c>
      <c r="D613" t="str">
        <f>T("[연재]왓에버 유 두(whatever you do) 32화")</f>
        <v>[연재]왓에버 유 두(whatever you do) 32화</v>
      </c>
      <c r="E613" t="str">
        <f>T("32")</f>
        <v>32</v>
      </c>
      <c r="F613" t="str">
        <f t="shared" si="127"/>
        <v>원믹</v>
      </c>
      <c r="I613" t="str">
        <f t="shared" si="128"/>
        <v>딥블렌드</v>
      </c>
      <c r="J613" t="str">
        <f t="shared" si="129"/>
        <v>[연재]왓에버 유 두(whatever you do)</v>
      </c>
      <c r="K613">
        <v>100</v>
      </c>
      <c r="L613">
        <v>3200</v>
      </c>
      <c r="M613">
        <v>32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1960</v>
      </c>
      <c r="AN613" t="str">
        <f t="shared" si="130"/>
        <v>9791190142793</v>
      </c>
      <c r="AP613" t="str">
        <f t="shared" si="131"/>
        <v>BL 웹소설 &gt; 현대물</v>
      </c>
    </row>
    <row r="614" spans="1:43" x14ac:dyDescent="0.4">
      <c r="A614" t="s">
        <v>43</v>
      </c>
      <c r="B614">
        <v>3822000001</v>
      </c>
      <c r="C614">
        <v>3822000001</v>
      </c>
      <c r="D614" t="str">
        <f>T("속삭이는 꽃 1권")</f>
        <v>속삭이는 꽃 1권</v>
      </c>
      <c r="E614" t="str">
        <f>T("1")</f>
        <v>1</v>
      </c>
      <c r="F614" t="str">
        <f>T("나다")</f>
        <v>나다</v>
      </c>
      <c r="I614" t="str">
        <f t="shared" si="128"/>
        <v>딥블렌드</v>
      </c>
      <c r="J614" t="str">
        <f>T("속삭이는 꽃")</f>
        <v>속삭이는 꽃</v>
      </c>
      <c r="K614">
        <v>3200</v>
      </c>
      <c r="L614">
        <v>3200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3200</v>
      </c>
      <c r="U614">
        <v>1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4480</v>
      </c>
      <c r="AL614" t="str">
        <f>T("0000000000000")</f>
        <v>0000000000000</v>
      </c>
      <c r="AN614" t="str">
        <f>T("9791196658014")</f>
        <v>9791196658014</v>
      </c>
      <c r="AP614" t="str">
        <f>T("BL 소설 e북 &gt; 역사/시대물")</f>
        <v>BL 소설 e북 &gt; 역사/시대물</v>
      </c>
    </row>
    <row r="615" spans="1:43" x14ac:dyDescent="0.4">
      <c r="A615" t="s">
        <v>43</v>
      </c>
      <c r="B615">
        <v>3822000748</v>
      </c>
      <c r="C615">
        <v>3822000863</v>
      </c>
      <c r="D615" t="str">
        <f>T("[연재]왓에버 유 두(whatever you do) 100화")</f>
        <v>[연재]왓에버 유 두(whatever you do) 100화</v>
      </c>
      <c r="E615" t="str">
        <f>T("100")</f>
        <v>100</v>
      </c>
      <c r="F615" t="str">
        <f>T("원믹")</f>
        <v>원믹</v>
      </c>
      <c r="I615" t="str">
        <f t="shared" si="128"/>
        <v>딥블렌드</v>
      </c>
      <c r="J615" t="str">
        <f>T("[연재]왓에버 유 두(whatever you do)")</f>
        <v>[연재]왓에버 유 두(whatever you do)</v>
      </c>
      <c r="K615">
        <v>100</v>
      </c>
      <c r="L615">
        <v>3200</v>
      </c>
      <c r="M615">
        <v>32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1940</v>
      </c>
      <c r="AN615" t="str">
        <f>T("9791190142793")</f>
        <v>9791190142793</v>
      </c>
      <c r="AP615" t="str">
        <f>T("BL 웹소설 &gt; 현대물")</f>
        <v>BL 웹소설 &gt; 현대물</v>
      </c>
    </row>
    <row r="616" spans="1:43" x14ac:dyDescent="0.4">
      <c r="A616" t="s">
        <v>43</v>
      </c>
      <c r="B616">
        <v>3822000748</v>
      </c>
      <c r="C616">
        <v>3822000780</v>
      </c>
      <c r="D616" t="str">
        <f>T("[연재]왓에버 유 두(whatever you do) 33화")</f>
        <v>[연재]왓에버 유 두(whatever you do) 33화</v>
      </c>
      <c r="E616" t="str">
        <f>T("33")</f>
        <v>33</v>
      </c>
      <c r="F616" t="str">
        <f>T("원믹")</f>
        <v>원믹</v>
      </c>
      <c r="I616" t="str">
        <f t="shared" si="128"/>
        <v>딥블렌드</v>
      </c>
      <c r="J616" t="str">
        <f>T("[연재]왓에버 유 두(whatever you do)")</f>
        <v>[연재]왓에버 유 두(whatever you do)</v>
      </c>
      <c r="K616">
        <v>100</v>
      </c>
      <c r="L616">
        <v>3200</v>
      </c>
      <c r="M616">
        <v>32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1970</v>
      </c>
      <c r="AN616" t="str">
        <f>T("9791190142793")</f>
        <v>9791190142793</v>
      </c>
      <c r="AP616" t="str">
        <f>T("BL 웹소설 &gt; 현대물")</f>
        <v>BL 웹소설 &gt; 현대물</v>
      </c>
    </row>
    <row r="617" spans="1:43" x14ac:dyDescent="0.4">
      <c r="A617" t="s">
        <v>43</v>
      </c>
      <c r="C617">
        <v>3822000682</v>
      </c>
      <c r="D617" t="str">
        <f>T("발렌타인데이의 비밀")</f>
        <v>발렌타인데이의 비밀</v>
      </c>
      <c r="F617" t="str">
        <f>T("한야하")</f>
        <v>한야하</v>
      </c>
      <c r="I617" t="str">
        <f>T("애프터선셋")</f>
        <v>애프터선셋</v>
      </c>
      <c r="K617">
        <v>3200</v>
      </c>
      <c r="L617">
        <v>3200</v>
      </c>
      <c r="M617">
        <v>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2240</v>
      </c>
      <c r="AN617" t="str">
        <f>T("9791190142724")</f>
        <v>9791190142724</v>
      </c>
      <c r="AP617" t="str">
        <f>T("로맨스 e북 &gt; 현대물")</f>
        <v>로맨스 e북 &gt; 현대물</v>
      </c>
      <c r="AQ617" t="str">
        <f>T("로맨스 e북 &gt; 19+")</f>
        <v>로맨스 e북 &gt; 19+</v>
      </c>
    </row>
    <row r="618" spans="1:43" x14ac:dyDescent="0.4">
      <c r="A618" t="s">
        <v>43</v>
      </c>
      <c r="B618">
        <v>3822000748</v>
      </c>
      <c r="C618">
        <v>3822000925</v>
      </c>
      <c r="D618" t="str">
        <f>T("[연재]왓에버 유 두(whatever you do) 121화")</f>
        <v>[연재]왓에버 유 두(whatever you do) 121화</v>
      </c>
      <c r="E618" t="str">
        <f>T("121")</f>
        <v>121</v>
      </c>
      <c r="F618" t="str">
        <f>T("원믹")</f>
        <v>원믹</v>
      </c>
      <c r="I618" t="str">
        <f t="shared" ref="I618:I681" si="132">T("딥블렌드")</f>
        <v>딥블렌드</v>
      </c>
      <c r="J618" t="str">
        <f>T("[연재]왓에버 유 두(whatever you do)")</f>
        <v>[연재]왓에버 유 두(whatever you do)</v>
      </c>
      <c r="K618">
        <v>100</v>
      </c>
      <c r="L618">
        <v>3200</v>
      </c>
      <c r="M618">
        <v>32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1970</v>
      </c>
      <c r="AN618" t="str">
        <f>T("9791190142793")</f>
        <v>9791190142793</v>
      </c>
      <c r="AP618" t="str">
        <f>T("BL 웹소설 &gt; 현대물")</f>
        <v>BL 웹소설 &gt; 현대물</v>
      </c>
    </row>
    <row r="619" spans="1:43" x14ac:dyDescent="0.4">
      <c r="A619" t="s">
        <v>43</v>
      </c>
      <c r="B619">
        <v>3822000748</v>
      </c>
      <c r="C619">
        <v>3822000825</v>
      </c>
      <c r="D619" t="str">
        <f>T("[연재]왓에버 유 두(whatever you do) 78화")</f>
        <v>[연재]왓에버 유 두(whatever you do) 78화</v>
      </c>
      <c r="E619" t="str">
        <f>T("78")</f>
        <v>78</v>
      </c>
      <c r="F619" t="str">
        <f>T("원믹")</f>
        <v>원믹</v>
      </c>
      <c r="I619" t="str">
        <f t="shared" si="132"/>
        <v>딥블렌드</v>
      </c>
      <c r="J619" t="str">
        <f>T("[연재]왓에버 유 두(whatever you do)")</f>
        <v>[연재]왓에버 유 두(whatever you do)</v>
      </c>
      <c r="K619">
        <v>100</v>
      </c>
      <c r="L619">
        <v>3200</v>
      </c>
      <c r="M619">
        <v>32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1950</v>
      </c>
      <c r="AN619" t="str">
        <f>T("9791190142793")</f>
        <v>9791190142793</v>
      </c>
      <c r="AP619" t="str">
        <f>T("BL 웹소설 &gt; 현대물")</f>
        <v>BL 웹소설 &gt; 현대물</v>
      </c>
    </row>
    <row r="620" spans="1:43" x14ac:dyDescent="0.4">
      <c r="A620" t="s">
        <v>43</v>
      </c>
      <c r="B620">
        <v>3822000748</v>
      </c>
      <c r="C620">
        <v>3822000968</v>
      </c>
      <c r="D620" t="str">
        <f>T("[연재]왓에버 유 두(whatever you do) 143화")</f>
        <v>[연재]왓에버 유 두(whatever you do) 143화</v>
      </c>
      <c r="E620" t="str">
        <f>T("143")</f>
        <v>143</v>
      </c>
      <c r="F620" t="str">
        <f>T("원믹")</f>
        <v>원믹</v>
      </c>
      <c r="I620" t="str">
        <f t="shared" si="132"/>
        <v>딥블렌드</v>
      </c>
      <c r="J620" t="str">
        <f>T("[연재]왓에버 유 두(whatever you do)")</f>
        <v>[연재]왓에버 유 두(whatever you do)</v>
      </c>
      <c r="K620">
        <v>100</v>
      </c>
      <c r="L620">
        <v>3200</v>
      </c>
      <c r="M620">
        <v>32</v>
      </c>
      <c r="N620">
        <v>0</v>
      </c>
      <c r="O620">
        <v>0</v>
      </c>
      <c r="P620">
        <v>0</v>
      </c>
      <c r="Q620">
        <v>4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1970</v>
      </c>
      <c r="AN620" t="str">
        <f>T("9791190142793")</f>
        <v>9791190142793</v>
      </c>
      <c r="AP620" t="str">
        <f>T("BL 웹소설 &gt; 현대물")</f>
        <v>BL 웹소설 &gt; 현대물</v>
      </c>
    </row>
    <row r="621" spans="1:43" x14ac:dyDescent="0.4">
      <c r="A621" t="s">
        <v>43</v>
      </c>
      <c r="C621">
        <v>3822000030</v>
      </c>
      <c r="D621" t="str">
        <f>T("제3자의 연애")</f>
        <v>제3자의 연애</v>
      </c>
      <c r="F621" t="str">
        <f>T("이은솜")</f>
        <v>이은솜</v>
      </c>
      <c r="I621" t="str">
        <f t="shared" si="132"/>
        <v>딥블렌드</v>
      </c>
      <c r="K621">
        <v>3200</v>
      </c>
      <c r="L621">
        <v>3200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2240</v>
      </c>
      <c r="AL621" t="str">
        <f>T("0000000000000")</f>
        <v>0000000000000</v>
      </c>
      <c r="AN621" t="str">
        <f>T("9791190142250")</f>
        <v>9791190142250</v>
      </c>
      <c r="AP621" t="str">
        <f>T("BL 소설 e북 &gt; 현대물")</f>
        <v>BL 소설 e북 &gt; 현대물</v>
      </c>
    </row>
    <row r="622" spans="1:43" x14ac:dyDescent="0.4">
      <c r="A622" t="s">
        <v>43</v>
      </c>
      <c r="B622">
        <v>3822000748</v>
      </c>
      <c r="C622">
        <v>3822000969</v>
      </c>
      <c r="D622" t="str">
        <f>T("[연재]왓에버 유 두(whatever you do) 144화")</f>
        <v>[연재]왓에버 유 두(whatever you do) 144화</v>
      </c>
      <c r="E622" t="str">
        <f>T("144")</f>
        <v>144</v>
      </c>
      <c r="F622" t="str">
        <f t="shared" ref="F622:F649" si="133">T("원믹")</f>
        <v>원믹</v>
      </c>
      <c r="I622" t="str">
        <f t="shared" si="132"/>
        <v>딥블렌드</v>
      </c>
      <c r="J622" t="str">
        <f t="shared" ref="J622:J649" si="134">T("[연재]왓에버 유 두(whatever you do)")</f>
        <v>[연재]왓에버 유 두(whatever you do)</v>
      </c>
      <c r="K622">
        <v>100</v>
      </c>
      <c r="L622">
        <v>3200</v>
      </c>
      <c r="M622">
        <v>32</v>
      </c>
      <c r="N622">
        <v>0</v>
      </c>
      <c r="O622">
        <v>0</v>
      </c>
      <c r="P622">
        <v>0</v>
      </c>
      <c r="Q622">
        <v>5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1960</v>
      </c>
      <c r="AN622" t="str">
        <f t="shared" ref="AN622:AN649" si="135">T("9791190142793")</f>
        <v>9791190142793</v>
      </c>
      <c r="AP622" t="str">
        <f t="shared" ref="AP622:AP653" si="136">T("BL 웹소설 &gt; 현대물")</f>
        <v>BL 웹소설 &gt; 현대물</v>
      </c>
    </row>
    <row r="623" spans="1:43" x14ac:dyDescent="0.4">
      <c r="A623" t="s">
        <v>43</v>
      </c>
      <c r="B623">
        <v>3822000748</v>
      </c>
      <c r="C623">
        <v>3822000827</v>
      </c>
      <c r="D623" t="str">
        <f>T("[연재]왓에버 유 두(whatever you do) 80화")</f>
        <v>[연재]왓에버 유 두(whatever you do) 80화</v>
      </c>
      <c r="E623" t="str">
        <f>T("80")</f>
        <v>80</v>
      </c>
      <c r="F623" t="str">
        <f t="shared" si="133"/>
        <v>원믹</v>
      </c>
      <c r="I623" t="str">
        <f t="shared" si="132"/>
        <v>딥블렌드</v>
      </c>
      <c r="J623" t="str">
        <f t="shared" si="134"/>
        <v>[연재]왓에버 유 두(whatever you do)</v>
      </c>
      <c r="K623">
        <v>100</v>
      </c>
      <c r="L623">
        <v>3200</v>
      </c>
      <c r="M623">
        <v>32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1950</v>
      </c>
      <c r="AN623" t="str">
        <f t="shared" si="135"/>
        <v>9791190142793</v>
      </c>
      <c r="AP623" t="str">
        <f t="shared" si="136"/>
        <v>BL 웹소설 &gt; 현대물</v>
      </c>
    </row>
    <row r="624" spans="1:43" x14ac:dyDescent="0.4">
      <c r="A624" t="s">
        <v>43</v>
      </c>
      <c r="B624">
        <v>3822000748</v>
      </c>
      <c r="C624">
        <v>3822000928</v>
      </c>
      <c r="D624" t="str">
        <f>T("[연재]왓에버 유 두(whatever you do) 124화")</f>
        <v>[연재]왓에버 유 두(whatever you do) 124화</v>
      </c>
      <c r="E624" t="str">
        <f>T("124")</f>
        <v>124</v>
      </c>
      <c r="F624" t="str">
        <f t="shared" si="133"/>
        <v>원믹</v>
      </c>
      <c r="I624" t="str">
        <f t="shared" si="132"/>
        <v>딥블렌드</v>
      </c>
      <c r="J624" t="str">
        <f t="shared" si="134"/>
        <v>[연재]왓에버 유 두(whatever you do)</v>
      </c>
      <c r="K624">
        <v>100</v>
      </c>
      <c r="L624">
        <v>3200</v>
      </c>
      <c r="M624">
        <v>32</v>
      </c>
      <c r="N624">
        <v>0</v>
      </c>
      <c r="O624">
        <v>0</v>
      </c>
      <c r="P624">
        <v>0</v>
      </c>
      <c r="Q624">
        <v>3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1970</v>
      </c>
      <c r="AN624" t="str">
        <f t="shared" si="135"/>
        <v>9791190142793</v>
      </c>
      <c r="AP624" t="str">
        <f t="shared" si="136"/>
        <v>BL 웹소설 &gt; 현대물</v>
      </c>
    </row>
    <row r="625" spans="1:42" x14ac:dyDescent="0.4">
      <c r="A625" t="s">
        <v>43</v>
      </c>
      <c r="B625">
        <v>3822000748</v>
      </c>
      <c r="C625">
        <v>3822000799</v>
      </c>
      <c r="D625" t="str">
        <f>T("[연재]왓에버 유 두(whatever you do) 52화")</f>
        <v>[연재]왓에버 유 두(whatever you do) 52화</v>
      </c>
      <c r="E625" t="str">
        <f>T("52")</f>
        <v>52</v>
      </c>
      <c r="F625" t="str">
        <f t="shared" si="133"/>
        <v>원믹</v>
      </c>
      <c r="I625" t="str">
        <f t="shared" si="132"/>
        <v>딥블렌드</v>
      </c>
      <c r="J625" t="str">
        <f t="shared" si="134"/>
        <v>[연재]왓에버 유 두(whatever you do)</v>
      </c>
      <c r="K625">
        <v>100</v>
      </c>
      <c r="L625">
        <v>3200</v>
      </c>
      <c r="M625">
        <v>32</v>
      </c>
      <c r="N625">
        <v>0</v>
      </c>
      <c r="O625">
        <v>0</v>
      </c>
      <c r="P625">
        <v>0</v>
      </c>
      <c r="Q625">
        <v>1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1970</v>
      </c>
      <c r="AN625" t="str">
        <f t="shared" si="135"/>
        <v>9791190142793</v>
      </c>
      <c r="AP625" t="str">
        <f t="shared" si="136"/>
        <v>BL 웹소설 &gt; 현대물</v>
      </c>
    </row>
    <row r="626" spans="1:42" x14ac:dyDescent="0.4">
      <c r="A626" t="s">
        <v>43</v>
      </c>
      <c r="B626">
        <v>3822000748</v>
      </c>
      <c r="C626">
        <v>3822000871</v>
      </c>
      <c r="D626" t="str">
        <f>T("[연재]왓에버 유 두(whatever you do) 106화")</f>
        <v>[연재]왓에버 유 두(whatever you do) 106화</v>
      </c>
      <c r="E626" t="str">
        <f>T("106")</f>
        <v>106</v>
      </c>
      <c r="F626" t="str">
        <f t="shared" si="133"/>
        <v>원믹</v>
      </c>
      <c r="I626" t="str">
        <f t="shared" si="132"/>
        <v>딥블렌드</v>
      </c>
      <c r="J626" t="str">
        <f t="shared" si="134"/>
        <v>[연재]왓에버 유 두(whatever you do)</v>
      </c>
      <c r="K626">
        <v>100</v>
      </c>
      <c r="L626">
        <v>3100</v>
      </c>
      <c r="M626">
        <v>31</v>
      </c>
      <c r="N626">
        <v>0</v>
      </c>
      <c r="O626">
        <v>0</v>
      </c>
      <c r="P626">
        <v>0</v>
      </c>
      <c r="Q626">
        <v>1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1880</v>
      </c>
      <c r="AN626" t="str">
        <f t="shared" si="135"/>
        <v>9791190142793</v>
      </c>
      <c r="AP626" t="str">
        <f t="shared" si="136"/>
        <v>BL 웹소설 &gt; 현대물</v>
      </c>
    </row>
    <row r="627" spans="1:42" x14ac:dyDescent="0.4">
      <c r="A627" t="s">
        <v>43</v>
      </c>
      <c r="B627">
        <v>3822000748</v>
      </c>
      <c r="C627">
        <v>3822000915</v>
      </c>
      <c r="D627" t="str">
        <f>T("[연재]왓에버 유 두(whatever you do) 116화")</f>
        <v>[연재]왓에버 유 두(whatever you do) 116화</v>
      </c>
      <c r="E627" t="str">
        <f>T("116")</f>
        <v>116</v>
      </c>
      <c r="F627" t="str">
        <f t="shared" si="133"/>
        <v>원믹</v>
      </c>
      <c r="I627" t="str">
        <f t="shared" si="132"/>
        <v>딥블렌드</v>
      </c>
      <c r="J627" t="str">
        <f t="shared" si="134"/>
        <v>[연재]왓에버 유 두(whatever you do)</v>
      </c>
      <c r="K627">
        <v>100</v>
      </c>
      <c r="L627">
        <v>3100</v>
      </c>
      <c r="M627">
        <v>31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1890</v>
      </c>
      <c r="AN627" t="str">
        <f t="shared" si="135"/>
        <v>9791190142793</v>
      </c>
      <c r="AP627" t="str">
        <f t="shared" si="136"/>
        <v>BL 웹소설 &gt; 현대물</v>
      </c>
    </row>
    <row r="628" spans="1:42" x14ac:dyDescent="0.4">
      <c r="A628" t="s">
        <v>43</v>
      </c>
      <c r="B628">
        <v>3822000748</v>
      </c>
      <c r="C628">
        <v>3822000916</v>
      </c>
      <c r="D628" t="str">
        <f>T("[연재]왓에버 유 두(whatever you do) 117화")</f>
        <v>[연재]왓에버 유 두(whatever you do) 117화</v>
      </c>
      <c r="E628" t="str">
        <f>T("117")</f>
        <v>117</v>
      </c>
      <c r="F628" t="str">
        <f t="shared" si="133"/>
        <v>원믹</v>
      </c>
      <c r="I628" t="str">
        <f t="shared" si="132"/>
        <v>딥블렌드</v>
      </c>
      <c r="J628" t="str">
        <f t="shared" si="134"/>
        <v>[연재]왓에버 유 두(whatever you do)</v>
      </c>
      <c r="K628">
        <v>100</v>
      </c>
      <c r="L628">
        <v>3100</v>
      </c>
      <c r="M628">
        <v>31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1900</v>
      </c>
      <c r="AN628" t="str">
        <f t="shared" si="135"/>
        <v>9791190142793</v>
      </c>
      <c r="AP628" t="str">
        <f t="shared" si="136"/>
        <v>BL 웹소설 &gt; 현대물</v>
      </c>
    </row>
    <row r="629" spans="1:42" x14ac:dyDescent="0.4">
      <c r="A629" t="s">
        <v>43</v>
      </c>
      <c r="B629">
        <v>3822000748</v>
      </c>
      <c r="C629">
        <v>3822000873</v>
      </c>
      <c r="D629" t="str">
        <f>T("[연재]왓에버 유 두(whatever you do) 108화")</f>
        <v>[연재]왓에버 유 두(whatever you do) 108화</v>
      </c>
      <c r="E629" t="str">
        <f>T("108")</f>
        <v>108</v>
      </c>
      <c r="F629" t="str">
        <f t="shared" si="133"/>
        <v>원믹</v>
      </c>
      <c r="I629" t="str">
        <f t="shared" si="132"/>
        <v>딥블렌드</v>
      </c>
      <c r="J629" t="str">
        <f t="shared" si="134"/>
        <v>[연재]왓에버 유 두(whatever you do)</v>
      </c>
      <c r="K629">
        <v>100</v>
      </c>
      <c r="L629">
        <v>3100</v>
      </c>
      <c r="M629">
        <v>31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1880</v>
      </c>
      <c r="AN629" t="str">
        <f t="shared" si="135"/>
        <v>9791190142793</v>
      </c>
      <c r="AP629" t="str">
        <f t="shared" si="136"/>
        <v>BL 웹소설 &gt; 현대물</v>
      </c>
    </row>
    <row r="630" spans="1:42" x14ac:dyDescent="0.4">
      <c r="A630" t="s">
        <v>43</v>
      </c>
      <c r="B630">
        <v>3822000748</v>
      </c>
      <c r="C630">
        <v>3822000775</v>
      </c>
      <c r="D630" t="str">
        <f>T("[연재]왓에버 유 두(whatever you do) 28화")</f>
        <v>[연재]왓에버 유 두(whatever you do) 28화</v>
      </c>
      <c r="E630" t="str">
        <f>T("28")</f>
        <v>28</v>
      </c>
      <c r="F630" t="str">
        <f t="shared" si="133"/>
        <v>원믹</v>
      </c>
      <c r="I630" t="str">
        <f t="shared" si="132"/>
        <v>딥블렌드</v>
      </c>
      <c r="J630" t="str">
        <f t="shared" si="134"/>
        <v>[연재]왓에버 유 두(whatever you do)</v>
      </c>
      <c r="K630">
        <v>100</v>
      </c>
      <c r="L630">
        <v>3100</v>
      </c>
      <c r="M630">
        <v>31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1890</v>
      </c>
      <c r="AN630" t="str">
        <f t="shared" si="135"/>
        <v>9791190142793</v>
      </c>
      <c r="AP630" t="str">
        <f t="shared" si="136"/>
        <v>BL 웹소설 &gt; 현대물</v>
      </c>
    </row>
    <row r="631" spans="1:42" x14ac:dyDescent="0.4">
      <c r="A631" t="s">
        <v>43</v>
      </c>
      <c r="B631">
        <v>3822000748</v>
      </c>
      <c r="C631">
        <v>3822000761</v>
      </c>
      <c r="D631" t="str">
        <f>T("[연재]왓에버 유 두(whatever you do) 14화")</f>
        <v>[연재]왓에버 유 두(whatever you do) 14화</v>
      </c>
      <c r="E631" t="str">
        <f>T("14")</f>
        <v>14</v>
      </c>
      <c r="F631" t="str">
        <f t="shared" si="133"/>
        <v>원믹</v>
      </c>
      <c r="I631" t="str">
        <f t="shared" si="132"/>
        <v>딥블렌드</v>
      </c>
      <c r="J631" t="str">
        <f t="shared" si="134"/>
        <v>[연재]왓에버 유 두(whatever you do)</v>
      </c>
      <c r="K631">
        <v>100</v>
      </c>
      <c r="L631">
        <v>3100</v>
      </c>
      <c r="M631">
        <v>31</v>
      </c>
      <c r="N631">
        <v>0</v>
      </c>
      <c r="O631">
        <v>0</v>
      </c>
      <c r="P631">
        <v>0</v>
      </c>
      <c r="Q631">
        <v>2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1890</v>
      </c>
      <c r="AN631" t="str">
        <f t="shared" si="135"/>
        <v>9791190142793</v>
      </c>
      <c r="AP631" t="str">
        <f t="shared" si="136"/>
        <v>BL 웹소설 &gt; 현대물</v>
      </c>
    </row>
    <row r="632" spans="1:42" x14ac:dyDescent="0.4">
      <c r="A632" t="s">
        <v>43</v>
      </c>
      <c r="B632">
        <v>3822000748</v>
      </c>
      <c r="C632">
        <v>3822000762</v>
      </c>
      <c r="D632" t="str">
        <f>T("[연재]왓에버 유 두(whatever you do) 15화")</f>
        <v>[연재]왓에버 유 두(whatever you do) 15화</v>
      </c>
      <c r="E632" t="str">
        <f>T("15")</f>
        <v>15</v>
      </c>
      <c r="F632" t="str">
        <f t="shared" si="133"/>
        <v>원믹</v>
      </c>
      <c r="I632" t="str">
        <f t="shared" si="132"/>
        <v>딥블렌드</v>
      </c>
      <c r="J632" t="str">
        <f t="shared" si="134"/>
        <v>[연재]왓에버 유 두(whatever you do)</v>
      </c>
      <c r="K632">
        <v>100</v>
      </c>
      <c r="L632">
        <v>3100</v>
      </c>
      <c r="M632">
        <v>31</v>
      </c>
      <c r="N632">
        <v>0</v>
      </c>
      <c r="O632">
        <v>0</v>
      </c>
      <c r="P632">
        <v>0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1890</v>
      </c>
      <c r="AN632" t="str">
        <f t="shared" si="135"/>
        <v>9791190142793</v>
      </c>
      <c r="AP632" t="str">
        <f t="shared" si="136"/>
        <v>BL 웹소설 &gt; 현대물</v>
      </c>
    </row>
    <row r="633" spans="1:42" x14ac:dyDescent="0.4">
      <c r="A633" t="s">
        <v>43</v>
      </c>
      <c r="B633">
        <v>3822000748</v>
      </c>
      <c r="C633">
        <v>3822000935</v>
      </c>
      <c r="D633" t="str">
        <f>T("[연재]왓에버 유 두(whatever you do) 131화")</f>
        <v>[연재]왓에버 유 두(whatever you do) 131화</v>
      </c>
      <c r="E633" t="str">
        <f>T("131")</f>
        <v>131</v>
      </c>
      <c r="F633" t="str">
        <f t="shared" si="133"/>
        <v>원믹</v>
      </c>
      <c r="I633" t="str">
        <f t="shared" si="132"/>
        <v>딥블렌드</v>
      </c>
      <c r="J633" t="str">
        <f t="shared" si="134"/>
        <v>[연재]왓에버 유 두(whatever you do)</v>
      </c>
      <c r="K633">
        <v>100</v>
      </c>
      <c r="L633">
        <v>3100</v>
      </c>
      <c r="M633">
        <v>31</v>
      </c>
      <c r="N633">
        <v>0</v>
      </c>
      <c r="O633">
        <v>0</v>
      </c>
      <c r="P633">
        <v>0</v>
      </c>
      <c r="Q633">
        <v>1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1910</v>
      </c>
      <c r="AN633" t="str">
        <f t="shared" si="135"/>
        <v>9791190142793</v>
      </c>
      <c r="AP633" t="str">
        <f t="shared" si="136"/>
        <v>BL 웹소설 &gt; 현대물</v>
      </c>
    </row>
    <row r="634" spans="1:42" x14ac:dyDescent="0.4">
      <c r="A634" t="s">
        <v>43</v>
      </c>
      <c r="B634">
        <v>3822000748</v>
      </c>
      <c r="C634">
        <v>3822000778</v>
      </c>
      <c r="D634" t="str">
        <f>T("[연재]왓에버 유 두(whatever you do) 31화")</f>
        <v>[연재]왓에버 유 두(whatever you do) 31화</v>
      </c>
      <c r="E634" t="str">
        <f>T("31")</f>
        <v>31</v>
      </c>
      <c r="F634" t="str">
        <f t="shared" si="133"/>
        <v>원믹</v>
      </c>
      <c r="I634" t="str">
        <f t="shared" si="132"/>
        <v>딥블렌드</v>
      </c>
      <c r="J634" t="str">
        <f t="shared" si="134"/>
        <v>[연재]왓에버 유 두(whatever you do)</v>
      </c>
      <c r="K634">
        <v>100</v>
      </c>
      <c r="L634">
        <v>3100</v>
      </c>
      <c r="M634">
        <v>31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1890</v>
      </c>
      <c r="AN634" t="str">
        <f t="shared" si="135"/>
        <v>9791190142793</v>
      </c>
      <c r="AP634" t="str">
        <f t="shared" si="136"/>
        <v>BL 웹소설 &gt; 현대물</v>
      </c>
    </row>
    <row r="635" spans="1:42" x14ac:dyDescent="0.4">
      <c r="A635" t="s">
        <v>43</v>
      </c>
      <c r="B635">
        <v>3822000748</v>
      </c>
      <c r="C635">
        <v>3822000878</v>
      </c>
      <c r="D635" t="str">
        <f>T("[연재]왓에버 유 두(whatever you do) 113화")</f>
        <v>[연재]왓에버 유 두(whatever you do) 113화</v>
      </c>
      <c r="E635" t="str">
        <f>T("113")</f>
        <v>113</v>
      </c>
      <c r="F635" t="str">
        <f t="shared" si="133"/>
        <v>원믹</v>
      </c>
      <c r="I635" t="str">
        <f t="shared" si="132"/>
        <v>딥블렌드</v>
      </c>
      <c r="J635" t="str">
        <f t="shared" si="134"/>
        <v>[연재]왓에버 유 두(whatever you do)</v>
      </c>
      <c r="K635">
        <v>100</v>
      </c>
      <c r="L635">
        <v>3100</v>
      </c>
      <c r="M635">
        <v>31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1890</v>
      </c>
      <c r="AN635" t="str">
        <f t="shared" si="135"/>
        <v>9791190142793</v>
      </c>
      <c r="AP635" t="str">
        <f t="shared" si="136"/>
        <v>BL 웹소설 &gt; 현대물</v>
      </c>
    </row>
    <row r="636" spans="1:42" x14ac:dyDescent="0.4">
      <c r="A636" t="s">
        <v>43</v>
      </c>
      <c r="B636">
        <v>3822000748</v>
      </c>
      <c r="C636">
        <v>3822000879</v>
      </c>
      <c r="D636" t="str">
        <f>T("[연재]왓에버 유 두(whatever you do) 114화")</f>
        <v>[연재]왓에버 유 두(whatever you do) 114화</v>
      </c>
      <c r="E636" t="str">
        <f>T("114")</f>
        <v>114</v>
      </c>
      <c r="F636" t="str">
        <f t="shared" si="133"/>
        <v>원믹</v>
      </c>
      <c r="I636" t="str">
        <f t="shared" si="132"/>
        <v>딥블렌드</v>
      </c>
      <c r="J636" t="str">
        <f t="shared" si="134"/>
        <v>[연재]왓에버 유 두(whatever you do)</v>
      </c>
      <c r="K636">
        <v>100</v>
      </c>
      <c r="L636">
        <v>3100</v>
      </c>
      <c r="M636">
        <v>31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1890</v>
      </c>
      <c r="AN636" t="str">
        <f t="shared" si="135"/>
        <v>9791190142793</v>
      </c>
      <c r="AP636" t="str">
        <f t="shared" si="136"/>
        <v>BL 웹소설 &gt; 현대물</v>
      </c>
    </row>
    <row r="637" spans="1:42" x14ac:dyDescent="0.4">
      <c r="A637" t="s">
        <v>43</v>
      </c>
      <c r="B637">
        <v>3822000748</v>
      </c>
      <c r="C637">
        <v>3822000926</v>
      </c>
      <c r="D637" t="str">
        <f>T("[연재]왓에버 유 두(whatever you do) 122화")</f>
        <v>[연재]왓에버 유 두(whatever you do) 122화</v>
      </c>
      <c r="E637" t="str">
        <f>T("122")</f>
        <v>122</v>
      </c>
      <c r="F637" t="str">
        <f t="shared" si="133"/>
        <v>원믹</v>
      </c>
      <c r="I637" t="str">
        <f t="shared" si="132"/>
        <v>딥블렌드</v>
      </c>
      <c r="J637" t="str">
        <f t="shared" si="134"/>
        <v>[연재]왓에버 유 두(whatever you do)</v>
      </c>
      <c r="K637">
        <v>100</v>
      </c>
      <c r="L637">
        <v>3100</v>
      </c>
      <c r="M637">
        <v>31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1900</v>
      </c>
      <c r="AN637" t="str">
        <f t="shared" si="135"/>
        <v>9791190142793</v>
      </c>
      <c r="AP637" t="str">
        <f t="shared" si="136"/>
        <v>BL 웹소설 &gt; 현대물</v>
      </c>
    </row>
    <row r="638" spans="1:42" x14ac:dyDescent="0.4">
      <c r="A638" t="s">
        <v>43</v>
      </c>
      <c r="B638">
        <v>3822000748</v>
      </c>
      <c r="C638">
        <v>3822000771</v>
      </c>
      <c r="D638" t="str">
        <f>T("[연재]왓에버 유 두(whatever you do) 24화")</f>
        <v>[연재]왓에버 유 두(whatever you do) 24화</v>
      </c>
      <c r="E638" t="str">
        <f>T("24")</f>
        <v>24</v>
      </c>
      <c r="F638" t="str">
        <f t="shared" si="133"/>
        <v>원믹</v>
      </c>
      <c r="I638" t="str">
        <f t="shared" si="132"/>
        <v>딥블렌드</v>
      </c>
      <c r="J638" t="str">
        <f t="shared" si="134"/>
        <v>[연재]왓에버 유 두(whatever you do)</v>
      </c>
      <c r="K638">
        <v>100</v>
      </c>
      <c r="L638">
        <v>3100</v>
      </c>
      <c r="M638">
        <v>31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1890</v>
      </c>
      <c r="AN638" t="str">
        <f t="shared" si="135"/>
        <v>9791190142793</v>
      </c>
      <c r="AP638" t="str">
        <f t="shared" si="136"/>
        <v>BL 웹소설 &gt; 현대물</v>
      </c>
    </row>
    <row r="639" spans="1:42" x14ac:dyDescent="0.4">
      <c r="A639" t="s">
        <v>43</v>
      </c>
      <c r="B639">
        <v>3822000748</v>
      </c>
      <c r="C639">
        <v>3822000914</v>
      </c>
      <c r="D639" t="str">
        <f>T("[연재]왓에버 유 두(whatever you do) 115화")</f>
        <v>[연재]왓에버 유 두(whatever you do) 115화</v>
      </c>
      <c r="E639" t="str">
        <f>T("115")</f>
        <v>115</v>
      </c>
      <c r="F639" t="str">
        <f t="shared" si="133"/>
        <v>원믹</v>
      </c>
      <c r="I639" t="str">
        <f t="shared" si="132"/>
        <v>딥블렌드</v>
      </c>
      <c r="J639" t="str">
        <f t="shared" si="134"/>
        <v>[연재]왓에버 유 두(whatever you do)</v>
      </c>
      <c r="K639">
        <v>100</v>
      </c>
      <c r="L639">
        <v>3100</v>
      </c>
      <c r="M639">
        <v>31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1890</v>
      </c>
      <c r="AN639" t="str">
        <f t="shared" si="135"/>
        <v>9791190142793</v>
      </c>
      <c r="AP639" t="str">
        <f t="shared" si="136"/>
        <v>BL 웹소설 &gt; 현대물</v>
      </c>
    </row>
    <row r="640" spans="1:42" x14ac:dyDescent="0.4">
      <c r="A640" t="s">
        <v>43</v>
      </c>
      <c r="B640">
        <v>3822000748</v>
      </c>
      <c r="C640">
        <v>3822000929</v>
      </c>
      <c r="D640" t="str">
        <f>T("[연재]왓에버 유 두(whatever you do) 125화")</f>
        <v>[연재]왓에버 유 두(whatever you do) 125화</v>
      </c>
      <c r="E640" t="str">
        <f>T("125")</f>
        <v>125</v>
      </c>
      <c r="F640" t="str">
        <f t="shared" si="133"/>
        <v>원믹</v>
      </c>
      <c r="I640" t="str">
        <f t="shared" si="132"/>
        <v>딥블렌드</v>
      </c>
      <c r="J640" t="str">
        <f t="shared" si="134"/>
        <v>[연재]왓에버 유 두(whatever you do)</v>
      </c>
      <c r="K640">
        <v>100</v>
      </c>
      <c r="L640">
        <v>3000</v>
      </c>
      <c r="M640">
        <v>30</v>
      </c>
      <c r="N640">
        <v>0</v>
      </c>
      <c r="O640">
        <v>0</v>
      </c>
      <c r="P640">
        <v>0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1840</v>
      </c>
      <c r="AN640" t="str">
        <f t="shared" si="135"/>
        <v>9791190142793</v>
      </c>
      <c r="AP640" t="str">
        <f t="shared" si="136"/>
        <v>BL 웹소설 &gt; 현대물</v>
      </c>
    </row>
    <row r="641" spans="1:43" x14ac:dyDescent="0.4">
      <c r="A641" t="s">
        <v>43</v>
      </c>
      <c r="B641">
        <v>3822000748</v>
      </c>
      <c r="C641">
        <v>3822000930</v>
      </c>
      <c r="D641" t="str">
        <f>T("[연재]왓에버 유 두(whatever you do) 126화")</f>
        <v>[연재]왓에버 유 두(whatever you do) 126화</v>
      </c>
      <c r="E641" t="str">
        <f>T("126")</f>
        <v>126</v>
      </c>
      <c r="F641" t="str">
        <f t="shared" si="133"/>
        <v>원믹</v>
      </c>
      <c r="I641" t="str">
        <f t="shared" si="132"/>
        <v>딥블렌드</v>
      </c>
      <c r="J641" t="str">
        <f t="shared" si="134"/>
        <v>[연재]왓에버 유 두(whatever you do)</v>
      </c>
      <c r="K641">
        <v>100</v>
      </c>
      <c r="L641">
        <v>3000</v>
      </c>
      <c r="M641">
        <v>30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1850</v>
      </c>
      <c r="AN641" t="str">
        <f t="shared" si="135"/>
        <v>9791190142793</v>
      </c>
      <c r="AP641" t="str">
        <f t="shared" si="136"/>
        <v>BL 웹소설 &gt; 현대물</v>
      </c>
    </row>
    <row r="642" spans="1:43" x14ac:dyDescent="0.4">
      <c r="A642" t="s">
        <v>43</v>
      </c>
      <c r="B642">
        <v>3822000748</v>
      </c>
      <c r="C642">
        <v>3822000872</v>
      </c>
      <c r="D642" t="str">
        <f>T("[연재]왓에버 유 두(whatever you do) 107화")</f>
        <v>[연재]왓에버 유 두(whatever you do) 107화</v>
      </c>
      <c r="E642" t="str">
        <f>T("107")</f>
        <v>107</v>
      </c>
      <c r="F642" t="str">
        <f t="shared" si="133"/>
        <v>원믹</v>
      </c>
      <c r="I642" t="str">
        <f t="shared" si="132"/>
        <v>딥블렌드</v>
      </c>
      <c r="J642" t="str">
        <f t="shared" si="134"/>
        <v>[연재]왓에버 유 두(whatever you do)</v>
      </c>
      <c r="K642">
        <v>100</v>
      </c>
      <c r="L642">
        <v>3000</v>
      </c>
      <c r="M642">
        <v>30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1820</v>
      </c>
      <c r="AN642" t="str">
        <f t="shared" si="135"/>
        <v>9791190142793</v>
      </c>
      <c r="AP642" t="str">
        <f t="shared" si="136"/>
        <v>BL 웹소설 &gt; 현대물</v>
      </c>
    </row>
    <row r="643" spans="1:43" x14ac:dyDescent="0.4">
      <c r="A643" t="s">
        <v>43</v>
      </c>
      <c r="B643">
        <v>3822000748</v>
      </c>
      <c r="C643">
        <v>3822000759</v>
      </c>
      <c r="D643" t="str">
        <f>T("[연재]왓에버 유 두(whatever you do) 12화")</f>
        <v>[연재]왓에버 유 두(whatever you do) 12화</v>
      </c>
      <c r="E643" t="str">
        <f>T("12")</f>
        <v>12</v>
      </c>
      <c r="F643" t="str">
        <f t="shared" si="133"/>
        <v>원믹</v>
      </c>
      <c r="I643" t="str">
        <f t="shared" si="132"/>
        <v>딥블렌드</v>
      </c>
      <c r="J643" t="str">
        <f t="shared" si="134"/>
        <v>[연재]왓에버 유 두(whatever you do)</v>
      </c>
      <c r="K643">
        <v>100</v>
      </c>
      <c r="L643">
        <v>3000</v>
      </c>
      <c r="M643">
        <v>30</v>
      </c>
      <c r="N643">
        <v>0</v>
      </c>
      <c r="O643">
        <v>0</v>
      </c>
      <c r="P643">
        <v>0</v>
      </c>
      <c r="Q643">
        <v>1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1830</v>
      </c>
      <c r="AN643" t="str">
        <f t="shared" si="135"/>
        <v>9791190142793</v>
      </c>
      <c r="AP643" t="str">
        <f t="shared" si="136"/>
        <v>BL 웹소설 &gt; 현대물</v>
      </c>
    </row>
    <row r="644" spans="1:43" x14ac:dyDescent="0.4">
      <c r="A644" t="s">
        <v>43</v>
      </c>
      <c r="B644">
        <v>3822000748</v>
      </c>
      <c r="C644">
        <v>3822000931</v>
      </c>
      <c r="D644" t="str">
        <f>T("[연재]왓에버 유 두(whatever you do) 127화")</f>
        <v>[연재]왓에버 유 두(whatever you do) 127화</v>
      </c>
      <c r="E644" t="str">
        <f>T("127")</f>
        <v>127</v>
      </c>
      <c r="F644" t="str">
        <f t="shared" si="133"/>
        <v>원믹</v>
      </c>
      <c r="I644" t="str">
        <f t="shared" si="132"/>
        <v>딥블렌드</v>
      </c>
      <c r="J644" t="str">
        <f t="shared" si="134"/>
        <v>[연재]왓에버 유 두(whatever you do)</v>
      </c>
      <c r="K644">
        <v>100</v>
      </c>
      <c r="L644">
        <v>3000</v>
      </c>
      <c r="M644">
        <v>30</v>
      </c>
      <c r="N644">
        <v>0</v>
      </c>
      <c r="O644">
        <v>0</v>
      </c>
      <c r="P644">
        <v>0</v>
      </c>
      <c r="Q644">
        <v>1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1850</v>
      </c>
      <c r="AN644" t="str">
        <f t="shared" si="135"/>
        <v>9791190142793</v>
      </c>
      <c r="AP644" t="str">
        <f t="shared" si="136"/>
        <v>BL 웹소설 &gt; 현대물</v>
      </c>
    </row>
    <row r="645" spans="1:43" x14ac:dyDescent="0.4">
      <c r="A645" t="s">
        <v>43</v>
      </c>
      <c r="B645">
        <v>3822000748</v>
      </c>
      <c r="C645">
        <v>3822000760</v>
      </c>
      <c r="D645" t="str">
        <f>T("[연재]왓에버 유 두(whatever you do) 13화")</f>
        <v>[연재]왓에버 유 두(whatever you do) 13화</v>
      </c>
      <c r="E645" t="str">
        <f>T("13")</f>
        <v>13</v>
      </c>
      <c r="F645" t="str">
        <f t="shared" si="133"/>
        <v>원믹</v>
      </c>
      <c r="I645" t="str">
        <f t="shared" si="132"/>
        <v>딥블렌드</v>
      </c>
      <c r="J645" t="str">
        <f t="shared" si="134"/>
        <v>[연재]왓에버 유 두(whatever you do)</v>
      </c>
      <c r="K645">
        <v>100</v>
      </c>
      <c r="L645">
        <v>3000</v>
      </c>
      <c r="M645">
        <v>30</v>
      </c>
      <c r="N645">
        <v>0</v>
      </c>
      <c r="O645">
        <v>0</v>
      </c>
      <c r="P645">
        <v>0</v>
      </c>
      <c r="Q645">
        <v>1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1830</v>
      </c>
      <c r="AN645" t="str">
        <f t="shared" si="135"/>
        <v>9791190142793</v>
      </c>
      <c r="AP645" t="str">
        <f t="shared" si="136"/>
        <v>BL 웹소설 &gt; 현대물</v>
      </c>
    </row>
    <row r="646" spans="1:43" x14ac:dyDescent="0.4">
      <c r="A646" t="s">
        <v>43</v>
      </c>
      <c r="B646">
        <v>3822000748</v>
      </c>
      <c r="C646">
        <v>3822000948</v>
      </c>
      <c r="D646" t="str">
        <f>T("[연재]왓에버 유 두(whatever you do) 134화")</f>
        <v>[연재]왓에버 유 두(whatever you do) 134화</v>
      </c>
      <c r="E646" t="str">
        <f>T("134")</f>
        <v>134</v>
      </c>
      <c r="F646" t="str">
        <f t="shared" si="133"/>
        <v>원믹</v>
      </c>
      <c r="I646" t="str">
        <f t="shared" si="132"/>
        <v>딥블렌드</v>
      </c>
      <c r="J646" t="str">
        <f t="shared" si="134"/>
        <v>[연재]왓에버 유 두(whatever you do)</v>
      </c>
      <c r="K646">
        <v>100</v>
      </c>
      <c r="L646">
        <v>3000</v>
      </c>
      <c r="M646">
        <v>30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1850</v>
      </c>
      <c r="AN646" t="str">
        <f t="shared" si="135"/>
        <v>9791190142793</v>
      </c>
      <c r="AP646" t="str">
        <f t="shared" si="136"/>
        <v>BL 웹소설 &gt; 현대물</v>
      </c>
    </row>
    <row r="647" spans="1:43" x14ac:dyDescent="0.4">
      <c r="A647" t="s">
        <v>43</v>
      </c>
      <c r="B647">
        <v>3822000748</v>
      </c>
      <c r="C647">
        <v>3822000962</v>
      </c>
      <c r="D647" t="str">
        <f>T("[연재]왓에버 유 두(whatever you do) 142화")</f>
        <v>[연재]왓에버 유 두(whatever you do) 142화</v>
      </c>
      <c r="E647" t="str">
        <f>T("142")</f>
        <v>142</v>
      </c>
      <c r="F647" t="str">
        <f t="shared" si="133"/>
        <v>원믹</v>
      </c>
      <c r="I647" t="str">
        <f t="shared" si="132"/>
        <v>딥블렌드</v>
      </c>
      <c r="J647" t="str">
        <f t="shared" si="134"/>
        <v>[연재]왓에버 유 두(whatever you do)</v>
      </c>
      <c r="K647">
        <v>100</v>
      </c>
      <c r="L647">
        <v>3000</v>
      </c>
      <c r="M647">
        <v>30</v>
      </c>
      <c r="N647">
        <v>0</v>
      </c>
      <c r="O647">
        <v>0</v>
      </c>
      <c r="P647">
        <v>0</v>
      </c>
      <c r="Q647">
        <v>2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1840</v>
      </c>
      <c r="AN647" t="str">
        <f t="shared" si="135"/>
        <v>9791190142793</v>
      </c>
      <c r="AP647" t="str">
        <f t="shared" si="136"/>
        <v>BL 웹소설 &gt; 현대물</v>
      </c>
    </row>
    <row r="648" spans="1:43" x14ac:dyDescent="0.4">
      <c r="A648" t="s">
        <v>43</v>
      </c>
      <c r="B648">
        <v>3822000748</v>
      </c>
      <c r="C648">
        <v>3822000949</v>
      </c>
      <c r="D648" t="str">
        <f>T("[연재]왓에버 유 두(whatever you do) 135화")</f>
        <v>[연재]왓에버 유 두(whatever you do) 135화</v>
      </c>
      <c r="E648" t="str">
        <f>T("135")</f>
        <v>135</v>
      </c>
      <c r="F648" t="str">
        <f t="shared" si="133"/>
        <v>원믹</v>
      </c>
      <c r="I648" t="str">
        <f t="shared" si="132"/>
        <v>딥블렌드</v>
      </c>
      <c r="J648" t="str">
        <f t="shared" si="134"/>
        <v>[연재]왓에버 유 두(whatever you do)</v>
      </c>
      <c r="K648">
        <v>100</v>
      </c>
      <c r="L648">
        <v>3000</v>
      </c>
      <c r="M648">
        <v>30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1850</v>
      </c>
      <c r="AN648" t="str">
        <f t="shared" si="135"/>
        <v>9791190142793</v>
      </c>
      <c r="AP648" t="str">
        <f t="shared" si="136"/>
        <v>BL 웹소설 &gt; 현대물</v>
      </c>
    </row>
    <row r="649" spans="1:43" x14ac:dyDescent="0.4">
      <c r="A649" t="s">
        <v>43</v>
      </c>
      <c r="B649">
        <v>3822000748</v>
      </c>
      <c r="C649">
        <v>3822000877</v>
      </c>
      <c r="D649" t="str">
        <f>T("[연재]왓에버 유 두(whatever you do) 112화")</f>
        <v>[연재]왓에버 유 두(whatever you do) 112화</v>
      </c>
      <c r="E649" t="str">
        <f>T("112")</f>
        <v>112</v>
      </c>
      <c r="F649" t="str">
        <f t="shared" si="133"/>
        <v>원믹</v>
      </c>
      <c r="I649" t="str">
        <f t="shared" si="132"/>
        <v>딥블렌드</v>
      </c>
      <c r="J649" t="str">
        <f t="shared" si="134"/>
        <v>[연재]왓에버 유 두(whatever you do)</v>
      </c>
      <c r="K649">
        <v>100</v>
      </c>
      <c r="L649">
        <v>3000</v>
      </c>
      <c r="M649">
        <v>30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1830</v>
      </c>
      <c r="AN649" t="str">
        <f t="shared" si="135"/>
        <v>9791190142793</v>
      </c>
      <c r="AP649" t="str">
        <f t="shared" si="136"/>
        <v>BL 웹소설 &gt; 현대물</v>
      </c>
    </row>
    <row r="650" spans="1:43" x14ac:dyDescent="0.4">
      <c r="A650" t="s">
        <v>43</v>
      </c>
      <c r="B650">
        <v>3822000035</v>
      </c>
      <c r="C650">
        <v>3822000053</v>
      </c>
      <c r="D650" t="str">
        <f>T("[연재]어비스(Abyss) 19화")</f>
        <v>[연재]어비스(Abyss) 19화</v>
      </c>
      <c r="E650" t="str">
        <f>T("19")</f>
        <v>19</v>
      </c>
      <c r="F650" t="str">
        <f>T("퀸에이")</f>
        <v>퀸에이</v>
      </c>
      <c r="I650" t="str">
        <f t="shared" si="132"/>
        <v>딥블렌드</v>
      </c>
      <c r="J650" t="str">
        <f>T("[연재]어비스(Abyss)")</f>
        <v>[연재]어비스(Abyss)</v>
      </c>
      <c r="K650">
        <v>100</v>
      </c>
      <c r="L650">
        <v>3000</v>
      </c>
      <c r="M650">
        <v>30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1800</v>
      </c>
      <c r="AN650" t="str">
        <f>T("9791190142366")</f>
        <v>9791190142366</v>
      </c>
      <c r="AP650" t="str">
        <f t="shared" si="136"/>
        <v>BL 웹소설 &gt; 현대물</v>
      </c>
      <c r="AQ650" t="str">
        <f>T("BL 웹소설 &gt; 판타지물")</f>
        <v>BL 웹소설 &gt; 판타지물</v>
      </c>
    </row>
    <row r="651" spans="1:43" x14ac:dyDescent="0.4">
      <c r="A651" t="s">
        <v>43</v>
      </c>
      <c r="B651">
        <v>3822000035</v>
      </c>
      <c r="C651">
        <v>3822000054</v>
      </c>
      <c r="D651" t="str">
        <f>T("[연재]어비스(Abyss) 20화")</f>
        <v>[연재]어비스(Abyss) 20화</v>
      </c>
      <c r="E651" t="str">
        <f>T("20")</f>
        <v>20</v>
      </c>
      <c r="F651" t="str">
        <f>T("퀸에이")</f>
        <v>퀸에이</v>
      </c>
      <c r="I651" t="str">
        <f t="shared" si="132"/>
        <v>딥블렌드</v>
      </c>
      <c r="J651" t="str">
        <f>T("[연재]어비스(Abyss)")</f>
        <v>[연재]어비스(Abyss)</v>
      </c>
      <c r="K651">
        <v>100</v>
      </c>
      <c r="L651">
        <v>3000</v>
      </c>
      <c r="M651">
        <v>30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1800</v>
      </c>
      <c r="AN651" t="str">
        <f>T("9791190142366")</f>
        <v>9791190142366</v>
      </c>
      <c r="AP651" t="str">
        <f t="shared" si="136"/>
        <v>BL 웹소설 &gt; 현대물</v>
      </c>
      <c r="AQ651" t="str">
        <f>T("BL 웹소설 &gt; 판타지물")</f>
        <v>BL 웹소설 &gt; 판타지물</v>
      </c>
    </row>
    <row r="652" spans="1:43" x14ac:dyDescent="0.4">
      <c r="A652" t="s">
        <v>43</v>
      </c>
      <c r="B652">
        <v>3822000035</v>
      </c>
      <c r="C652">
        <v>3822000055</v>
      </c>
      <c r="D652" t="str">
        <f>T("[연재]어비스(Abyss) 21화")</f>
        <v>[연재]어비스(Abyss) 21화</v>
      </c>
      <c r="E652" t="str">
        <f>T("21")</f>
        <v>21</v>
      </c>
      <c r="F652" t="str">
        <f>T("퀸에이")</f>
        <v>퀸에이</v>
      </c>
      <c r="I652" t="str">
        <f t="shared" si="132"/>
        <v>딥블렌드</v>
      </c>
      <c r="J652" t="str">
        <f>T("[연재]어비스(Abyss)")</f>
        <v>[연재]어비스(Abyss)</v>
      </c>
      <c r="K652">
        <v>100</v>
      </c>
      <c r="L652">
        <v>3000</v>
      </c>
      <c r="M652">
        <v>30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1800</v>
      </c>
      <c r="AN652" t="str">
        <f>T("9791190142366")</f>
        <v>9791190142366</v>
      </c>
      <c r="AP652" t="str">
        <f t="shared" si="136"/>
        <v>BL 웹소설 &gt; 현대물</v>
      </c>
      <c r="AQ652" t="str">
        <f>T("BL 웹소설 &gt; 판타지물")</f>
        <v>BL 웹소설 &gt; 판타지물</v>
      </c>
    </row>
    <row r="653" spans="1:43" x14ac:dyDescent="0.4">
      <c r="A653" t="s">
        <v>43</v>
      </c>
      <c r="B653">
        <v>3822000035</v>
      </c>
      <c r="C653">
        <v>3822000738</v>
      </c>
      <c r="D653" t="str">
        <f>T("[연재]어비스(Abyss) 120화 (완결)")</f>
        <v>[연재]어비스(Abyss) 120화 (완결)</v>
      </c>
      <c r="E653" t="str">
        <f>T("120")</f>
        <v>120</v>
      </c>
      <c r="F653" t="str">
        <f>T("퀸에이")</f>
        <v>퀸에이</v>
      </c>
      <c r="I653" t="str">
        <f t="shared" si="132"/>
        <v>딥블렌드</v>
      </c>
      <c r="J653" t="str">
        <f>T("[연재]어비스(Abyss)")</f>
        <v>[연재]어비스(Abyss)</v>
      </c>
      <c r="K653">
        <v>100</v>
      </c>
      <c r="L653">
        <v>3000</v>
      </c>
      <c r="M653">
        <v>30</v>
      </c>
      <c r="N653">
        <v>0</v>
      </c>
      <c r="O653">
        <v>0</v>
      </c>
      <c r="P653">
        <v>0</v>
      </c>
      <c r="Q653">
        <v>3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1800</v>
      </c>
      <c r="AN653" t="str">
        <f>T("9791190142366")</f>
        <v>9791190142366</v>
      </c>
      <c r="AP653" t="str">
        <f t="shared" si="136"/>
        <v>BL 웹소설 &gt; 현대물</v>
      </c>
      <c r="AQ653" t="str">
        <f>T("BL 웹소설 &gt; 판타지물")</f>
        <v>BL 웹소설 &gt; 판타지물</v>
      </c>
    </row>
    <row r="654" spans="1:43" x14ac:dyDescent="0.4">
      <c r="A654" t="s">
        <v>43</v>
      </c>
      <c r="B654">
        <v>3822000748</v>
      </c>
      <c r="C654">
        <v>3822000781</v>
      </c>
      <c r="D654" t="str">
        <f>T("[연재]왓에버 유 두(whatever you do) 34화")</f>
        <v>[연재]왓에버 유 두(whatever you do) 34화</v>
      </c>
      <c r="E654" t="str">
        <f>T("34")</f>
        <v>34</v>
      </c>
      <c r="F654" t="str">
        <f t="shared" ref="F654:F680" si="137">T("원믹")</f>
        <v>원믹</v>
      </c>
      <c r="I654" t="str">
        <f t="shared" si="132"/>
        <v>딥블렌드</v>
      </c>
      <c r="J654" t="str">
        <f t="shared" ref="J654:J680" si="138">T("[연재]왓에버 유 두(whatever you do)")</f>
        <v>[연재]왓에버 유 두(whatever you do)</v>
      </c>
      <c r="K654">
        <v>100</v>
      </c>
      <c r="L654">
        <v>3000</v>
      </c>
      <c r="M654">
        <v>30</v>
      </c>
      <c r="N654">
        <v>0</v>
      </c>
      <c r="O654">
        <v>0</v>
      </c>
      <c r="P654">
        <v>0</v>
      </c>
      <c r="Q654">
        <v>1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1850</v>
      </c>
      <c r="AN654" t="str">
        <f t="shared" ref="AN654:AN680" si="139">T("9791190142793")</f>
        <v>9791190142793</v>
      </c>
      <c r="AP654" t="str">
        <f t="shared" ref="AP654:AP687" si="140">T("BL 웹소설 &gt; 현대물")</f>
        <v>BL 웹소설 &gt; 현대물</v>
      </c>
    </row>
    <row r="655" spans="1:43" x14ac:dyDescent="0.4">
      <c r="A655" t="s">
        <v>43</v>
      </c>
      <c r="B655">
        <v>3822000748</v>
      </c>
      <c r="C655">
        <v>3822000782</v>
      </c>
      <c r="D655" t="str">
        <f>T("[연재]왓에버 유 두(whatever you do) 35화")</f>
        <v>[연재]왓에버 유 두(whatever you do) 35화</v>
      </c>
      <c r="E655" t="str">
        <f>T("35")</f>
        <v>35</v>
      </c>
      <c r="F655" t="str">
        <f t="shared" si="137"/>
        <v>원믹</v>
      </c>
      <c r="I655" t="str">
        <f t="shared" si="132"/>
        <v>딥블렌드</v>
      </c>
      <c r="J655" t="str">
        <f t="shared" si="138"/>
        <v>[연재]왓에버 유 두(whatever you do)</v>
      </c>
      <c r="K655">
        <v>100</v>
      </c>
      <c r="L655">
        <v>3000</v>
      </c>
      <c r="M655">
        <v>30</v>
      </c>
      <c r="N655">
        <v>0</v>
      </c>
      <c r="O655">
        <v>0</v>
      </c>
      <c r="P655">
        <v>0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1850</v>
      </c>
      <c r="AN655" t="str">
        <f t="shared" si="139"/>
        <v>9791190142793</v>
      </c>
      <c r="AP655" t="str">
        <f t="shared" si="140"/>
        <v>BL 웹소설 &gt; 현대물</v>
      </c>
    </row>
    <row r="656" spans="1:43" x14ac:dyDescent="0.4">
      <c r="A656" t="s">
        <v>43</v>
      </c>
      <c r="B656">
        <v>3822000748</v>
      </c>
      <c r="C656">
        <v>3822000783</v>
      </c>
      <c r="D656" t="str">
        <f>T("[연재]왓에버 유 두(whatever you do) 36화")</f>
        <v>[연재]왓에버 유 두(whatever you do) 36화</v>
      </c>
      <c r="E656" t="str">
        <f>T("36")</f>
        <v>36</v>
      </c>
      <c r="F656" t="str">
        <f t="shared" si="137"/>
        <v>원믹</v>
      </c>
      <c r="I656" t="str">
        <f t="shared" si="132"/>
        <v>딥블렌드</v>
      </c>
      <c r="J656" t="str">
        <f t="shared" si="138"/>
        <v>[연재]왓에버 유 두(whatever you do)</v>
      </c>
      <c r="K656">
        <v>100</v>
      </c>
      <c r="L656">
        <v>3000</v>
      </c>
      <c r="M656">
        <v>30</v>
      </c>
      <c r="N656">
        <v>0</v>
      </c>
      <c r="O656">
        <v>0</v>
      </c>
      <c r="P656">
        <v>0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1850</v>
      </c>
      <c r="AN656" t="str">
        <f t="shared" si="139"/>
        <v>9791190142793</v>
      </c>
      <c r="AP656" t="str">
        <f t="shared" si="140"/>
        <v>BL 웹소설 &gt; 현대물</v>
      </c>
    </row>
    <row r="657" spans="1:42" x14ac:dyDescent="0.4">
      <c r="A657" t="s">
        <v>43</v>
      </c>
      <c r="B657">
        <v>3822000748</v>
      </c>
      <c r="C657">
        <v>3822000869</v>
      </c>
      <c r="D657" t="str">
        <f>T("[연재]왓에버 유 두(whatever you do) 104화")</f>
        <v>[연재]왓에버 유 두(whatever you do) 104화</v>
      </c>
      <c r="E657" t="str">
        <f>T("104")</f>
        <v>104</v>
      </c>
      <c r="F657" t="str">
        <f t="shared" si="137"/>
        <v>원믹</v>
      </c>
      <c r="I657" t="str">
        <f t="shared" si="132"/>
        <v>딥블렌드</v>
      </c>
      <c r="J657" t="str">
        <f t="shared" si="138"/>
        <v>[연재]왓에버 유 두(whatever you do)</v>
      </c>
      <c r="K657">
        <v>100</v>
      </c>
      <c r="L657">
        <v>3000</v>
      </c>
      <c r="M657">
        <v>30</v>
      </c>
      <c r="N657">
        <v>0</v>
      </c>
      <c r="O657">
        <v>0</v>
      </c>
      <c r="P657">
        <v>0</v>
      </c>
      <c r="Q657">
        <v>1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1820</v>
      </c>
      <c r="AN657" t="str">
        <f t="shared" si="139"/>
        <v>9791190142793</v>
      </c>
      <c r="AP657" t="str">
        <f t="shared" si="140"/>
        <v>BL 웹소설 &gt; 현대물</v>
      </c>
    </row>
    <row r="658" spans="1:42" x14ac:dyDescent="0.4">
      <c r="A658" t="s">
        <v>43</v>
      </c>
      <c r="B658">
        <v>3822000748</v>
      </c>
      <c r="C658">
        <v>3822000756</v>
      </c>
      <c r="D658" t="str">
        <f>T("[연재]왓에버 유 두(whatever you do) 9화")</f>
        <v>[연재]왓에버 유 두(whatever you do) 9화</v>
      </c>
      <c r="E658" t="str">
        <f>T("9")</f>
        <v>9</v>
      </c>
      <c r="F658" t="str">
        <f t="shared" si="137"/>
        <v>원믹</v>
      </c>
      <c r="I658" t="str">
        <f t="shared" si="132"/>
        <v>딥블렌드</v>
      </c>
      <c r="J658" t="str">
        <f t="shared" si="138"/>
        <v>[연재]왓에버 유 두(whatever you do)</v>
      </c>
      <c r="K658">
        <v>100</v>
      </c>
      <c r="L658">
        <v>3000</v>
      </c>
      <c r="M658">
        <v>30</v>
      </c>
      <c r="N658">
        <v>0</v>
      </c>
      <c r="O658">
        <v>0</v>
      </c>
      <c r="P658">
        <v>0</v>
      </c>
      <c r="Q658">
        <v>6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1830</v>
      </c>
      <c r="AN658" t="str">
        <f t="shared" si="139"/>
        <v>9791190142793</v>
      </c>
      <c r="AP658" t="str">
        <f t="shared" si="140"/>
        <v>BL 웹소설 &gt; 현대물</v>
      </c>
    </row>
    <row r="659" spans="1:42" x14ac:dyDescent="0.4">
      <c r="A659" t="s">
        <v>43</v>
      </c>
      <c r="B659">
        <v>3822000748</v>
      </c>
      <c r="C659">
        <v>3822000798</v>
      </c>
      <c r="D659" t="str">
        <f>T("[연재]왓에버 유 두(whatever you do) 51화")</f>
        <v>[연재]왓에버 유 두(whatever you do) 51화</v>
      </c>
      <c r="E659" t="str">
        <f>T("51")</f>
        <v>51</v>
      </c>
      <c r="F659" t="str">
        <f t="shared" si="137"/>
        <v>원믹</v>
      </c>
      <c r="I659" t="str">
        <f t="shared" si="132"/>
        <v>딥블렌드</v>
      </c>
      <c r="J659" t="str">
        <f t="shared" si="138"/>
        <v>[연재]왓에버 유 두(whatever you do)</v>
      </c>
      <c r="K659">
        <v>100</v>
      </c>
      <c r="L659">
        <v>3000</v>
      </c>
      <c r="M659">
        <v>30</v>
      </c>
      <c r="N659">
        <v>0</v>
      </c>
      <c r="O659">
        <v>0</v>
      </c>
      <c r="P659">
        <v>0</v>
      </c>
      <c r="Q659">
        <v>1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1840</v>
      </c>
      <c r="AN659" t="str">
        <f t="shared" si="139"/>
        <v>9791190142793</v>
      </c>
      <c r="AP659" t="str">
        <f t="shared" si="140"/>
        <v>BL 웹소설 &gt; 현대물</v>
      </c>
    </row>
    <row r="660" spans="1:42" x14ac:dyDescent="0.4">
      <c r="A660" t="s">
        <v>43</v>
      </c>
      <c r="B660">
        <v>3822000748</v>
      </c>
      <c r="C660">
        <v>3822000956</v>
      </c>
      <c r="D660" t="str">
        <f>T("[연재]왓에버 유 두(whatever you do) 137화")</f>
        <v>[연재]왓에버 유 두(whatever you do) 137화</v>
      </c>
      <c r="E660" t="str">
        <f>T("137")</f>
        <v>137</v>
      </c>
      <c r="F660" t="str">
        <f t="shared" si="137"/>
        <v>원믹</v>
      </c>
      <c r="I660" t="str">
        <f t="shared" si="132"/>
        <v>딥블렌드</v>
      </c>
      <c r="J660" t="str">
        <f t="shared" si="138"/>
        <v>[연재]왓에버 유 두(whatever you do)</v>
      </c>
      <c r="K660">
        <v>100</v>
      </c>
      <c r="L660">
        <v>3000</v>
      </c>
      <c r="M660">
        <v>30</v>
      </c>
      <c r="N660">
        <v>0</v>
      </c>
      <c r="O660">
        <v>0</v>
      </c>
      <c r="P660">
        <v>0</v>
      </c>
      <c r="Q660">
        <v>1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1840</v>
      </c>
      <c r="AN660" t="str">
        <f t="shared" si="139"/>
        <v>9791190142793</v>
      </c>
      <c r="AP660" t="str">
        <f t="shared" si="140"/>
        <v>BL 웹소설 &gt; 현대물</v>
      </c>
    </row>
    <row r="661" spans="1:42" x14ac:dyDescent="0.4">
      <c r="A661" t="s">
        <v>43</v>
      </c>
      <c r="B661">
        <v>3822000748</v>
      </c>
      <c r="C661">
        <v>3822000785</v>
      </c>
      <c r="D661" t="str">
        <f>T("[연재]왓에버 유 두(whatever you do) 38화")</f>
        <v>[연재]왓에버 유 두(whatever you do) 38화</v>
      </c>
      <c r="E661" t="str">
        <f>T("38")</f>
        <v>38</v>
      </c>
      <c r="F661" t="str">
        <f t="shared" si="137"/>
        <v>원믹</v>
      </c>
      <c r="I661" t="str">
        <f t="shared" si="132"/>
        <v>딥블렌드</v>
      </c>
      <c r="J661" t="str">
        <f t="shared" si="138"/>
        <v>[연재]왓에버 유 두(whatever you do)</v>
      </c>
      <c r="K661">
        <v>100</v>
      </c>
      <c r="L661">
        <v>3000</v>
      </c>
      <c r="M661">
        <v>30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1850</v>
      </c>
      <c r="AN661" t="str">
        <f t="shared" si="139"/>
        <v>9791190142793</v>
      </c>
      <c r="AP661" t="str">
        <f t="shared" si="140"/>
        <v>BL 웹소설 &gt; 현대물</v>
      </c>
    </row>
    <row r="662" spans="1:42" x14ac:dyDescent="0.4">
      <c r="A662" t="s">
        <v>43</v>
      </c>
      <c r="B662">
        <v>3822000748</v>
      </c>
      <c r="C662">
        <v>3822000870</v>
      </c>
      <c r="D662" t="str">
        <f>T("[연재]왓에버 유 두(whatever you do) 105화")</f>
        <v>[연재]왓에버 유 두(whatever you do) 105화</v>
      </c>
      <c r="E662" t="str">
        <f>T("105")</f>
        <v>105</v>
      </c>
      <c r="F662" t="str">
        <f t="shared" si="137"/>
        <v>원믹</v>
      </c>
      <c r="I662" t="str">
        <f t="shared" si="132"/>
        <v>딥블렌드</v>
      </c>
      <c r="J662" t="str">
        <f t="shared" si="138"/>
        <v>[연재]왓에버 유 두(whatever you do)</v>
      </c>
      <c r="K662">
        <v>100</v>
      </c>
      <c r="L662">
        <v>3000</v>
      </c>
      <c r="M662">
        <v>30</v>
      </c>
      <c r="N662">
        <v>0</v>
      </c>
      <c r="O662">
        <v>0</v>
      </c>
      <c r="P662">
        <v>0</v>
      </c>
      <c r="Q662">
        <v>1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1820</v>
      </c>
      <c r="AN662" t="str">
        <f t="shared" si="139"/>
        <v>9791190142793</v>
      </c>
      <c r="AP662" t="str">
        <f t="shared" si="140"/>
        <v>BL 웹소설 &gt; 현대물</v>
      </c>
    </row>
    <row r="663" spans="1:42" x14ac:dyDescent="0.4">
      <c r="A663" t="s">
        <v>43</v>
      </c>
      <c r="B663">
        <v>3822000748</v>
      </c>
      <c r="C663">
        <v>3822000957</v>
      </c>
      <c r="D663" t="str">
        <f>T("[연재]왓에버 유 두(whatever you do) 138화")</f>
        <v>[연재]왓에버 유 두(whatever you do) 138화</v>
      </c>
      <c r="E663" t="str">
        <f>T("138")</f>
        <v>138</v>
      </c>
      <c r="F663" t="str">
        <f t="shared" si="137"/>
        <v>원믹</v>
      </c>
      <c r="I663" t="str">
        <f t="shared" si="132"/>
        <v>딥블렌드</v>
      </c>
      <c r="J663" t="str">
        <f t="shared" si="138"/>
        <v>[연재]왓에버 유 두(whatever you do)</v>
      </c>
      <c r="K663">
        <v>100</v>
      </c>
      <c r="L663">
        <v>3000</v>
      </c>
      <c r="M663">
        <v>30</v>
      </c>
      <c r="N663">
        <v>0</v>
      </c>
      <c r="O663">
        <v>0</v>
      </c>
      <c r="P663">
        <v>0</v>
      </c>
      <c r="Q663">
        <v>1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1840</v>
      </c>
      <c r="AN663" t="str">
        <f t="shared" si="139"/>
        <v>9791190142793</v>
      </c>
      <c r="AP663" t="str">
        <f t="shared" si="140"/>
        <v>BL 웹소설 &gt; 현대물</v>
      </c>
    </row>
    <row r="664" spans="1:42" x14ac:dyDescent="0.4">
      <c r="A664" t="s">
        <v>43</v>
      </c>
      <c r="B664">
        <v>3822000748</v>
      </c>
      <c r="C664">
        <v>3822000758</v>
      </c>
      <c r="D664" t="str">
        <f>T("[연재]왓에버 유 두(whatever you do) 11화")</f>
        <v>[연재]왓에버 유 두(whatever you do) 11화</v>
      </c>
      <c r="E664" t="str">
        <f>T("11")</f>
        <v>11</v>
      </c>
      <c r="F664" t="str">
        <f t="shared" si="137"/>
        <v>원믹</v>
      </c>
      <c r="I664" t="str">
        <f t="shared" si="132"/>
        <v>딥블렌드</v>
      </c>
      <c r="J664" t="str">
        <f t="shared" si="138"/>
        <v>[연재]왓에버 유 두(whatever you do)</v>
      </c>
      <c r="K664">
        <v>100</v>
      </c>
      <c r="L664">
        <v>2900</v>
      </c>
      <c r="M664">
        <v>29</v>
      </c>
      <c r="N664">
        <v>0</v>
      </c>
      <c r="O664">
        <v>0</v>
      </c>
      <c r="P664">
        <v>0</v>
      </c>
      <c r="Q664">
        <v>5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1770</v>
      </c>
      <c r="AN664" t="str">
        <f t="shared" si="139"/>
        <v>9791190142793</v>
      </c>
      <c r="AP664" t="str">
        <f t="shared" si="140"/>
        <v>BL 웹소설 &gt; 현대물</v>
      </c>
    </row>
    <row r="665" spans="1:42" x14ac:dyDescent="0.4">
      <c r="A665" t="s">
        <v>43</v>
      </c>
      <c r="B665">
        <v>3822000748</v>
      </c>
      <c r="C665">
        <v>3822000787</v>
      </c>
      <c r="D665" t="str">
        <f>T("[연재]왓에버 유 두(whatever you do) 40화")</f>
        <v>[연재]왓에버 유 두(whatever you do) 40화</v>
      </c>
      <c r="E665" t="str">
        <f>T("40")</f>
        <v>40</v>
      </c>
      <c r="F665" t="str">
        <f t="shared" si="137"/>
        <v>원믹</v>
      </c>
      <c r="I665" t="str">
        <f t="shared" si="132"/>
        <v>딥블렌드</v>
      </c>
      <c r="J665" t="str">
        <f t="shared" si="138"/>
        <v>[연재]왓에버 유 두(whatever you do)</v>
      </c>
      <c r="K665">
        <v>100</v>
      </c>
      <c r="L665">
        <v>2900</v>
      </c>
      <c r="M665">
        <v>29</v>
      </c>
      <c r="N665">
        <v>0</v>
      </c>
      <c r="O665">
        <v>0</v>
      </c>
      <c r="P665">
        <v>0</v>
      </c>
      <c r="Q665">
        <v>1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1780</v>
      </c>
      <c r="AN665" t="str">
        <f t="shared" si="139"/>
        <v>9791190142793</v>
      </c>
      <c r="AP665" t="str">
        <f t="shared" si="140"/>
        <v>BL 웹소설 &gt; 현대물</v>
      </c>
    </row>
    <row r="666" spans="1:42" x14ac:dyDescent="0.4">
      <c r="A666" t="s">
        <v>43</v>
      </c>
      <c r="B666">
        <v>3822000748</v>
      </c>
      <c r="C666">
        <v>3822000959</v>
      </c>
      <c r="D666" t="str">
        <f>T("[연재]왓에버 유 두(whatever you do) 139화")</f>
        <v>[연재]왓에버 유 두(whatever you do) 139화</v>
      </c>
      <c r="E666" t="str">
        <f>T("139")</f>
        <v>139</v>
      </c>
      <c r="F666" t="str">
        <f t="shared" si="137"/>
        <v>원믹</v>
      </c>
      <c r="I666" t="str">
        <f t="shared" si="132"/>
        <v>딥블렌드</v>
      </c>
      <c r="J666" t="str">
        <f t="shared" si="138"/>
        <v>[연재]왓에버 유 두(whatever you do)</v>
      </c>
      <c r="K666">
        <v>100</v>
      </c>
      <c r="L666">
        <v>2900</v>
      </c>
      <c r="M666">
        <v>29</v>
      </c>
      <c r="N666">
        <v>0</v>
      </c>
      <c r="O666">
        <v>0</v>
      </c>
      <c r="P666">
        <v>0</v>
      </c>
      <c r="Q666">
        <v>2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1780</v>
      </c>
      <c r="AN666" t="str">
        <f t="shared" si="139"/>
        <v>9791190142793</v>
      </c>
      <c r="AP666" t="str">
        <f t="shared" si="140"/>
        <v>BL 웹소설 &gt; 현대물</v>
      </c>
    </row>
    <row r="667" spans="1:42" x14ac:dyDescent="0.4">
      <c r="A667" t="s">
        <v>43</v>
      </c>
      <c r="B667">
        <v>3822000748</v>
      </c>
      <c r="C667">
        <v>3822000788</v>
      </c>
      <c r="D667" t="str">
        <f>T("[연재]왓에버 유 두(whatever you do) 41화")</f>
        <v>[연재]왓에버 유 두(whatever you do) 41화</v>
      </c>
      <c r="E667" t="str">
        <f>T("41")</f>
        <v>41</v>
      </c>
      <c r="F667" t="str">
        <f t="shared" si="137"/>
        <v>원믹</v>
      </c>
      <c r="I667" t="str">
        <f t="shared" si="132"/>
        <v>딥블렌드</v>
      </c>
      <c r="J667" t="str">
        <f t="shared" si="138"/>
        <v>[연재]왓에버 유 두(whatever you do)</v>
      </c>
      <c r="K667">
        <v>100</v>
      </c>
      <c r="L667">
        <v>2900</v>
      </c>
      <c r="M667">
        <v>29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1780</v>
      </c>
      <c r="AN667" t="str">
        <f t="shared" si="139"/>
        <v>9791190142793</v>
      </c>
      <c r="AP667" t="str">
        <f t="shared" si="140"/>
        <v>BL 웹소설 &gt; 현대물</v>
      </c>
    </row>
    <row r="668" spans="1:42" x14ac:dyDescent="0.4">
      <c r="A668" t="s">
        <v>43</v>
      </c>
      <c r="B668">
        <v>3822000748</v>
      </c>
      <c r="C668">
        <v>3822000946</v>
      </c>
      <c r="D668" t="str">
        <f>T("[연재]왓에버 유 두(whatever you do) 132화")</f>
        <v>[연재]왓에버 유 두(whatever you do) 132화</v>
      </c>
      <c r="E668" t="str">
        <f>T("132")</f>
        <v>132</v>
      </c>
      <c r="F668" t="str">
        <f t="shared" si="137"/>
        <v>원믹</v>
      </c>
      <c r="I668" t="str">
        <f t="shared" si="132"/>
        <v>딥블렌드</v>
      </c>
      <c r="J668" t="str">
        <f t="shared" si="138"/>
        <v>[연재]왓에버 유 두(whatever you do)</v>
      </c>
      <c r="K668">
        <v>100</v>
      </c>
      <c r="L668">
        <v>2900</v>
      </c>
      <c r="M668">
        <v>29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1780</v>
      </c>
      <c r="AN668" t="str">
        <f t="shared" si="139"/>
        <v>9791190142793</v>
      </c>
      <c r="AP668" t="str">
        <f t="shared" si="140"/>
        <v>BL 웹소설 &gt; 현대물</v>
      </c>
    </row>
    <row r="669" spans="1:42" x14ac:dyDescent="0.4">
      <c r="A669" t="s">
        <v>43</v>
      </c>
      <c r="B669">
        <v>3822000748</v>
      </c>
      <c r="C669">
        <v>3822000874</v>
      </c>
      <c r="D669" t="str">
        <f>T("[연재]왓에버 유 두(whatever you do) 109화")</f>
        <v>[연재]왓에버 유 두(whatever you do) 109화</v>
      </c>
      <c r="E669" t="str">
        <f>T("109")</f>
        <v>109</v>
      </c>
      <c r="F669" t="str">
        <f t="shared" si="137"/>
        <v>원믹</v>
      </c>
      <c r="I669" t="str">
        <f t="shared" si="132"/>
        <v>딥블렌드</v>
      </c>
      <c r="J669" t="str">
        <f t="shared" si="138"/>
        <v>[연재]왓에버 유 두(whatever you do)</v>
      </c>
      <c r="K669">
        <v>100</v>
      </c>
      <c r="L669">
        <v>2900</v>
      </c>
      <c r="M669">
        <v>29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1760</v>
      </c>
      <c r="AN669" t="str">
        <f t="shared" si="139"/>
        <v>9791190142793</v>
      </c>
      <c r="AP669" t="str">
        <f t="shared" si="140"/>
        <v>BL 웹소설 &gt; 현대물</v>
      </c>
    </row>
    <row r="670" spans="1:42" x14ac:dyDescent="0.4">
      <c r="A670" t="s">
        <v>43</v>
      </c>
      <c r="B670">
        <v>3822000748</v>
      </c>
      <c r="C670">
        <v>3822000789</v>
      </c>
      <c r="D670" t="str">
        <f>T("[연재]왓에버 유 두(whatever you do) 42화")</f>
        <v>[연재]왓에버 유 두(whatever you do) 42화</v>
      </c>
      <c r="E670" t="str">
        <f>T("42")</f>
        <v>42</v>
      </c>
      <c r="F670" t="str">
        <f t="shared" si="137"/>
        <v>원믹</v>
      </c>
      <c r="I670" t="str">
        <f t="shared" si="132"/>
        <v>딥블렌드</v>
      </c>
      <c r="J670" t="str">
        <f t="shared" si="138"/>
        <v>[연재]왓에버 유 두(whatever you do)</v>
      </c>
      <c r="K670">
        <v>100</v>
      </c>
      <c r="L670">
        <v>2900</v>
      </c>
      <c r="M670">
        <v>29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1780</v>
      </c>
      <c r="AN670" t="str">
        <f t="shared" si="139"/>
        <v>9791190142793</v>
      </c>
      <c r="AP670" t="str">
        <f t="shared" si="140"/>
        <v>BL 웹소설 &gt; 현대물</v>
      </c>
    </row>
    <row r="671" spans="1:42" x14ac:dyDescent="0.4">
      <c r="A671" t="s">
        <v>43</v>
      </c>
      <c r="B671">
        <v>3822000748</v>
      </c>
      <c r="C671">
        <v>3822000947</v>
      </c>
      <c r="D671" t="str">
        <f>T("[연재]왓에버 유 두(whatever you do) 133화")</f>
        <v>[연재]왓에버 유 두(whatever you do) 133화</v>
      </c>
      <c r="E671" t="str">
        <f>T("133")</f>
        <v>133</v>
      </c>
      <c r="F671" t="str">
        <f t="shared" si="137"/>
        <v>원믹</v>
      </c>
      <c r="I671" t="str">
        <f t="shared" si="132"/>
        <v>딥블렌드</v>
      </c>
      <c r="J671" t="str">
        <f t="shared" si="138"/>
        <v>[연재]왓에버 유 두(whatever you do)</v>
      </c>
      <c r="K671">
        <v>100</v>
      </c>
      <c r="L671">
        <v>2900</v>
      </c>
      <c r="M671">
        <v>29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1780</v>
      </c>
      <c r="AN671" t="str">
        <f t="shared" si="139"/>
        <v>9791190142793</v>
      </c>
      <c r="AP671" t="str">
        <f t="shared" si="140"/>
        <v>BL 웹소설 &gt; 현대물</v>
      </c>
    </row>
    <row r="672" spans="1:42" x14ac:dyDescent="0.4">
      <c r="A672" t="s">
        <v>43</v>
      </c>
      <c r="B672">
        <v>3822000748</v>
      </c>
      <c r="C672">
        <v>3822000875</v>
      </c>
      <c r="D672" t="str">
        <f>T("[연재]왓에버 유 두(whatever you do) 110화")</f>
        <v>[연재]왓에버 유 두(whatever you do) 110화</v>
      </c>
      <c r="E672" t="str">
        <f>T("110")</f>
        <v>110</v>
      </c>
      <c r="F672" t="str">
        <f t="shared" si="137"/>
        <v>원믹</v>
      </c>
      <c r="I672" t="str">
        <f t="shared" si="132"/>
        <v>딥블렌드</v>
      </c>
      <c r="J672" t="str">
        <f t="shared" si="138"/>
        <v>[연재]왓에버 유 두(whatever you do)</v>
      </c>
      <c r="K672">
        <v>100</v>
      </c>
      <c r="L672">
        <v>2900</v>
      </c>
      <c r="M672">
        <v>29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1760</v>
      </c>
      <c r="AN672" t="str">
        <f t="shared" si="139"/>
        <v>9791190142793</v>
      </c>
      <c r="AP672" t="str">
        <f t="shared" si="140"/>
        <v>BL 웹소설 &gt; 현대물</v>
      </c>
    </row>
    <row r="673" spans="1:43" x14ac:dyDescent="0.4">
      <c r="A673" t="s">
        <v>43</v>
      </c>
      <c r="B673">
        <v>3822000748</v>
      </c>
      <c r="C673">
        <v>3822000790</v>
      </c>
      <c r="D673" t="str">
        <f>T("[연재]왓에버 유 두(whatever you do) 43화")</f>
        <v>[연재]왓에버 유 두(whatever you do) 43화</v>
      </c>
      <c r="E673" t="str">
        <f>T("43")</f>
        <v>43</v>
      </c>
      <c r="F673" t="str">
        <f t="shared" si="137"/>
        <v>원믹</v>
      </c>
      <c r="I673" t="str">
        <f t="shared" si="132"/>
        <v>딥블렌드</v>
      </c>
      <c r="J673" t="str">
        <f t="shared" si="138"/>
        <v>[연재]왓에버 유 두(whatever you do)</v>
      </c>
      <c r="K673">
        <v>100</v>
      </c>
      <c r="L673">
        <v>2900</v>
      </c>
      <c r="M673">
        <v>29</v>
      </c>
      <c r="N673">
        <v>0</v>
      </c>
      <c r="O673">
        <v>0</v>
      </c>
      <c r="P673">
        <v>0</v>
      </c>
      <c r="Q673">
        <v>1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1780</v>
      </c>
      <c r="AN673" t="str">
        <f t="shared" si="139"/>
        <v>9791190142793</v>
      </c>
      <c r="AP673" t="str">
        <f t="shared" si="140"/>
        <v>BL 웹소설 &gt; 현대물</v>
      </c>
    </row>
    <row r="674" spans="1:43" x14ac:dyDescent="0.4">
      <c r="A674" t="s">
        <v>43</v>
      </c>
      <c r="B674">
        <v>3822000748</v>
      </c>
      <c r="C674">
        <v>3822000791</v>
      </c>
      <c r="D674" t="str">
        <f>T("[연재]왓에버 유 두(whatever you do) 44화")</f>
        <v>[연재]왓에버 유 두(whatever you do) 44화</v>
      </c>
      <c r="E674" t="str">
        <f>T("44")</f>
        <v>44</v>
      </c>
      <c r="F674" t="str">
        <f t="shared" si="137"/>
        <v>원믹</v>
      </c>
      <c r="I674" t="str">
        <f t="shared" si="132"/>
        <v>딥블렌드</v>
      </c>
      <c r="J674" t="str">
        <f t="shared" si="138"/>
        <v>[연재]왓에버 유 두(whatever you do)</v>
      </c>
      <c r="K674">
        <v>100</v>
      </c>
      <c r="L674">
        <v>2900</v>
      </c>
      <c r="M674">
        <v>29</v>
      </c>
      <c r="N674">
        <v>0</v>
      </c>
      <c r="O674">
        <v>0</v>
      </c>
      <c r="P674">
        <v>0</v>
      </c>
      <c r="Q674">
        <v>1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1780</v>
      </c>
      <c r="AN674" t="str">
        <f t="shared" si="139"/>
        <v>9791190142793</v>
      </c>
      <c r="AP674" t="str">
        <f t="shared" si="140"/>
        <v>BL 웹소설 &gt; 현대물</v>
      </c>
    </row>
    <row r="675" spans="1:43" x14ac:dyDescent="0.4">
      <c r="A675" t="s">
        <v>43</v>
      </c>
      <c r="B675">
        <v>3822000748</v>
      </c>
      <c r="C675">
        <v>3822000793</v>
      </c>
      <c r="D675" t="str">
        <f>T("[연재]왓에버 유 두(whatever you do) 46화")</f>
        <v>[연재]왓에버 유 두(whatever you do) 46화</v>
      </c>
      <c r="E675" t="str">
        <f>T("46")</f>
        <v>46</v>
      </c>
      <c r="F675" t="str">
        <f t="shared" si="137"/>
        <v>원믹</v>
      </c>
      <c r="I675" t="str">
        <f t="shared" si="132"/>
        <v>딥블렌드</v>
      </c>
      <c r="J675" t="str">
        <f t="shared" si="138"/>
        <v>[연재]왓에버 유 두(whatever you do)</v>
      </c>
      <c r="K675">
        <v>100</v>
      </c>
      <c r="L675">
        <v>2900</v>
      </c>
      <c r="M675">
        <v>29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1780</v>
      </c>
      <c r="AN675" t="str">
        <f t="shared" si="139"/>
        <v>9791190142793</v>
      </c>
      <c r="AP675" t="str">
        <f t="shared" si="140"/>
        <v>BL 웹소설 &gt; 현대물</v>
      </c>
    </row>
    <row r="676" spans="1:43" x14ac:dyDescent="0.4">
      <c r="A676" t="s">
        <v>43</v>
      </c>
      <c r="B676">
        <v>3822000748</v>
      </c>
      <c r="C676">
        <v>3822000864</v>
      </c>
      <c r="D676" t="str">
        <f>T("[연재]왓에버 유 두(whatever you do) 101화")</f>
        <v>[연재]왓에버 유 두(whatever you do) 101화</v>
      </c>
      <c r="E676" t="str">
        <f>T("101")</f>
        <v>101</v>
      </c>
      <c r="F676" t="str">
        <f t="shared" si="137"/>
        <v>원믹</v>
      </c>
      <c r="I676" t="str">
        <f t="shared" si="132"/>
        <v>딥블렌드</v>
      </c>
      <c r="J676" t="str">
        <f t="shared" si="138"/>
        <v>[연재]왓에버 유 두(whatever you do)</v>
      </c>
      <c r="K676">
        <v>100</v>
      </c>
      <c r="L676">
        <v>2900</v>
      </c>
      <c r="M676">
        <v>29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1760</v>
      </c>
      <c r="AN676" t="str">
        <f t="shared" si="139"/>
        <v>9791190142793</v>
      </c>
      <c r="AP676" t="str">
        <f t="shared" si="140"/>
        <v>BL 웹소설 &gt; 현대물</v>
      </c>
    </row>
    <row r="677" spans="1:43" x14ac:dyDescent="0.4">
      <c r="A677" t="s">
        <v>43</v>
      </c>
      <c r="B677">
        <v>3822000748</v>
      </c>
      <c r="C677">
        <v>3822000794</v>
      </c>
      <c r="D677" t="str">
        <f>T("[연재]왓에버 유 두(whatever you do) 47화")</f>
        <v>[연재]왓에버 유 두(whatever you do) 47화</v>
      </c>
      <c r="E677" t="str">
        <f>T("47")</f>
        <v>47</v>
      </c>
      <c r="F677" t="str">
        <f t="shared" si="137"/>
        <v>원믹</v>
      </c>
      <c r="I677" t="str">
        <f t="shared" si="132"/>
        <v>딥블렌드</v>
      </c>
      <c r="J677" t="str">
        <f t="shared" si="138"/>
        <v>[연재]왓에버 유 두(whatever you do)</v>
      </c>
      <c r="K677">
        <v>100</v>
      </c>
      <c r="L677">
        <v>2900</v>
      </c>
      <c r="M677">
        <v>29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1780</v>
      </c>
      <c r="AN677" t="str">
        <f t="shared" si="139"/>
        <v>9791190142793</v>
      </c>
      <c r="AP677" t="str">
        <f t="shared" si="140"/>
        <v>BL 웹소설 &gt; 현대물</v>
      </c>
    </row>
    <row r="678" spans="1:43" x14ac:dyDescent="0.4">
      <c r="A678" t="s">
        <v>43</v>
      </c>
      <c r="B678">
        <v>3822000748</v>
      </c>
      <c r="C678">
        <v>3822000795</v>
      </c>
      <c r="D678" t="str">
        <f>T("[연재]왓에버 유 두(whatever you do) 48화")</f>
        <v>[연재]왓에버 유 두(whatever you do) 48화</v>
      </c>
      <c r="E678" t="str">
        <f>T("48")</f>
        <v>48</v>
      </c>
      <c r="F678" t="str">
        <f t="shared" si="137"/>
        <v>원믹</v>
      </c>
      <c r="I678" t="str">
        <f t="shared" si="132"/>
        <v>딥블렌드</v>
      </c>
      <c r="J678" t="str">
        <f t="shared" si="138"/>
        <v>[연재]왓에버 유 두(whatever you do)</v>
      </c>
      <c r="K678">
        <v>100</v>
      </c>
      <c r="L678">
        <v>2900</v>
      </c>
      <c r="M678">
        <v>29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1780</v>
      </c>
      <c r="AN678" t="str">
        <f t="shared" si="139"/>
        <v>9791190142793</v>
      </c>
      <c r="AP678" t="str">
        <f t="shared" si="140"/>
        <v>BL 웹소설 &gt; 현대물</v>
      </c>
    </row>
    <row r="679" spans="1:43" x14ac:dyDescent="0.4">
      <c r="A679" t="s">
        <v>43</v>
      </c>
      <c r="B679">
        <v>3822000748</v>
      </c>
      <c r="C679">
        <v>3822000867</v>
      </c>
      <c r="D679" t="str">
        <f>T("[연재]왓에버 유 두(whatever you do) 102화")</f>
        <v>[연재]왓에버 유 두(whatever you do) 102화</v>
      </c>
      <c r="E679" t="str">
        <f>T("102")</f>
        <v>102</v>
      </c>
      <c r="F679" t="str">
        <f t="shared" si="137"/>
        <v>원믹</v>
      </c>
      <c r="I679" t="str">
        <f t="shared" si="132"/>
        <v>딥블렌드</v>
      </c>
      <c r="J679" t="str">
        <f t="shared" si="138"/>
        <v>[연재]왓에버 유 두(whatever you do)</v>
      </c>
      <c r="K679">
        <v>100</v>
      </c>
      <c r="L679">
        <v>2900</v>
      </c>
      <c r="M679">
        <v>29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1760</v>
      </c>
      <c r="AN679" t="str">
        <f t="shared" si="139"/>
        <v>9791190142793</v>
      </c>
      <c r="AP679" t="str">
        <f t="shared" si="140"/>
        <v>BL 웹소설 &gt; 현대물</v>
      </c>
    </row>
    <row r="680" spans="1:43" x14ac:dyDescent="0.4">
      <c r="A680" t="s">
        <v>43</v>
      </c>
      <c r="B680">
        <v>3822000748</v>
      </c>
      <c r="C680">
        <v>3822000868</v>
      </c>
      <c r="D680" t="str">
        <f>T("[연재]왓에버 유 두(whatever you do) 103화")</f>
        <v>[연재]왓에버 유 두(whatever you do) 103화</v>
      </c>
      <c r="E680" t="str">
        <f>T("103")</f>
        <v>103</v>
      </c>
      <c r="F680" t="str">
        <f t="shared" si="137"/>
        <v>원믹</v>
      </c>
      <c r="I680" t="str">
        <f t="shared" si="132"/>
        <v>딥블렌드</v>
      </c>
      <c r="J680" t="str">
        <f t="shared" si="138"/>
        <v>[연재]왓에버 유 두(whatever you do)</v>
      </c>
      <c r="K680">
        <v>100</v>
      </c>
      <c r="L680">
        <v>2900</v>
      </c>
      <c r="M680">
        <v>29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1760</v>
      </c>
      <c r="AN680" t="str">
        <f t="shared" si="139"/>
        <v>9791190142793</v>
      </c>
      <c r="AP680" t="str">
        <f t="shared" si="140"/>
        <v>BL 웹소설 &gt; 현대물</v>
      </c>
    </row>
    <row r="681" spans="1:43" x14ac:dyDescent="0.4">
      <c r="A681" t="s">
        <v>43</v>
      </c>
      <c r="B681">
        <v>3822000035</v>
      </c>
      <c r="C681">
        <v>3822000058</v>
      </c>
      <c r="D681" t="str">
        <f>T("[연재]어비스(Abyss) 24화")</f>
        <v>[연재]어비스(Abyss) 24화</v>
      </c>
      <c r="E681" t="str">
        <f>T("24")</f>
        <v>24</v>
      </c>
      <c r="F681" t="str">
        <f>T("퀸에이")</f>
        <v>퀸에이</v>
      </c>
      <c r="I681" t="str">
        <f t="shared" si="132"/>
        <v>딥블렌드</v>
      </c>
      <c r="J681" t="str">
        <f>T("[연재]어비스(Abyss)")</f>
        <v>[연재]어비스(Abyss)</v>
      </c>
      <c r="K681">
        <v>100</v>
      </c>
      <c r="L681">
        <v>2900</v>
      </c>
      <c r="M681">
        <v>29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1740</v>
      </c>
      <c r="AN681" t="str">
        <f>T("9791190142366")</f>
        <v>9791190142366</v>
      </c>
      <c r="AP681" t="str">
        <f t="shared" si="140"/>
        <v>BL 웹소설 &gt; 현대물</v>
      </c>
      <c r="AQ681" t="str">
        <f>T("BL 웹소설 &gt; 판타지물")</f>
        <v>BL 웹소설 &gt; 판타지물</v>
      </c>
    </row>
    <row r="682" spans="1:43" x14ac:dyDescent="0.4">
      <c r="A682" t="s">
        <v>43</v>
      </c>
      <c r="B682">
        <v>3822000748</v>
      </c>
      <c r="C682">
        <v>3822000797</v>
      </c>
      <c r="D682" t="str">
        <f>T("[연재]왓에버 유 두(whatever you do) 50화")</f>
        <v>[연재]왓에버 유 두(whatever you do) 50화</v>
      </c>
      <c r="E682" t="str">
        <f>T("50")</f>
        <v>50</v>
      </c>
      <c r="F682" t="str">
        <f>T("원믹")</f>
        <v>원믹</v>
      </c>
      <c r="I682" t="str">
        <f t="shared" ref="I682:I745" si="141">T("딥블렌드")</f>
        <v>딥블렌드</v>
      </c>
      <c r="J682" t="str">
        <f>T("[연재]왓에버 유 두(whatever you do)")</f>
        <v>[연재]왓에버 유 두(whatever you do)</v>
      </c>
      <c r="K682">
        <v>100</v>
      </c>
      <c r="L682">
        <v>2900</v>
      </c>
      <c r="M682">
        <v>29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1780</v>
      </c>
      <c r="AN682" t="str">
        <f>T("9791190142793")</f>
        <v>9791190142793</v>
      </c>
      <c r="AP682" t="str">
        <f t="shared" si="140"/>
        <v>BL 웹소설 &gt; 현대물</v>
      </c>
    </row>
    <row r="683" spans="1:43" x14ac:dyDescent="0.4">
      <c r="A683" t="s">
        <v>43</v>
      </c>
      <c r="B683">
        <v>3822000748</v>
      </c>
      <c r="C683">
        <v>3822000955</v>
      </c>
      <c r="D683" t="str">
        <f>T("[연재]왓에버 유 두(whatever you do) 136화")</f>
        <v>[연재]왓에버 유 두(whatever you do) 136화</v>
      </c>
      <c r="E683" t="str">
        <f>T("136")</f>
        <v>136</v>
      </c>
      <c r="F683" t="str">
        <f>T("원믹")</f>
        <v>원믹</v>
      </c>
      <c r="I683" t="str">
        <f t="shared" si="141"/>
        <v>딥블렌드</v>
      </c>
      <c r="J683" t="str">
        <f>T("[연재]왓에버 유 두(whatever you do)")</f>
        <v>[연재]왓에버 유 두(whatever you do)</v>
      </c>
      <c r="K683">
        <v>100</v>
      </c>
      <c r="L683">
        <v>2900</v>
      </c>
      <c r="M683">
        <v>29</v>
      </c>
      <c r="N683">
        <v>0</v>
      </c>
      <c r="O683">
        <v>0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1780</v>
      </c>
      <c r="AN683" t="str">
        <f>T("9791190142793")</f>
        <v>9791190142793</v>
      </c>
      <c r="AP683" t="str">
        <f t="shared" si="140"/>
        <v>BL 웹소설 &gt; 현대물</v>
      </c>
    </row>
    <row r="684" spans="1:43" x14ac:dyDescent="0.4">
      <c r="A684" t="s">
        <v>43</v>
      </c>
      <c r="B684">
        <v>3822000748</v>
      </c>
      <c r="C684">
        <v>3822000784</v>
      </c>
      <c r="D684" t="str">
        <f>T("[연재]왓에버 유 두(whatever you do) 37화")</f>
        <v>[연재]왓에버 유 두(whatever you do) 37화</v>
      </c>
      <c r="E684" t="str">
        <f>T("37")</f>
        <v>37</v>
      </c>
      <c r="F684" t="str">
        <f>T("원믹")</f>
        <v>원믹</v>
      </c>
      <c r="I684" t="str">
        <f t="shared" si="141"/>
        <v>딥블렌드</v>
      </c>
      <c r="J684" t="str">
        <f>T("[연재]왓에버 유 두(whatever you do)")</f>
        <v>[연재]왓에버 유 두(whatever you do)</v>
      </c>
      <c r="K684">
        <v>100</v>
      </c>
      <c r="L684">
        <v>2900</v>
      </c>
      <c r="M684">
        <v>29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1780</v>
      </c>
      <c r="AN684" t="str">
        <f>T("9791190142793")</f>
        <v>9791190142793</v>
      </c>
      <c r="AP684" t="str">
        <f t="shared" si="140"/>
        <v>BL 웹소설 &gt; 현대물</v>
      </c>
    </row>
    <row r="685" spans="1:43" x14ac:dyDescent="0.4">
      <c r="A685" t="s">
        <v>43</v>
      </c>
      <c r="B685">
        <v>3822000748</v>
      </c>
      <c r="C685">
        <v>3822000757</v>
      </c>
      <c r="D685" t="str">
        <f>T("[연재]왓에버 유 두(whatever you do) 10화")</f>
        <v>[연재]왓에버 유 두(whatever you do) 10화</v>
      </c>
      <c r="E685" t="str">
        <f>T("10")</f>
        <v>10</v>
      </c>
      <c r="F685" t="str">
        <f>T("원믹")</f>
        <v>원믹</v>
      </c>
      <c r="I685" t="str">
        <f t="shared" si="141"/>
        <v>딥블렌드</v>
      </c>
      <c r="J685" t="str">
        <f>T("[연재]왓에버 유 두(whatever you do)")</f>
        <v>[연재]왓에버 유 두(whatever you do)</v>
      </c>
      <c r="K685">
        <v>100</v>
      </c>
      <c r="L685">
        <v>2900</v>
      </c>
      <c r="M685">
        <v>29</v>
      </c>
      <c r="N685">
        <v>0</v>
      </c>
      <c r="O685">
        <v>0</v>
      </c>
      <c r="P685">
        <v>0</v>
      </c>
      <c r="Q685">
        <v>5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1770</v>
      </c>
      <c r="AN685" t="str">
        <f>T("9791190142793")</f>
        <v>9791190142793</v>
      </c>
      <c r="AP685" t="str">
        <f t="shared" si="140"/>
        <v>BL 웹소설 &gt; 현대물</v>
      </c>
    </row>
    <row r="686" spans="1:43" x14ac:dyDescent="0.4">
      <c r="A686" t="s">
        <v>43</v>
      </c>
      <c r="B686">
        <v>3822000748</v>
      </c>
      <c r="C686">
        <v>3822000786</v>
      </c>
      <c r="D686" t="str">
        <f>T("[연재]왓에버 유 두(whatever you do) 39화")</f>
        <v>[연재]왓에버 유 두(whatever you do) 39화</v>
      </c>
      <c r="E686" t="str">
        <f>T("39")</f>
        <v>39</v>
      </c>
      <c r="F686" t="str">
        <f>T("원믹")</f>
        <v>원믹</v>
      </c>
      <c r="I686" t="str">
        <f t="shared" si="141"/>
        <v>딥블렌드</v>
      </c>
      <c r="J686" t="str">
        <f>T("[연재]왓에버 유 두(whatever you do)")</f>
        <v>[연재]왓에버 유 두(whatever you do)</v>
      </c>
      <c r="K686">
        <v>100</v>
      </c>
      <c r="L686">
        <v>2900</v>
      </c>
      <c r="M686">
        <v>29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1780</v>
      </c>
      <c r="AN686" t="str">
        <f>T("9791190142793")</f>
        <v>9791190142793</v>
      </c>
      <c r="AP686" t="str">
        <f t="shared" si="140"/>
        <v>BL 웹소설 &gt; 현대물</v>
      </c>
    </row>
    <row r="687" spans="1:43" x14ac:dyDescent="0.4">
      <c r="A687" t="s">
        <v>43</v>
      </c>
      <c r="B687">
        <v>3822000035</v>
      </c>
      <c r="C687">
        <v>3822000310</v>
      </c>
      <c r="D687" t="str">
        <f>T("[연재]어비스(Abyss) 30화")</f>
        <v>[연재]어비스(Abyss) 30화</v>
      </c>
      <c r="E687" t="str">
        <f>T("30")</f>
        <v>30</v>
      </c>
      <c r="F687" t="str">
        <f>T("퀸에이")</f>
        <v>퀸에이</v>
      </c>
      <c r="I687" t="str">
        <f t="shared" si="141"/>
        <v>딥블렌드</v>
      </c>
      <c r="J687" t="str">
        <f>T("[연재]어비스(Abyss)")</f>
        <v>[연재]어비스(Abyss)</v>
      </c>
      <c r="K687">
        <v>100</v>
      </c>
      <c r="L687">
        <v>2800</v>
      </c>
      <c r="M687">
        <v>28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1680</v>
      </c>
      <c r="AN687" t="str">
        <f>T("9791190142366")</f>
        <v>9791190142366</v>
      </c>
      <c r="AP687" t="str">
        <f t="shared" si="140"/>
        <v>BL 웹소설 &gt; 현대물</v>
      </c>
      <c r="AQ687" t="str">
        <f>T("BL 웹소설 &gt; 판타지물")</f>
        <v>BL 웹소설 &gt; 판타지물</v>
      </c>
    </row>
    <row r="688" spans="1:43" x14ac:dyDescent="0.4">
      <c r="A688" t="s">
        <v>43</v>
      </c>
      <c r="B688">
        <v>3822000033</v>
      </c>
      <c r="C688">
        <v>3822000034</v>
      </c>
      <c r="D688" t="str">
        <f>T("그림자 밟기 2권 (완결)")</f>
        <v>그림자 밟기 2권 (완결)</v>
      </c>
      <c r="E688" t="str">
        <f>T("2")</f>
        <v>2</v>
      </c>
      <c r="F688" t="str">
        <f>T("나다")</f>
        <v>나다</v>
      </c>
      <c r="I688" t="str">
        <f t="shared" si="141"/>
        <v>딥블렌드</v>
      </c>
      <c r="J688" t="str">
        <f>T("그림자 밟기")</f>
        <v>그림자 밟기</v>
      </c>
      <c r="K688">
        <v>2800</v>
      </c>
      <c r="L688">
        <v>2800</v>
      </c>
      <c r="M688">
        <v>1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14000</v>
      </c>
      <c r="U688">
        <v>5</v>
      </c>
      <c r="V688">
        <v>31350</v>
      </c>
      <c r="W688">
        <v>19</v>
      </c>
      <c r="X688">
        <v>-2800</v>
      </c>
      <c r="Y688">
        <v>1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-2800</v>
      </c>
      <c r="AG688">
        <v>1</v>
      </c>
      <c r="AH688">
        <v>0</v>
      </c>
      <c r="AI688">
        <v>0</v>
      </c>
      <c r="AJ688">
        <v>31745</v>
      </c>
      <c r="AL688" t="str">
        <f>T("0000000000000")</f>
        <v>0000000000000</v>
      </c>
      <c r="AN688" t="str">
        <f>T("9791190142397")</f>
        <v>9791190142397</v>
      </c>
      <c r="AP688" t="str">
        <f>T("BL 소설 e북 &gt; 현대물")</f>
        <v>BL 소설 e북 &gt; 현대물</v>
      </c>
      <c r="AQ688" t="str">
        <f>T("BL 소설 e북 &gt; 역사/시대물")</f>
        <v>BL 소설 e북 &gt; 역사/시대물</v>
      </c>
    </row>
    <row r="689" spans="1:43" x14ac:dyDescent="0.4">
      <c r="A689" t="s">
        <v>43</v>
      </c>
      <c r="B689">
        <v>3822000748</v>
      </c>
      <c r="C689">
        <v>3822000960</v>
      </c>
      <c r="D689" t="str">
        <f>T("[연재]왓에버 유 두(whatever you do) 140화")</f>
        <v>[연재]왓에버 유 두(whatever you do) 140화</v>
      </c>
      <c r="E689" t="str">
        <f>T("140")</f>
        <v>140</v>
      </c>
      <c r="F689" t="str">
        <f>T("원믹")</f>
        <v>원믹</v>
      </c>
      <c r="I689" t="str">
        <f t="shared" si="141"/>
        <v>딥블렌드</v>
      </c>
      <c r="J689" t="str">
        <f>T("[연재]왓에버 유 두(whatever you do)")</f>
        <v>[연재]왓에버 유 두(whatever you do)</v>
      </c>
      <c r="K689">
        <v>100</v>
      </c>
      <c r="L689">
        <v>2800</v>
      </c>
      <c r="M689">
        <v>28</v>
      </c>
      <c r="N689">
        <v>0</v>
      </c>
      <c r="O689">
        <v>0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1720</v>
      </c>
      <c r="AN689" t="str">
        <f>T("9791190142793")</f>
        <v>9791190142793</v>
      </c>
      <c r="AP689" t="str">
        <f t="shared" ref="AP689:AP704" si="142">T("BL 웹소설 &gt; 현대물")</f>
        <v>BL 웹소설 &gt; 현대물</v>
      </c>
    </row>
    <row r="690" spans="1:43" x14ac:dyDescent="0.4">
      <c r="A690" t="s">
        <v>43</v>
      </c>
      <c r="B690">
        <v>3822000035</v>
      </c>
      <c r="C690">
        <v>3822000050</v>
      </c>
      <c r="D690" t="str">
        <f>T("[연재]어비스(Abyss) 16화")</f>
        <v>[연재]어비스(Abyss) 16화</v>
      </c>
      <c r="E690" t="str">
        <f>T("16")</f>
        <v>16</v>
      </c>
      <c r="F690" t="str">
        <f>T("퀸에이")</f>
        <v>퀸에이</v>
      </c>
      <c r="I690" t="str">
        <f t="shared" si="141"/>
        <v>딥블렌드</v>
      </c>
      <c r="J690" t="str">
        <f>T("[연재]어비스(Abyss)")</f>
        <v>[연재]어비스(Abyss)</v>
      </c>
      <c r="K690">
        <v>100</v>
      </c>
      <c r="L690">
        <v>2800</v>
      </c>
      <c r="M690">
        <v>28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1680</v>
      </c>
      <c r="AN690" t="str">
        <f>T("9791190142366")</f>
        <v>9791190142366</v>
      </c>
      <c r="AP690" t="str">
        <f t="shared" si="142"/>
        <v>BL 웹소설 &gt; 현대물</v>
      </c>
      <c r="AQ690" t="str">
        <f>T("BL 웹소설 &gt; 판타지물")</f>
        <v>BL 웹소설 &gt; 판타지물</v>
      </c>
    </row>
    <row r="691" spans="1:43" x14ac:dyDescent="0.4">
      <c r="A691" t="s">
        <v>43</v>
      </c>
      <c r="B691">
        <v>3822000748</v>
      </c>
      <c r="C691">
        <v>3822000961</v>
      </c>
      <c r="D691" t="str">
        <f>T("[연재]왓에버 유 두(whatever you do) 141화")</f>
        <v>[연재]왓에버 유 두(whatever you do) 141화</v>
      </c>
      <c r="E691" t="str">
        <f>T("141")</f>
        <v>141</v>
      </c>
      <c r="F691" t="str">
        <f>T("원믹")</f>
        <v>원믹</v>
      </c>
      <c r="I691" t="str">
        <f t="shared" si="141"/>
        <v>딥블렌드</v>
      </c>
      <c r="J691" t="str">
        <f>T("[연재]왓에버 유 두(whatever you do)")</f>
        <v>[연재]왓에버 유 두(whatever you do)</v>
      </c>
      <c r="K691">
        <v>100</v>
      </c>
      <c r="L691">
        <v>2800</v>
      </c>
      <c r="M691">
        <v>28</v>
      </c>
      <c r="N691">
        <v>0</v>
      </c>
      <c r="O691">
        <v>0</v>
      </c>
      <c r="P691">
        <v>0</v>
      </c>
      <c r="Q691">
        <v>1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1720</v>
      </c>
      <c r="AN691" t="str">
        <f>T("9791190142793")</f>
        <v>9791190142793</v>
      </c>
      <c r="AP691" t="str">
        <f t="shared" si="142"/>
        <v>BL 웹소설 &gt; 현대물</v>
      </c>
    </row>
    <row r="692" spans="1:43" x14ac:dyDescent="0.4">
      <c r="A692" t="s">
        <v>43</v>
      </c>
      <c r="B692">
        <v>3822000035</v>
      </c>
      <c r="C692">
        <v>3822000051</v>
      </c>
      <c r="D692" t="str">
        <f>T("[연재]어비스(Abyss) 17화")</f>
        <v>[연재]어비스(Abyss) 17화</v>
      </c>
      <c r="E692" t="str">
        <f>T("17")</f>
        <v>17</v>
      </c>
      <c r="F692" t="str">
        <f>T("퀸에이")</f>
        <v>퀸에이</v>
      </c>
      <c r="I692" t="str">
        <f t="shared" si="141"/>
        <v>딥블렌드</v>
      </c>
      <c r="J692" t="str">
        <f>T("[연재]어비스(Abyss)")</f>
        <v>[연재]어비스(Abyss)</v>
      </c>
      <c r="K692">
        <v>100</v>
      </c>
      <c r="L692">
        <v>2800</v>
      </c>
      <c r="M692">
        <v>28</v>
      </c>
      <c r="N692">
        <v>0</v>
      </c>
      <c r="O692">
        <v>0</v>
      </c>
      <c r="P692">
        <v>0</v>
      </c>
      <c r="Q692">
        <v>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1680</v>
      </c>
      <c r="AN692" t="str">
        <f>T("9791190142366")</f>
        <v>9791190142366</v>
      </c>
      <c r="AP692" t="str">
        <f t="shared" si="142"/>
        <v>BL 웹소설 &gt; 현대물</v>
      </c>
      <c r="AQ692" t="str">
        <f>T("BL 웹소설 &gt; 판타지물")</f>
        <v>BL 웹소설 &gt; 판타지물</v>
      </c>
    </row>
    <row r="693" spans="1:43" x14ac:dyDescent="0.4">
      <c r="A693" t="s">
        <v>43</v>
      </c>
      <c r="B693">
        <v>3822000748</v>
      </c>
      <c r="C693">
        <v>3822000876</v>
      </c>
      <c r="D693" t="str">
        <f>T("[연재]왓에버 유 두(whatever you do) 111화")</f>
        <v>[연재]왓에버 유 두(whatever you do) 111화</v>
      </c>
      <c r="E693" t="str">
        <f>T("111")</f>
        <v>111</v>
      </c>
      <c r="F693" t="str">
        <f>T("원믹")</f>
        <v>원믹</v>
      </c>
      <c r="I693" t="str">
        <f t="shared" si="141"/>
        <v>딥블렌드</v>
      </c>
      <c r="J693" t="str">
        <f>T("[연재]왓에버 유 두(whatever you do)")</f>
        <v>[연재]왓에버 유 두(whatever you do)</v>
      </c>
      <c r="K693">
        <v>100</v>
      </c>
      <c r="L693">
        <v>2800</v>
      </c>
      <c r="M693">
        <v>28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1700</v>
      </c>
      <c r="AN693" t="str">
        <f>T("9791190142793")</f>
        <v>9791190142793</v>
      </c>
      <c r="AP693" t="str">
        <f t="shared" si="142"/>
        <v>BL 웹소설 &gt; 현대물</v>
      </c>
    </row>
    <row r="694" spans="1:43" x14ac:dyDescent="0.4">
      <c r="A694" t="s">
        <v>43</v>
      </c>
      <c r="B694">
        <v>3822000035</v>
      </c>
      <c r="C694">
        <v>3822000052</v>
      </c>
      <c r="D694" t="str">
        <f>T("[연재]어비스(Abyss) 18화")</f>
        <v>[연재]어비스(Abyss) 18화</v>
      </c>
      <c r="E694" t="str">
        <f>T("18")</f>
        <v>18</v>
      </c>
      <c r="F694" t="str">
        <f>T("퀸에이")</f>
        <v>퀸에이</v>
      </c>
      <c r="I694" t="str">
        <f t="shared" si="141"/>
        <v>딥블렌드</v>
      </c>
      <c r="J694" t="str">
        <f>T("[연재]어비스(Abyss)")</f>
        <v>[연재]어비스(Abyss)</v>
      </c>
      <c r="K694">
        <v>100</v>
      </c>
      <c r="L694">
        <v>2800</v>
      </c>
      <c r="M694">
        <v>28</v>
      </c>
      <c r="N694">
        <v>0</v>
      </c>
      <c r="O694">
        <v>0</v>
      </c>
      <c r="P694">
        <v>0</v>
      </c>
      <c r="Q694">
        <v>1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1680</v>
      </c>
      <c r="AN694" t="str">
        <f>T("9791190142366")</f>
        <v>9791190142366</v>
      </c>
      <c r="AP694" t="str">
        <f t="shared" si="142"/>
        <v>BL 웹소설 &gt; 현대물</v>
      </c>
      <c r="AQ694" t="str">
        <f>T("BL 웹소설 &gt; 판타지물")</f>
        <v>BL 웹소설 &gt; 판타지물</v>
      </c>
    </row>
    <row r="695" spans="1:43" x14ac:dyDescent="0.4">
      <c r="A695" t="s">
        <v>43</v>
      </c>
      <c r="B695">
        <v>3822000748</v>
      </c>
      <c r="C695">
        <v>3822000792</v>
      </c>
      <c r="D695" t="str">
        <f>T("[연재]왓에버 유 두(whatever you do) 45화")</f>
        <v>[연재]왓에버 유 두(whatever you do) 45화</v>
      </c>
      <c r="E695" t="str">
        <f>T("45")</f>
        <v>45</v>
      </c>
      <c r="F695" t="str">
        <f>T("원믹")</f>
        <v>원믹</v>
      </c>
      <c r="I695" t="str">
        <f t="shared" si="141"/>
        <v>딥블렌드</v>
      </c>
      <c r="J695" t="str">
        <f>T("[연재]왓에버 유 두(whatever you do)")</f>
        <v>[연재]왓에버 유 두(whatever you do)</v>
      </c>
      <c r="K695">
        <v>100</v>
      </c>
      <c r="L695">
        <v>2800</v>
      </c>
      <c r="M695">
        <v>28</v>
      </c>
      <c r="N695">
        <v>0</v>
      </c>
      <c r="O695">
        <v>0</v>
      </c>
      <c r="P695">
        <v>0</v>
      </c>
      <c r="Q695">
        <v>1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1720</v>
      </c>
      <c r="AN695" t="str">
        <f>T("9791190142793")</f>
        <v>9791190142793</v>
      </c>
      <c r="AP695" t="str">
        <f t="shared" si="142"/>
        <v>BL 웹소설 &gt; 현대물</v>
      </c>
    </row>
    <row r="696" spans="1:43" x14ac:dyDescent="0.4">
      <c r="A696" t="s">
        <v>43</v>
      </c>
      <c r="B696">
        <v>3822000035</v>
      </c>
      <c r="C696">
        <v>3822000056</v>
      </c>
      <c r="D696" t="str">
        <f>T("[연재]어비스(Abyss) 22화")</f>
        <v>[연재]어비스(Abyss) 22화</v>
      </c>
      <c r="E696" t="str">
        <f>T("22")</f>
        <v>22</v>
      </c>
      <c r="F696" t="str">
        <f>T("퀸에이")</f>
        <v>퀸에이</v>
      </c>
      <c r="I696" t="str">
        <f t="shared" si="141"/>
        <v>딥블렌드</v>
      </c>
      <c r="J696" t="str">
        <f>T("[연재]어비스(Abyss)")</f>
        <v>[연재]어비스(Abyss)</v>
      </c>
      <c r="K696">
        <v>100</v>
      </c>
      <c r="L696">
        <v>2800</v>
      </c>
      <c r="M696">
        <v>28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1680</v>
      </c>
      <c r="AN696" t="str">
        <f>T("9791190142366")</f>
        <v>9791190142366</v>
      </c>
      <c r="AP696" t="str">
        <f t="shared" si="142"/>
        <v>BL 웹소설 &gt; 현대물</v>
      </c>
      <c r="AQ696" t="str">
        <f>T("BL 웹소설 &gt; 판타지물")</f>
        <v>BL 웹소설 &gt; 판타지물</v>
      </c>
    </row>
    <row r="697" spans="1:43" x14ac:dyDescent="0.4">
      <c r="A697" t="s">
        <v>43</v>
      </c>
      <c r="B697">
        <v>3822000748</v>
      </c>
      <c r="C697">
        <v>3822000796</v>
      </c>
      <c r="D697" t="str">
        <f>T("[연재]왓에버 유 두(whatever you do) 49화")</f>
        <v>[연재]왓에버 유 두(whatever you do) 49화</v>
      </c>
      <c r="E697" t="str">
        <f>T("49")</f>
        <v>49</v>
      </c>
      <c r="F697" t="str">
        <f>T("원믹")</f>
        <v>원믹</v>
      </c>
      <c r="I697" t="str">
        <f t="shared" si="141"/>
        <v>딥블렌드</v>
      </c>
      <c r="J697" t="str">
        <f>T("[연재]왓에버 유 두(whatever you do)")</f>
        <v>[연재]왓에버 유 두(whatever you do)</v>
      </c>
      <c r="K697">
        <v>100</v>
      </c>
      <c r="L697">
        <v>2800</v>
      </c>
      <c r="M697">
        <v>28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1720</v>
      </c>
      <c r="AN697" t="str">
        <f>T("9791190142793")</f>
        <v>9791190142793</v>
      </c>
      <c r="AP697" t="str">
        <f t="shared" si="142"/>
        <v>BL 웹소설 &gt; 현대물</v>
      </c>
    </row>
    <row r="698" spans="1:43" x14ac:dyDescent="0.4">
      <c r="A698" t="s">
        <v>43</v>
      </c>
      <c r="B698">
        <v>3822000035</v>
      </c>
      <c r="C698">
        <v>3822000307</v>
      </c>
      <c r="D698" t="str">
        <f>T("[연재]어비스(Abyss) 27화")</f>
        <v>[연재]어비스(Abyss) 27화</v>
      </c>
      <c r="E698" t="str">
        <f>T("27")</f>
        <v>27</v>
      </c>
      <c r="F698" t="str">
        <f>T("퀸에이")</f>
        <v>퀸에이</v>
      </c>
      <c r="I698" t="str">
        <f t="shared" si="141"/>
        <v>딥블렌드</v>
      </c>
      <c r="J698" t="str">
        <f>T("[연재]어비스(Abyss)")</f>
        <v>[연재]어비스(Abyss)</v>
      </c>
      <c r="K698">
        <v>100</v>
      </c>
      <c r="L698">
        <v>2800</v>
      </c>
      <c r="M698">
        <v>28</v>
      </c>
      <c r="N698">
        <v>0</v>
      </c>
      <c r="O698">
        <v>0</v>
      </c>
      <c r="P698">
        <v>0</v>
      </c>
      <c r="Q698">
        <v>1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1680</v>
      </c>
      <c r="AN698" t="str">
        <f>T("9791190142366")</f>
        <v>9791190142366</v>
      </c>
      <c r="AP698" t="str">
        <f t="shared" si="142"/>
        <v>BL 웹소설 &gt; 현대물</v>
      </c>
      <c r="AQ698" t="str">
        <f>T("BL 웹소설 &gt; 판타지물")</f>
        <v>BL 웹소설 &gt; 판타지물</v>
      </c>
    </row>
    <row r="699" spans="1:43" x14ac:dyDescent="0.4">
      <c r="A699" t="s">
        <v>43</v>
      </c>
      <c r="B699">
        <v>3822000748</v>
      </c>
      <c r="C699">
        <v>3822000755</v>
      </c>
      <c r="D699" t="str">
        <f>T("[연재]왓에버 유 두(whatever you do) 8화")</f>
        <v>[연재]왓에버 유 두(whatever you do) 8화</v>
      </c>
      <c r="E699" t="str">
        <f>T("8")</f>
        <v>8</v>
      </c>
      <c r="F699" t="str">
        <f>T("원믹")</f>
        <v>원믹</v>
      </c>
      <c r="I699" t="str">
        <f t="shared" si="141"/>
        <v>딥블렌드</v>
      </c>
      <c r="J699" t="str">
        <f>T("[연재]왓에버 유 두(whatever you do)")</f>
        <v>[연재]왓에버 유 두(whatever you do)</v>
      </c>
      <c r="K699">
        <v>100</v>
      </c>
      <c r="L699">
        <v>2800</v>
      </c>
      <c r="M699">
        <v>28</v>
      </c>
      <c r="N699">
        <v>0</v>
      </c>
      <c r="O699">
        <v>0</v>
      </c>
      <c r="P699">
        <v>0</v>
      </c>
      <c r="Q699">
        <v>6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1710</v>
      </c>
      <c r="AN699" t="str">
        <f>T("9791190142793")</f>
        <v>9791190142793</v>
      </c>
      <c r="AP699" t="str">
        <f t="shared" si="142"/>
        <v>BL 웹소설 &gt; 현대물</v>
      </c>
    </row>
    <row r="700" spans="1:43" x14ac:dyDescent="0.4">
      <c r="A700" t="s">
        <v>43</v>
      </c>
      <c r="B700">
        <v>3822000035</v>
      </c>
      <c r="C700">
        <v>3822000308</v>
      </c>
      <c r="D700" t="str">
        <f>T("[연재]어비스(Abyss) 28화")</f>
        <v>[연재]어비스(Abyss) 28화</v>
      </c>
      <c r="E700" t="str">
        <f>T("28")</f>
        <v>28</v>
      </c>
      <c r="F700" t="str">
        <f>T("퀸에이")</f>
        <v>퀸에이</v>
      </c>
      <c r="I700" t="str">
        <f t="shared" si="141"/>
        <v>딥블렌드</v>
      </c>
      <c r="J700" t="str">
        <f>T("[연재]어비스(Abyss)")</f>
        <v>[연재]어비스(Abyss)</v>
      </c>
      <c r="K700">
        <v>100</v>
      </c>
      <c r="L700">
        <v>2800</v>
      </c>
      <c r="M700">
        <v>28</v>
      </c>
      <c r="N700">
        <v>0</v>
      </c>
      <c r="O700">
        <v>0</v>
      </c>
      <c r="P700">
        <v>0</v>
      </c>
      <c r="Q700">
        <v>1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1680</v>
      </c>
      <c r="AN700" t="str">
        <f>T("9791190142366")</f>
        <v>9791190142366</v>
      </c>
      <c r="AP700" t="str">
        <f t="shared" si="142"/>
        <v>BL 웹소설 &gt; 현대물</v>
      </c>
      <c r="AQ700" t="str">
        <f>T("BL 웹소설 &gt; 판타지물")</f>
        <v>BL 웹소설 &gt; 판타지물</v>
      </c>
    </row>
    <row r="701" spans="1:43" x14ac:dyDescent="0.4">
      <c r="A701" t="s">
        <v>43</v>
      </c>
      <c r="B701">
        <v>3822000035</v>
      </c>
      <c r="C701">
        <v>3822000059</v>
      </c>
      <c r="D701" t="str">
        <f>T("[연재]어비스(Abyss) 25화")</f>
        <v>[연재]어비스(Abyss) 25화</v>
      </c>
      <c r="E701" t="str">
        <f>T("25")</f>
        <v>25</v>
      </c>
      <c r="F701" t="str">
        <f>T("퀸에이")</f>
        <v>퀸에이</v>
      </c>
      <c r="I701" t="str">
        <f t="shared" si="141"/>
        <v>딥블렌드</v>
      </c>
      <c r="J701" t="str">
        <f>T("[연재]어비스(Abyss)")</f>
        <v>[연재]어비스(Abyss)</v>
      </c>
      <c r="K701">
        <v>100</v>
      </c>
      <c r="L701">
        <v>2800</v>
      </c>
      <c r="M701">
        <v>28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1680</v>
      </c>
      <c r="AN701" t="str">
        <f>T("9791190142366")</f>
        <v>9791190142366</v>
      </c>
      <c r="AP701" t="str">
        <f t="shared" si="142"/>
        <v>BL 웹소설 &gt; 현대물</v>
      </c>
      <c r="AQ701" t="str">
        <f>T("BL 웹소설 &gt; 판타지물")</f>
        <v>BL 웹소설 &gt; 판타지물</v>
      </c>
    </row>
    <row r="702" spans="1:43" x14ac:dyDescent="0.4">
      <c r="A702" t="s">
        <v>43</v>
      </c>
      <c r="B702">
        <v>3822000035</v>
      </c>
      <c r="C702">
        <v>3822000047</v>
      </c>
      <c r="D702" t="str">
        <f>T("[연재]어비스(Abyss) 13화")</f>
        <v>[연재]어비스(Abyss) 13화</v>
      </c>
      <c r="E702" t="str">
        <f>T("13")</f>
        <v>13</v>
      </c>
      <c r="F702" t="str">
        <f>T("퀸에이")</f>
        <v>퀸에이</v>
      </c>
      <c r="I702" t="str">
        <f t="shared" si="141"/>
        <v>딥블렌드</v>
      </c>
      <c r="J702" t="str">
        <f>T("[연재]어비스(Abyss)")</f>
        <v>[연재]어비스(Abyss)</v>
      </c>
      <c r="K702">
        <v>100</v>
      </c>
      <c r="L702">
        <v>2700</v>
      </c>
      <c r="M702">
        <v>27</v>
      </c>
      <c r="N702">
        <v>0</v>
      </c>
      <c r="O702">
        <v>0</v>
      </c>
      <c r="P702">
        <v>0</v>
      </c>
      <c r="Q702">
        <v>1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1620</v>
      </c>
      <c r="AN702" t="str">
        <f>T("9791190142366")</f>
        <v>9791190142366</v>
      </c>
      <c r="AP702" t="str">
        <f t="shared" si="142"/>
        <v>BL 웹소설 &gt; 현대물</v>
      </c>
      <c r="AQ702" t="str">
        <f>T("BL 웹소설 &gt; 판타지물")</f>
        <v>BL 웹소설 &gt; 판타지물</v>
      </c>
    </row>
    <row r="703" spans="1:43" x14ac:dyDescent="0.4">
      <c r="A703" t="s">
        <v>43</v>
      </c>
      <c r="B703">
        <v>3822000035</v>
      </c>
      <c r="C703">
        <v>3822000311</v>
      </c>
      <c r="D703" t="str">
        <f>T("[연재]어비스(Abyss) 31화")</f>
        <v>[연재]어비스(Abyss) 31화</v>
      </c>
      <c r="E703" t="str">
        <f>T("31")</f>
        <v>31</v>
      </c>
      <c r="F703" t="str">
        <f>T("퀸에이")</f>
        <v>퀸에이</v>
      </c>
      <c r="I703" t="str">
        <f t="shared" si="141"/>
        <v>딥블렌드</v>
      </c>
      <c r="J703" t="str">
        <f>T("[연재]어비스(Abyss)")</f>
        <v>[연재]어비스(Abyss)</v>
      </c>
      <c r="K703">
        <v>100</v>
      </c>
      <c r="L703">
        <v>2700</v>
      </c>
      <c r="M703">
        <v>27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1620</v>
      </c>
      <c r="AN703" t="str">
        <f>T("9791190142366")</f>
        <v>9791190142366</v>
      </c>
      <c r="AP703" t="str">
        <f t="shared" si="142"/>
        <v>BL 웹소설 &gt; 현대물</v>
      </c>
      <c r="AQ703" t="str">
        <f>T("BL 웹소설 &gt; 판타지물")</f>
        <v>BL 웹소설 &gt; 판타지물</v>
      </c>
    </row>
    <row r="704" spans="1:43" x14ac:dyDescent="0.4">
      <c r="A704" t="s">
        <v>43</v>
      </c>
      <c r="B704">
        <v>3822000035</v>
      </c>
      <c r="C704">
        <v>3822000049</v>
      </c>
      <c r="D704" t="str">
        <f>T("[연재]어비스(Abyss) 15화")</f>
        <v>[연재]어비스(Abyss) 15화</v>
      </c>
      <c r="E704" t="str">
        <f>T("15")</f>
        <v>15</v>
      </c>
      <c r="F704" t="str">
        <f>T("퀸에이")</f>
        <v>퀸에이</v>
      </c>
      <c r="I704" t="str">
        <f t="shared" si="141"/>
        <v>딥블렌드</v>
      </c>
      <c r="J704" t="str">
        <f>T("[연재]어비스(Abyss)")</f>
        <v>[연재]어비스(Abyss)</v>
      </c>
      <c r="K704">
        <v>100</v>
      </c>
      <c r="L704">
        <v>2700</v>
      </c>
      <c r="M704">
        <v>27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1620</v>
      </c>
      <c r="AN704" t="str">
        <f>T("9791190142366")</f>
        <v>9791190142366</v>
      </c>
      <c r="AP704" t="str">
        <f t="shared" si="142"/>
        <v>BL 웹소설 &gt; 현대물</v>
      </c>
      <c r="AQ704" t="str">
        <f>T("BL 웹소설 &gt; 판타지물")</f>
        <v>BL 웹소설 &gt; 판타지물</v>
      </c>
    </row>
    <row r="705" spans="1:43" x14ac:dyDescent="0.4">
      <c r="A705" t="s">
        <v>43</v>
      </c>
      <c r="B705">
        <v>3822000437</v>
      </c>
      <c r="C705">
        <v>3822001108</v>
      </c>
      <c r="D705" t="str">
        <f>T("[연재]저승꽃감관 161화")</f>
        <v>[연재]저승꽃감관 161화</v>
      </c>
      <c r="E705" t="str">
        <f>T("161")</f>
        <v>161</v>
      </c>
      <c r="F705" t="str">
        <f>T("에복")</f>
        <v>에복</v>
      </c>
      <c r="I705" t="str">
        <f t="shared" si="141"/>
        <v>딥블렌드</v>
      </c>
      <c r="J705" t="str">
        <f>T("[연재]저승꽃감관")</f>
        <v>[연재]저승꽃감관</v>
      </c>
      <c r="K705">
        <v>100</v>
      </c>
      <c r="L705">
        <v>2700</v>
      </c>
      <c r="M705">
        <v>27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1890</v>
      </c>
      <c r="AN705" t="str">
        <f>T("9791190142502")</f>
        <v>9791190142502</v>
      </c>
      <c r="AP705" t="str">
        <f>T("BL 웹소설 &gt; 역사/시대물")</f>
        <v>BL 웹소설 &gt; 역사/시대물</v>
      </c>
    </row>
    <row r="706" spans="1:43" x14ac:dyDescent="0.4">
      <c r="A706" t="s">
        <v>43</v>
      </c>
      <c r="B706">
        <v>3822000437</v>
      </c>
      <c r="C706">
        <v>3822001109</v>
      </c>
      <c r="D706" t="str">
        <f>T("[연재]저승꽃감관 162화")</f>
        <v>[연재]저승꽃감관 162화</v>
      </c>
      <c r="E706" t="str">
        <f>T("162")</f>
        <v>162</v>
      </c>
      <c r="F706" t="str">
        <f>T("에복")</f>
        <v>에복</v>
      </c>
      <c r="I706" t="str">
        <f t="shared" si="141"/>
        <v>딥블렌드</v>
      </c>
      <c r="J706" t="str">
        <f>T("[연재]저승꽃감관")</f>
        <v>[연재]저승꽃감관</v>
      </c>
      <c r="K706">
        <v>100</v>
      </c>
      <c r="L706">
        <v>2700</v>
      </c>
      <c r="M706">
        <v>27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1890</v>
      </c>
      <c r="AN706" t="str">
        <f>T("9791190142502")</f>
        <v>9791190142502</v>
      </c>
      <c r="AP706" t="str">
        <f>T("BL 웹소설 &gt; 역사/시대물")</f>
        <v>BL 웹소설 &gt; 역사/시대물</v>
      </c>
    </row>
    <row r="707" spans="1:43" x14ac:dyDescent="0.4">
      <c r="A707" t="s">
        <v>43</v>
      </c>
      <c r="B707">
        <v>3822000437</v>
      </c>
      <c r="C707">
        <v>3822001110</v>
      </c>
      <c r="D707" t="str">
        <f>T("[연재]저승꽃감관 163화")</f>
        <v>[연재]저승꽃감관 163화</v>
      </c>
      <c r="E707" t="str">
        <f>T("163")</f>
        <v>163</v>
      </c>
      <c r="F707" t="str">
        <f>T("에복")</f>
        <v>에복</v>
      </c>
      <c r="I707" t="str">
        <f t="shared" si="141"/>
        <v>딥블렌드</v>
      </c>
      <c r="J707" t="str">
        <f>T("[연재]저승꽃감관")</f>
        <v>[연재]저승꽃감관</v>
      </c>
      <c r="K707">
        <v>100</v>
      </c>
      <c r="L707">
        <v>2700</v>
      </c>
      <c r="M707">
        <v>27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1890</v>
      </c>
      <c r="AN707" t="str">
        <f>T("9791190142502")</f>
        <v>9791190142502</v>
      </c>
      <c r="AP707" t="str">
        <f>T("BL 웹소설 &gt; 역사/시대물")</f>
        <v>BL 웹소설 &gt; 역사/시대물</v>
      </c>
    </row>
    <row r="708" spans="1:43" x14ac:dyDescent="0.4">
      <c r="A708" t="s">
        <v>43</v>
      </c>
      <c r="B708">
        <v>3822000035</v>
      </c>
      <c r="C708">
        <v>3822000306</v>
      </c>
      <c r="D708" t="str">
        <f>T("[연재]어비스(Abyss) 26화")</f>
        <v>[연재]어비스(Abyss) 26화</v>
      </c>
      <c r="E708" t="str">
        <f>T("26")</f>
        <v>26</v>
      </c>
      <c r="F708" t="str">
        <f t="shared" ref="F708:F714" si="143">T("퀸에이")</f>
        <v>퀸에이</v>
      </c>
      <c r="I708" t="str">
        <f t="shared" si="141"/>
        <v>딥블렌드</v>
      </c>
      <c r="J708" t="str">
        <f t="shared" ref="J708:J714" si="144">T("[연재]어비스(Abyss)")</f>
        <v>[연재]어비스(Abyss)</v>
      </c>
      <c r="K708">
        <v>100</v>
      </c>
      <c r="L708">
        <v>2700</v>
      </c>
      <c r="M708">
        <v>27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1620</v>
      </c>
      <c r="AN708" t="str">
        <f t="shared" ref="AN708:AN714" si="145">T("9791190142366")</f>
        <v>9791190142366</v>
      </c>
      <c r="AP708" t="str">
        <f t="shared" ref="AP708:AP714" si="146">T("BL 웹소설 &gt; 현대물")</f>
        <v>BL 웹소설 &gt; 현대물</v>
      </c>
      <c r="AQ708" t="str">
        <f t="shared" ref="AQ708:AQ714" si="147">T("BL 웹소설 &gt; 판타지물")</f>
        <v>BL 웹소설 &gt; 판타지물</v>
      </c>
    </row>
    <row r="709" spans="1:43" x14ac:dyDescent="0.4">
      <c r="A709" t="s">
        <v>43</v>
      </c>
      <c r="B709">
        <v>3822000035</v>
      </c>
      <c r="C709">
        <v>3822000057</v>
      </c>
      <c r="D709" t="str">
        <f>T("[연재]어비스(Abyss) 23화")</f>
        <v>[연재]어비스(Abyss) 23화</v>
      </c>
      <c r="E709" t="str">
        <f>T("23")</f>
        <v>23</v>
      </c>
      <c r="F709" t="str">
        <f t="shared" si="143"/>
        <v>퀸에이</v>
      </c>
      <c r="I709" t="str">
        <f t="shared" si="141"/>
        <v>딥블렌드</v>
      </c>
      <c r="J709" t="str">
        <f t="shared" si="144"/>
        <v>[연재]어비스(Abyss)</v>
      </c>
      <c r="K709">
        <v>100</v>
      </c>
      <c r="L709">
        <v>2700</v>
      </c>
      <c r="M709">
        <v>27</v>
      </c>
      <c r="N709">
        <v>0</v>
      </c>
      <c r="O709">
        <v>0</v>
      </c>
      <c r="P709">
        <v>0</v>
      </c>
      <c r="Q709">
        <v>1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1620</v>
      </c>
      <c r="AN709" t="str">
        <f t="shared" si="145"/>
        <v>9791190142366</v>
      </c>
      <c r="AP709" t="str">
        <f t="shared" si="146"/>
        <v>BL 웹소설 &gt; 현대물</v>
      </c>
      <c r="AQ709" t="str">
        <f t="shared" si="147"/>
        <v>BL 웹소설 &gt; 판타지물</v>
      </c>
    </row>
    <row r="710" spans="1:43" x14ac:dyDescent="0.4">
      <c r="A710" t="s">
        <v>43</v>
      </c>
      <c r="B710">
        <v>3822000035</v>
      </c>
      <c r="C710">
        <v>3822000044</v>
      </c>
      <c r="D710" t="str">
        <f>T("[연재]어비스(Abyss) 10화")</f>
        <v>[연재]어비스(Abyss) 10화</v>
      </c>
      <c r="E710" t="str">
        <f>T("10")</f>
        <v>10</v>
      </c>
      <c r="F710" t="str">
        <f t="shared" si="143"/>
        <v>퀸에이</v>
      </c>
      <c r="I710" t="str">
        <f t="shared" si="141"/>
        <v>딥블렌드</v>
      </c>
      <c r="J710" t="str">
        <f t="shared" si="144"/>
        <v>[연재]어비스(Abyss)</v>
      </c>
      <c r="K710">
        <v>100</v>
      </c>
      <c r="L710">
        <v>2700</v>
      </c>
      <c r="M710">
        <v>27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1620</v>
      </c>
      <c r="AN710" t="str">
        <f t="shared" si="145"/>
        <v>9791190142366</v>
      </c>
      <c r="AP710" t="str">
        <f t="shared" si="146"/>
        <v>BL 웹소설 &gt; 현대물</v>
      </c>
      <c r="AQ710" t="str">
        <f t="shared" si="147"/>
        <v>BL 웹소설 &gt; 판타지물</v>
      </c>
    </row>
    <row r="711" spans="1:43" x14ac:dyDescent="0.4">
      <c r="A711" t="s">
        <v>43</v>
      </c>
      <c r="B711">
        <v>3822000035</v>
      </c>
      <c r="C711">
        <v>3822000045</v>
      </c>
      <c r="D711" t="str">
        <f>T("[연재]어비스(Abyss) 11화")</f>
        <v>[연재]어비스(Abyss) 11화</v>
      </c>
      <c r="E711" t="str">
        <f>T("11")</f>
        <v>11</v>
      </c>
      <c r="F711" t="str">
        <f t="shared" si="143"/>
        <v>퀸에이</v>
      </c>
      <c r="I711" t="str">
        <f t="shared" si="141"/>
        <v>딥블렌드</v>
      </c>
      <c r="J711" t="str">
        <f t="shared" si="144"/>
        <v>[연재]어비스(Abyss)</v>
      </c>
      <c r="K711">
        <v>100</v>
      </c>
      <c r="L711">
        <v>2700</v>
      </c>
      <c r="M711">
        <v>27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1620</v>
      </c>
      <c r="AN711" t="str">
        <f t="shared" si="145"/>
        <v>9791190142366</v>
      </c>
      <c r="AP711" t="str">
        <f t="shared" si="146"/>
        <v>BL 웹소설 &gt; 현대물</v>
      </c>
      <c r="AQ711" t="str">
        <f t="shared" si="147"/>
        <v>BL 웹소설 &gt; 판타지물</v>
      </c>
    </row>
    <row r="712" spans="1:43" x14ac:dyDescent="0.4">
      <c r="A712" t="s">
        <v>43</v>
      </c>
      <c r="B712">
        <v>3822000035</v>
      </c>
      <c r="C712">
        <v>3822000046</v>
      </c>
      <c r="D712" t="str">
        <f>T("[연재]어비스(Abyss) 12화")</f>
        <v>[연재]어비스(Abyss) 12화</v>
      </c>
      <c r="E712" t="str">
        <f>T("12")</f>
        <v>12</v>
      </c>
      <c r="F712" t="str">
        <f t="shared" si="143"/>
        <v>퀸에이</v>
      </c>
      <c r="I712" t="str">
        <f t="shared" si="141"/>
        <v>딥블렌드</v>
      </c>
      <c r="J712" t="str">
        <f t="shared" si="144"/>
        <v>[연재]어비스(Abyss)</v>
      </c>
      <c r="K712">
        <v>100</v>
      </c>
      <c r="L712">
        <v>2700</v>
      </c>
      <c r="M712">
        <v>27</v>
      </c>
      <c r="N712">
        <v>0</v>
      </c>
      <c r="O712">
        <v>0</v>
      </c>
      <c r="P712">
        <v>0</v>
      </c>
      <c r="Q712">
        <v>1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1620</v>
      </c>
      <c r="AN712" t="str">
        <f t="shared" si="145"/>
        <v>9791190142366</v>
      </c>
      <c r="AP712" t="str">
        <f t="shared" si="146"/>
        <v>BL 웹소설 &gt; 현대물</v>
      </c>
      <c r="AQ712" t="str">
        <f t="shared" si="147"/>
        <v>BL 웹소설 &gt; 판타지물</v>
      </c>
    </row>
    <row r="713" spans="1:43" x14ac:dyDescent="0.4">
      <c r="A713" t="s">
        <v>43</v>
      </c>
      <c r="B713">
        <v>3822000035</v>
      </c>
      <c r="C713">
        <v>3822000048</v>
      </c>
      <c r="D713" t="str">
        <f>T("[연재]어비스(Abyss) 14화")</f>
        <v>[연재]어비스(Abyss) 14화</v>
      </c>
      <c r="E713" t="str">
        <f>T("14")</f>
        <v>14</v>
      </c>
      <c r="F713" t="str">
        <f t="shared" si="143"/>
        <v>퀸에이</v>
      </c>
      <c r="I713" t="str">
        <f t="shared" si="141"/>
        <v>딥블렌드</v>
      </c>
      <c r="J713" t="str">
        <f t="shared" si="144"/>
        <v>[연재]어비스(Abyss)</v>
      </c>
      <c r="K713">
        <v>100</v>
      </c>
      <c r="L713">
        <v>2600</v>
      </c>
      <c r="M713">
        <v>26</v>
      </c>
      <c r="N713">
        <v>0</v>
      </c>
      <c r="O713">
        <v>0</v>
      </c>
      <c r="P713">
        <v>0</v>
      </c>
      <c r="Q713">
        <v>1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1560</v>
      </c>
      <c r="AN713" t="str">
        <f t="shared" si="145"/>
        <v>9791190142366</v>
      </c>
      <c r="AP713" t="str">
        <f t="shared" si="146"/>
        <v>BL 웹소설 &gt; 현대물</v>
      </c>
      <c r="AQ713" t="str">
        <f t="shared" si="147"/>
        <v>BL 웹소설 &gt; 판타지물</v>
      </c>
    </row>
    <row r="714" spans="1:43" x14ac:dyDescent="0.4">
      <c r="A714" t="s">
        <v>43</v>
      </c>
      <c r="B714">
        <v>3822000035</v>
      </c>
      <c r="C714">
        <v>3822000312</v>
      </c>
      <c r="D714" t="str">
        <f>T("[연재]어비스(Abyss) 32화")</f>
        <v>[연재]어비스(Abyss) 32화</v>
      </c>
      <c r="E714" t="str">
        <f>T("32")</f>
        <v>32</v>
      </c>
      <c r="F714" t="str">
        <f t="shared" si="143"/>
        <v>퀸에이</v>
      </c>
      <c r="I714" t="str">
        <f t="shared" si="141"/>
        <v>딥블렌드</v>
      </c>
      <c r="J714" t="str">
        <f t="shared" si="144"/>
        <v>[연재]어비스(Abyss)</v>
      </c>
      <c r="K714">
        <v>100</v>
      </c>
      <c r="L714">
        <v>2600</v>
      </c>
      <c r="M714">
        <v>26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1560</v>
      </c>
      <c r="AN714" t="str">
        <f t="shared" si="145"/>
        <v>9791190142366</v>
      </c>
      <c r="AP714" t="str">
        <f t="shared" si="146"/>
        <v>BL 웹소설 &gt; 현대물</v>
      </c>
      <c r="AQ714" t="str">
        <f t="shared" si="147"/>
        <v>BL 웹소설 &gt; 판타지물</v>
      </c>
    </row>
    <row r="715" spans="1:43" x14ac:dyDescent="0.4">
      <c r="A715" t="s">
        <v>43</v>
      </c>
      <c r="B715">
        <v>3822000437</v>
      </c>
      <c r="C715">
        <v>3822001117</v>
      </c>
      <c r="D715" t="str">
        <f>T("[연재]저승꽃감관 170화")</f>
        <v>[연재]저승꽃감관 170화</v>
      </c>
      <c r="E715" t="str">
        <f>T("170")</f>
        <v>170</v>
      </c>
      <c r="F715" t="str">
        <f>T("에복")</f>
        <v>에복</v>
      </c>
      <c r="I715" t="str">
        <f t="shared" si="141"/>
        <v>딥블렌드</v>
      </c>
      <c r="J715" t="str">
        <f>T("[연재]저승꽃감관")</f>
        <v>[연재]저승꽃감관</v>
      </c>
      <c r="K715">
        <v>100</v>
      </c>
      <c r="L715">
        <v>2600</v>
      </c>
      <c r="M715">
        <v>26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1820</v>
      </c>
      <c r="AN715" t="str">
        <f>T("9791190142502")</f>
        <v>9791190142502</v>
      </c>
      <c r="AP715" t="str">
        <f>T("BL 웹소설 &gt; 역사/시대물")</f>
        <v>BL 웹소설 &gt; 역사/시대물</v>
      </c>
    </row>
    <row r="716" spans="1:43" x14ac:dyDescent="0.4">
      <c r="A716" t="s">
        <v>43</v>
      </c>
      <c r="B716">
        <v>3822000437</v>
      </c>
      <c r="C716">
        <v>3822001103</v>
      </c>
      <c r="D716" t="str">
        <f>T("[연재]저승꽃감관 156화")</f>
        <v>[연재]저승꽃감관 156화</v>
      </c>
      <c r="E716" t="str">
        <f>T("156")</f>
        <v>156</v>
      </c>
      <c r="F716" t="str">
        <f>T("에복")</f>
        <v>에복</v>
      </c>
      <c r="I716" t="str">
        <f t="shared" si="141"/>
        <v>딥블렌드</v>
      </c>
      <c r="J716" t="str">
        <f>T("[연재]저승꽃감관")</f>
        <v>[연재]저승꽃감관</v>
      </c>
      <c r="K716">
        <v>100</v>
      </c>
      <c r="L716">
        <v>2600</v>
      </c>
      <c r="M716">
        <v>26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1820</v>
      </c>
      <c r="AN716" t="str">
        <f>T("9791190142502")</f>
        <v>9791190142502</v>
      </c>
      <c r="AP716" t="str">
        <f>T("BL 웹소설 &gt; 역사/시대물")</f>
        <v>BL 웹소설 &gt; 역사/시대물</v>
      </c>
    </row>
    <row r="717" spans="1:43" x14ac:dyDescent="0.4">
      <c r="A717" t="s">
        <v>43</v>
      </c>
      <c r="B717">
        <v>3822000035</v>
      </c>
      <c r="C717">
        <v>3822000313</v>
      </c>
      <c r="D717" t="str">
        <f>T("[연재]어비스(Abyss) 33화")</f>
        <v>[연재]어비스(Abyss) 33화</v>
      </c>
      <c r="E717" t="str">
        <f>T("33")</f>
        <v>33</v>
      </c>
      <c r="F717" t="str">
        <f>T("퀸에이")</f>
        <v>퀸에이</v>
      </c>
      <c r="I717" t="str">
        <f t="shared" si="141"/>
        <v>딥블렌드</v>
      </c>
      <c r="J717" t="str">
        <f>T("[연재]어비스(Abyss)")</f>
        <v>[연재]어비스(Abyss)</v>
      </c>
      <c r="K717">
        <v>100</v>
      </c>
      <c r="L717">
        <v>2600</v>
      </c>
      <c r="M717">
        <v>26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1560</v>
      </c>
      <c r="AN717" t="str">
        <f>T("9791190142366")</f>
        <v>9791190142366</v>
      </c>
      <c r="AP717" t="str">
        <f>T("BL 웹소설 &gt; 현대물")</f>
        <v>BL 웹소설 &gt; 현대물</v>
      </c>
      <c r="AQ717" t="str">
        <f>T("BL 웹소설 &gt; 판타지물")</f>
        <v>BL 웹소설 &gt; 판타지물</v>
      </c>
    </row>
    <row r="718" spans="1:43" x14ac:dyDescent="0.4">
      <c r="A718" t="s">
        <v>43</v>
      </c>
      <c r="B718">
        <v>3822000035</v>
      </c>
      <c r="C718">
        <v>3822000707</v>
      </c>
      <c r="D718" t="str">
        <f>T("[연재]어비스(Abyss) 112화")</f>
        <v>[연재]어비스(Abyss) 112화</v>
      </c>
      <c r="E718" t="str">
        <f>T("112")</f>
        <v>112</v>
      </c>
      <c r="F718" t="str">
        <f>T("퀸에이")</f>
        <v>퀸에이</v>
      </c>
      <c r="I718" t="str">
        <f t="shared" si="141"/>
        <v>딥블렌드</v>
      </c>
      <c r="J718" t="str">
        <f>T("[연재]어비스(Abyss)")</f>
        <v>[연재]어비스(Abyss)</v>
      </c>
      <c r="K718">
        <v>100</v>
      </c>
      <c r="L718">
        <v>2600</v>
      </c>
      <c r="M718">
        <v>26</v>
      </c>
      <c r="N718">
        <v>0</v>
      </c>
      <c r="O718">
        <v>0</v>
      </c>
      <c r="P718">
        <v>0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1560</v>
      </c>
      <c r="AN718" t="str">
        <f>T("9791190142366")</f>
        <v>9791190142366</v>
      </c>
      <c r="AP718" t="str">
        <f>T("BL 웹소설 &gt; 현대물")</f>
        <v>BL 웹소설 &gt; 현대물</v>
      </c>
      <c r="AQ718" t="str">
        <f>T("BL 웹소설 &gt; 판타지물")</f>
        <v>BL 웹소설 &gt; 판타지물</v>
      </c>
    </row>
    <row r="719" spans="1:43" x14ac:dyDescent="0.4">
      <c r="A719" t="s">
        <v>43</v>
      </c>
      <c r="B719">
        <v>3822000035</v>
      </c>
      <c r="C719">
        <v>3822000373</v>
      </c>
      <c r="D719" t="str">
        <f>T("[연재]어비스(Abyss) 49화")</f>
        <v>[연재]어비스(Abyss) 49화</v>
      </c>
      <c r="E719" t="str">
        <f>T("49")</f>
        <v>49</v>
      </c>
      <c r="F719" t="str">
        <f>T("퀸에이")</f>
        <v>퀸에이</v>
      </c>
      <c r="I719" t="str">
        <f t="shared" si="141"/>
        <v>딥블렌드</v>
      </c>
      <c r="J719" t="str">
        <f>T("[연재]어비스(Abyss)")</f>
        <v>[연재]어비스(Abyss)</v>
      </c>
      <c r="K719">
        <v>100</v>
      </c>
      <c r="L719">
        <v>2600</v>
      </c>
      <c r="M719">
        <v>26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1560</v>
      </c>
      <c r="AN719" t="str">
        <f>T("9791190142366")</f>
        <v>9791190142366</v>
      </c>
      <c r="AP719" t="str">
        <f>T("BL 웹소설 &gt; 현대물")</f>
        <v>BL 웹소설 &gt; 현대물</v>
      </c>
      <c r="AQ719" t="str">
        <f>T("BL 웹소설 &gt; 판타지물")</f>
        <v>BL 웹소설 &gt; 판타지물</v>
      </c>
    </row>
    <row r="720" spans="1:43" x14ac:dyDescent="0.4">
      <c r="A720" t="s">
        <v>43</v>
      </c>
      <c r="B720">
        <v>3822000437</v>
      </c>
      <c r="C720">
        <v>3822001107</v>
      </c>
      <c r="D720" t="str">
        <f>T("[연재]저승꽃감관 160화")</f>
        <v>[연재]저승꽃감관 160화</v>
      </c>
      <c r="E720" t="str">
        <f>T("160")</f>
        <v>160</v>
      </c>
      <c r="F720" t="str">
        <f>T("에복")</f>
        <v>에복</v>
      </c>
      <c r="I720" t="str">
        <f t="shared" si="141"/>
        <v>딥블렌드</v>
      </c>
      <c r="J720" t="str">
        <f>T("[연재]저승꽃감관")</f>
        <v>[연재]저승꽃감관</v>
      </c>
      <c r="K720">
        <v>100</v>
      </c>
      <c r="L720">
        <v>2600</v>
      </c>
      <c r="M720">
        <v>26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1820</v>
      </c>
      <c r="AN720" t="str">
        <f>T("9791190142502")</f>
        <v>9791190142502</v>
      </c>
      <c r="AP720" t="str">
        <f>T("BL 웹소설 &gt; 역사/시대물")</f>
        <v>BL 웹소설 &gt; 역사/시대물</v>
      </c>
    </row>
    <row r="721" spans="1:43" x14ac:dyDescent="0.4">
      <c r="A721" t="s">
        <v>43</v>
      </c>
      <c r="B721">
        <v>3822000748</v>
      </c>
      <c r="C721">
        <v>3822000752</v>
      </c>
      <c r="D721" t="str">
        <f>T("[연재]왓에버 유 두(whatever you do) 5화")</f>
        <v>[연재]왓에버 유 두(whatever you do) 5화</v>
      </c>
      <c r="E721" t="str">
        <f>T("5")</f>
        <v>5</v>
      </c>
      <c r="F721" t="str">
        <f>T("원믹")</f>
        <v>원믹</v>
      </c>
      <c r="I721" t="str">
        <f t="shared" si="141"/>
        <v>딥블렌드</v>
      </c>
      <c r="J721" t="str">
        <f>T("[연재]왓에버 유 두(whatever you do)")</f>
        <v>[연재]왓에버 유 두(whatever you do)</v>
      </c>
      <c r="K721">
        <v>100</v>
      </c>
      <c r="L721">
        <v>2600</v>
      </c>
      <c r="M721">
        <v>26</v>
      </c>
      <c r="N721">
        <v>0</v>
      </c>
      <c r="O721">
        <v>0</v>
      </c>
      <c r="P721">
        <v>0</v>
      </c>
      <c r="Q721">
        <v>34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1590</v>
      </c>
      <c r="AN721" t="str">
        <f>T("9791190142793")</f>
        <v>9791190142793</v>
      </c>
      <c r="AP721" t="str">
        <f t="shared" ref="AP721:AP726" si="148">T("BL 웹소설 &gt; 현대물")</f>
        <v>BL 웹소설 &gt; 현대물</v>
      </c>
    </row>
    <row r="722" spans="1:43" x14ac:dyDescent="0.4">
      <c r="A722" t="s">
        <v>43</v>
      </c>
      <c r="B722">
        <v>3822000748</v>
      </c>
      <c r="C722">
        <v>3822000753</v>
      </c>
      <c r="D722" t="str">
        <f>T("[연재]왓에버 유 두(whatever you do) 6화")</f>
        <v>[연재]왓에버 유 두(whatever you do) 6화</v>
      </c>
      <c r="E722" t="str">
        <f>T("6")</f>
        <v>6</v>
      </c>
      <c r="F722" t="str">
        <f>T("원믹")</f>
        <v>원믹</v>
      </c>
      <c r="I722" t="str">
        <f t="shared" si="141"/>
        <v>딥블렌드</v>
      </c>
      <c r="J722" t="str">
        <f>T("[연재]왓에버 유 두(whatever you do)")</f>
        <v>[연재]왓에버 유 두(whatever you do)</v>
      </c>
      <c r="K722">
        <v>100</v>
      </c>
      <c r="L722">
        <v>2600</v>
      </c>
      <c r="M722">
        <v>26</v>
      </c>
      <c r="N722">
        <v>0</v>
      </c>
      <c r="O722">
        <v>0</v>
      </c>
      <c r="P722">
        <v>0</v>
      </c>
      <c r="Q722">
        <v>33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1590</v>
      </c>
      <c r="AN722" t="str">
        <f>T("9791190142793")</f>
        <v>9791190142793</v>
      </c>
      <c r="AP722" t="str">
        <f t="shared" si="148"/>
        <v>BL 웹소설 &gt; 현대물</v>
      </c>
    </row>
    <row r="723" spans="1:43" x14ac:dyDescent="0.4">
      <c r="A723" t="s">
        <v>43</v>
      </c>
      <c r="B723">
        <v>3822000035</v>
      </c>
      <c r="C723">
        <v>3822000042</v>
      </c>
      <c r="D723" t="str">
        <f>T("[연재]어비스(Abyss) 8화")</f>
        <v>[연재]어비스(Abyss) 8화</v>
      </c>
      <c r="E723" t="str">
        <f>T("8")</f>
        <v>8</v>
      </c>
      <c r="F723" t="str">
        <f>T("퀸에이")</f>
        <v>퀸에이</v>
      </c>
      <c r="I723" t="str">
        <f t="shared" si="141"/>
        <v>딥블렌드</v>
      </c>
      <c r="J723" t="str">
        <f>T("[연재]어비스(Abyss)")</f>
        <v>[연재]어비스(Abyss)</v>
      </c>
      <c r="K723">
        <v>100</v>
      </c>
      <c r="L723">
        <v>2600</v>
      </c>
      <c r="M723">
        <v>26</v>
      </c>
      <c r="N723">
        <v>0</v>
      </c>
      <c r="O723">
        <v>0</v>
      </c>
      <c r="P723">
        <v>0</v>
      </c>
      <c r="Q723">
        <v>1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1560</v>
      </c>
      <c r="AN723" t="str">
        <f>T("9791190142366")</f>
        <v>9791190142366</v>
      </c>
      <c r="AP723" t="str">
        <f t="shared" si="148"/>
        <v>BL 웹소설 &gt; 현대물</v>
      </c>
      <c r="AQ723" t="str">
        <f>T("BL 웹소설 &gt; 판타지물")</f>
        <v>BL 웹소설 &gt; 판타지물</v>
      </c>
    </row>
    <row r="724" spans="1:43" x14ac:dyDescent="0.4">
      <c r="A724" t="s">
        <v>43</v>
      </c>
      <c r="B724">
        <v>3822000035</v>
      </c>
      <c r="C724">
        <v>3822000043</v>
      </c>
      <c r="D724" t="str">
        <f>T("[연재]어비스(Abyss) 9화")</f>
        <v>[연재]어비스(Abyss) 9화</v>
      </c>
      <c r="E724" t="str">
        <f>T("9")</f>
        <v>9</v>
      </c>
      <c r="F724" t="str">
        <f>T("퀸에이")</f>
        <v>퀸에이</v>
      </c>
      <c r="I724" t="str">
        <f t="shared" si="141"/>
        <v>딥블렌드</v>
      </c>
      <c r="J724" t="str">
        <f>T("[연재]어비스(Abyss)")</f>
        <v>[연재]어비스(Abyss)</v>
      </c>
      <c r="K724">
        <v>100</v>
      </c>
      <c r="L724">
        <v>2600</v>
      </c>
      <c r="M724">
        <v>26</v>
      </c>
      <c r="N724">
        <v>0</v>
      </c>
      <c r="O724">
        <v>0</v>
      </c>
      <c r="P724">
        <v>0</v>
      </c>
      <c r="Q724">
        <v>1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1560</v>
      </c>
      <c r="AN724" t="str">
        <f>T("9791190142366")</f>
        <v>9791190142366</v>
      </c>
      <c r="AP724" t="str">
        <f t="shared" si="148"/>
        <v>BL 웹소설 &gt; 현대물</v>
      </c>
      <c r="AQ724" t="str">
        <f>T("BL 웹소설 &gt; 판타지물")</f>
        <v>BL 웹소설 &gt; 판타지물</v>
      </c>
    </row>
    <row r="725" spans="1:43" x14ac:dyDescent="0.4">
      <c r="A725" t="s">
        <v>43</v>
      </c>
      <c r="B725">
        <v>3822000035</v>
      </c>
      <c r="C725">
        <v>3822000309</v>
      </c>
      <c r="D725" t="str">
        <f>T("[연재]어비스(Abyss) 29화")</f>
        <v>[연재]어비스(Abyss) 29화</v>
      </c>
      <c r="E725" t="str">
        <f>T("29")</f>
        <v>29</v>
      </c>
      <c r="F725" t="str">
        <f>T("퀸에이")</f>
        <v>퀸에이</v>
      </c>
      <c r="I725" t="str">
        <f t="shared" si="141"/>
        <v>딥블렌드</v>
      </c>
      <c r="J725" t="str">
        <f>T("[연재]어비스(Abyss)")</f>
        <v>[연재]어비스(Abyss)</v>
      </c>
      <c r="K725">
        <v>100</v>
      </c>
      <c r="L725">
        <v>2600</v>
      </c>
      <c r="M725">
        <v>26</v>
      </c>
      <c r="N725">
        <v>0</v>
      </c>
      <c r="O725">
        <v>0</v>
      </c>
      <c r="P725">
        <v>0</v>
      </c>
      <c r="Q725">
        <v>1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1560</v>
      </c>
      <c r="AN725" t="str">
        <f>T("9791190142366")</f>
        <v>9791190142366</v>
      </c>
      <c r="AP725" t="str">
        <f t="shared" si="148"/>
        <v>BL 웹소설 &gt; 현대물</v>
      </c>
      <c r="AQ725" t="str">
        <f>T("BL 웹소설 &gt; 판타지물")</f>
        <v>BL 웹소설 &gt; 판타지물</v>
      </c>
    </row>
    <row r="726" spans="1:43" x14ac:dyDescent="0.4">
      <c r="A726" t="s">
        <v>43</v>
      </c>
      <c r="B726">
        <v>3822000035</v>
      </c>
      <c r="C726">
        <v>3822000367</v>
      </c>
      <c r="D726" t="str">
        <f>T("[연재]어비스(Abyss) 47화")</f>
        <v>[연재]어비스(Abyss) 47화</v>
      </c>
      <c r="E726" t="str">
        <f>T("47")</f>
        <v>47</v>
      </c>
      <c r="F726" t="str">
        <f>T("퀸에이")</f>
        <v>퀸에이</v>
      </c>
      <c r="I726" t="str">
        <f t="shared" si="141"/>
        <v>딥블렌드</v>
      </c>
      <c r="J726" t="str">
        <f>T("[연재]어비스(Abyss)")</f>
        <v>[연재]어비스(Abyss)</v>
      </c>
      <c r="K726">
        <v>100</v>
      </c>
      <c r="L726">
        <v>2500</v>
      </c>
      <c r="M726">
        <v>25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1500</v>
      </c>
      <c r="AN726" t="str">
        <f>T("9791190142366")</f>
        <v>9791190142366</v>
      </c>
      <c r="AP726" t="str">
        <f t="shared" si="148"/>
        <v>BL 웹소설 &gt; 현대물</v>
      </c>
      <c r="AQ726" t="str">
        <f>T("BL 웹소설 &gt; 판타지물")</f>
        <v>BL 웹소설 &gt; 판타지물</v>
      </c>
    </row>
    <row r="727" spans="1:43" x14ac:dyDescent="0.4">
      <c r="A727" t="s">
        <v>43</v>
      </c>
      <c r="B727">
        <v>3822000437</v>
      </c>
      <c r="C727">
        <v>3822001115</v>
      </c>
      <c r="D727" t="str">
        <f>T("[연재]저승꽃감관 168화")</f>
        <v>[연재]저승꽃감관 168화</v>
      </c>
      <c r="E727" t="str">
        <f>T("168")</f>
        <v>168</v>
      </c>
      <c r="F727" t="str">
        <f>T("에복")</f>
        <v>에복</v>
      </c>
      <c r="I727" t="str">
        <f t="shared" si="141"/>
        <v>딥블렌드</v>
      </c>
      <c r="J727" t="str">
        <f>T("[연재]저승꽃감관")</f>
        <v>[연재]저승꽃감관</v>
      </c>
      <c r="K727">
        <v>100</v>
      </c>
      <c r="L727">
        <v>2500</v>
      </c>
      <c r="M727">
        <v>25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1750</v>
      </c>
      <c r="AN727" t="str">
        <f>T("9791190142502")</f>
        <v>9791190142502</v>
      </c>
      <c r="AP727" t="str">
        <f>T("BL 웹소설 &gt; 역사/시대물")</f>
        <v>BL 웹소설 &gt; 역사/시대물</v>
      </c>
    </row>
    <row r="728" spans="1:43" x14ac:dyDescent="0.4">
      <c r="A728" t="s">
        <v>43</v>
      </c>
      <c r="B728">
        <v>3822000437</v>
      </c>
      <c r="C728">
        <v>3822001101</v>
      </c>
      <c r="D728" t="str">
        <f>T("[연재]저승꽃감관 154화")</f>
        <v>[연재]저승꽃감관 154화</v>
      </c>
      <c r="E728" t="str">
        <f>T("154")</f>
        <v>154</v>
      </c>
      <c r="F728" t="str">
        <f>T("에복")</f>
        <v>에복</v>
      </c>
      <c r="I728" t="str">
        <f t="shared" si="141"/>
        <v>딥블렌드</v>
      </c>
      <c r="J728" t="str">
        <f>T("[연재]저승꽃감관")</f>
        <v>[연재]저승꽃감관</v>
      </c>
      <c r="K728">
        <v>100</v>
      </c>
      <c r="L728">
        <v>2500</v>
      </c>
      <c r="M728">
        <v>25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1750</v>
      </c>
      <c r="AN728" t="str">
        <f>T("9791190142502")</f>
        <v>9791190142502</v>
      </c>
      <c r="AP728" t="str">
        <f>T("BL 웹소설 &gt; 역사/시대물")</f>
        <v>BL 웹소설 &gt; 역사/시대물</v>
      </c>
    </row>
    <row r="729" spans="1:43" x14ac:dyDescent="0.4">
      <c r="A729" t="s">
        <v>43</v>
      </c>
      <c r="B729">
        <v>3822000035</v>
      </c>
      <c r="C729">
        <v>3822000717</v>
      </c>
      <c r="D729" t="str">
        <f>T("[연재]어비스(Abyss) 115화")</f>
        <v>[연재]어비스(Abyss) 115화</v>
      </c>
      <c r="E729" t="str">
        <f>T("115")</f>
        <v>115</v>
      </c>
      <c r="F729" t="str">
        <f>T("퀸에이")</f>
        <v>퀸에이</v>
      </c>
      <c r="I729" t="str">
        <f t="shared" si="141"/>
        <v>딥블렌드</v>
      </c>
      <c r="J729" t="str">
        <f>T("[연재]어비스(Abyss)")</f>
        <v>[연재]어비스(Abyss)</v>
      </c>
      <c r="K729">
        <v>100</v>
      </c>
      <c r="L729">
        <v>2500</v>
      </c>
      <c r="M729">
        <v>25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1500</v>
      </c>
      <c r="AN729" t="str">
        <f>T("9791190142366")</f>
        <v>9791190142366</v>
      </c>
      <c r="AP729" t="str">
        <f>T("BL 웹소설 &gt; 현대물")</f>
        <v>BL 웹소설 &gt; 현대물</v>
      </c>
      <c r="AQ729" t="str">
        <f>T("BL 웹소설 &gt; 판타지물")</f>
        <v>BL 웹소설 &gt; 판타지물</v>
      </c>
    </row>
    <row r="730" spans="1:43" x14ac:dyDescent="0.4">
      <c r="A730" t="s">
        <v>43</v>
      </c>
      <c r="B730">
        <v>3822000437</v>
      </c>
      <c r="C730">
        <v>3822001102</v>
      </c>
      <c r="D730" t="str">
        <f>T("[연재]저승꽃감관 155화")</f>
        <v>[연재]저승꽃감관 155화</v>
      </c>
      <c r="E730" t="str">
        <f>T("155")</f>
        <v>155</v>
      </c>
      <c r="F730" t="str">
        <f>T("에복")</f>
        <v>에복</v>
      </c>
      <c r="I730" t="str">
        <f t="shared" si="141"/>
        <v>딥블렌드</v>
      </c>
      <c r="J730" t="str">
        <f>T("[연재]저승꽃감관")</f>
        <v>[연재]저승꽃감관</v>
      </c>
      <c r="K730">
        <v>100</v>
      </c>
      <c r="L730">
        <v>2500</v>
      </c>
      <c r="M730">
        <v>25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1750</v>
      </c>
      <c r="AN730" t="str">
        <f>T("9791190142502")</f>
        <v>9791190142502</v>
      </c>
      <c r="AP730" t="str">
        <f>T("BL 웹소설 &gt; 역사/시대물")</f>
        <v>BL 웹소설 &gt; 역사/시대물</v>
      </c>
    </row>
    <row r="731" spans="1:43" x14ac:dyDescent="0.4">
      <c r="A731" t="s">
        <v>43</v>
      </c>
      <c r="B731">
        <v>3822000035</v>
      </c>
      <c r="C731">
        <v>3822000370</v>
      </c>
      <c r="D731" t="str">
        <f>T("[연재]어비스(Abyss) 48화")</f>
        <v>[연재]어비스(Abyss) 48화</v>
      </c>
      <c r="E731" t="str">
        <f>T("48")</f>
        <v>48</v>
      </c>
      <c r="F731" t="str">
        <f>T("퀸에이")</f>
        <v>퀸에이</v>
      </c>
      <c r="I731" t="str">
        <f t="shared" si="141"/>
        <v>딥블렌드</v>
      </c>
      <c r="J731" t="str">
        <f>T("[연재]어비스(Abyss)")</f>
        <v>[연재]어비스(Abyss)</v>
      </c>
      <c r="K731">
        <v>100</v>
      </c>
      <c r="L731">
        <v>2500</v>
      </c>
      <c r="M731">
        <v>25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1500</v>
      </c>
      <c r="AN731" t="str">
        <f>T("9791190142366")</f>
        <v>9791190142366</v>
      </c>
      <c r="AP731" t="str">
        <f>T("BL 웹소설 &gt; 현대물")</f>
        <v>BL 웹소설 &gt; 현대물</v>
      </c>
      <c r="AQ731" t="str">
        <f>T("BL 웹소설 &gt; 판타지물")</f>
        <v>BL 웹소설 &gt; 판타지물</v>
      </c>
    </row>
    <row r="732" spans="1:43" x14ac:dyDescent="0.4">
      <c r="A732" t="s">
        <v>43</v>
      </c>
      <c r="B732">
        <v>3822000437</v>
      </c>
      <c r="C732">
        <v>3822001104</v>
      </c>
      <c r="D732" t="str">
        <f>T("[연재]저승꽃감관 157화")</f>
        <v>[연재]저승꽃감관 157화</v>
      </c>
      <c r="E732" t="str">
        <f>T("157")</f>
        <v>157</v>
      </c>
      <c r="F732" t="str">
        <f>T("에복")</f>
        <v>에복</v>
      </c>
      <c r="I732" t="str">
        <f t="shared" si="141"/>
        <v>딥블렌드</v>
      </c>
      <c r="J732" t="str">
        <f>T("[연재]저승꽃감관")</f>
        <v>[연재]저승꽃감관</v>
      </c>
      <c r="K732">
        <v>100</v>
      </c>
      <c r="L732">
        <v>2500</v>
      </c>
      <c r="M732">
        <v>25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1750</v>
      </c>
      <c r="AN732" t="str">
        <f>T("9791190142502")</f>
        <v>9791190142502</v>
      </c>
      <c r="AP732" t="str">
        <f>T("BL 웹소설 &gt; 역사/시대물")</f>
        <v>BL 웹소설 &gt; 역사/시대물</v>
      </c>
    </row>
    <row r="733" spans="1:43" x14ac:dyDescent="0.4">
      <c r="A733" t="s">
        <v>43</v>
      </c>
      <c r="B733">
        <v>3822000437</v>
      </c>
      <c r="C733">
        <v>3822001105</v>
      </c>
      <c r="D733" t="str">
        <f>T("[연재]저승꽃감관 158화")</f>
        <v>[연재]저승꽃감관 158화</v>
      </c>
      <c r="E733" t="str">
        <f>T("158")</f>
        <v>158</v>
      </c>
      <c r="F733" t="str">
        <f>T("에복")</f>
        <v>에복</v>
      </c>
      <c r="I733" t="str">
        <f t="shared" si="141"/>
        <v>딥블렌드</v>
      </c>
      <c r="J733" t="str">
        <f>T("[연재]저승꽃감관")</f>
        <v>[연재]저승꽃감관</v>
      </c>
      <c r="K733">
        <v>100</v>
      </c>
      <c r="L733">
        <v>2500</v>
      </c>
      <c r="M733">
        <v>25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1750</v>
      </c>
      <c r="AN733" t="str">
        <f>T("9791190142502")</f>
        <v>9791190142502</v>
      </c>
      <c r="AP733" t="str">
        <f>T("BL 웹소설 &gt; 역사/시대물")</f>
        <v>BL 웹소설 &gt; 역사/시대물</v>
      </c>
    </row>
    <row r="734" spans="1:43" x14ac:dyDescent="0.4">
      <c r="A734" t="s">
        <v>43</v>
      </c>
      <c r="B734">
        <v>3822000035</v>
      </c>
      <c r="C734">
        <v>3822000315</v>
      </c>
      <c r="D734" t="str">
        <f>T("[연재]어비스(Abyss) 35화")</f>
        <v>[연재]어비스(Abyss) 35화</v>
      </c>
      <c r="E734" t="str">
        <f>T("35")</f>
        <v>35</v>
      </c>
      <c r="F734" t="str">
        <f>T("퀸에이")</f>
        <v>퀸에이</v>
      </c>
      <c r="I734" t="str">
        <f t="shared" si="141"/>
        <v>딥블렌드</v>
      </c>
      <c r="J734" t="str">
        <f>T("[연재]어비스(Abyss)")</f>
        <v>[연재]어비스(Abyss)</v>
      </c>
      <c r="K734">
        <v>100</v>
      </c>
      <c r="L734">
        <v>2500</v>
      </c>
      <c r="M734">
        <v>25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1500</v>
      </c>
      <c r="AN734" t="str">
        <f>T("9791190142366")</f>
        <v>9791190142366</v>
      </c>
      <c r="AP734" t="str">
        <f t="shared" ref="AP734:AP756" si="149">T("BL 웹소설 &gt; 현대물")</f>
        <v>BL 웹소설 &gt; 현대물</v>
      </c>
      <c r="AQ734" t="str">
        <f>T("BL 웹소설 &gt; 판타지물")</f>
        <v>BL 웹소설 &gt; 판타지물</v>
      </c>
    </row>
    <row r="735" spans="1:43" x14ac:dyDescent="0.4">
      <c r="A735" t="s">
        <v>43</v>
      </c>
      <c r="B735">
        <v>3822000035</v>
      </c>
      <c r="C735">
        <v>3822000316</v>
      </c>
      <c r="D735" t="str">
        <f>T("[연재]어비스(Abyss) 36화")</f>
        <v>[연재]어비스(Abyss) 36화</v>
      </c>
      <c r="E735" t="str">
        <f>T("36")</f>
        <v>36</v>
      </c>
      <c r="F735" t="str">
        <f>T("퀸에이")</f>
        <v>퀸에이</v>
      </c>
      <c r="I735" t="str">
        <f t="shared" si="141"/>
        <v>딥블렌드</v>
      </c>
      <c r="J735" t="str">
        <f>T("[연재]어비스(Abyss)")</f>
        <v>[연재]어비스(Abyss)</v>
      </c>
      <c r="K735">
        <v>100</v>
      </c>
      <c r="L735">
        <v>2500</v>
      </c>
      <c r="M735">
        <v>25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1500</v>
      </c>
      <c r="AN735" t="str">
        <f>T("9791190142366")</f>
        <v>9791190142366</v>
      </c>
      <c r="AP735" t="str">
        <f t="shared" si="149"/>
        <v>BL 웹소설 &gt; 현대물</v>
      </c>
      <c r="AQ735" t="str">
        <f>T("BL 웹소설 &gt; 판타지물")</f>
        <v>BL 웹소설 &gt; 판타지물</v>
      </c>
    </row>
    <row r="736" spans="1:43" x14ac:dyDescent="0.4">
      <c r="A736" t="s">
        <v>43</v>
      </c>
      <c r="B736">
        <v>3822000035</v>
      </c>
      <c r="C736">
        <v>3822000317</v>
      </c>
      <c r="D736" t="str">
        <f>T("[연재]어비스(Abyss) 37화")</f>
        <v>[연재]어비스(Abyss) 37화</v>
      </c>
      <c r="E736" t="str">
        <f>T("37")</f>
        <v>37</v>
      </c>
      <c r="F736" t="str">
        <f>T("퀸에이")</f>
        <v>퀸에이</v>
      </c>
      <c r="I736" t="str">
        <f t="shared" si="141"/>
        <v>딥블렌드</v>
      </c>
      <c r="J736" t="str">
        <f>T("[연재]어비스(Abyss)")</f>
        <v>[연재]어비스(Abyss)</v>
      </c>
      <c r="K736">
        <v>100</v>
      </c>
      <c r="L736">
        <v>2500</v>
      </c>
      <c r="M736">
        <v>25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1500</v>
      </c>
      <c r="AN736" t="str">
        <f>T("9791190142366")</f>
        <v>9791190142366</v>
      </c>
      <c r="AP736" t="str">
        <f t="shared" si="149"/>
        <v>BL 웹소설 &gt; 현대물</v>
      </c>
      <c r="AQ736" t="str">
        <f>T("BL 웹소설 &gt; 판타지물")</f>
        <v>BL 웹소설 &gt; 판타지물</v>
      </c>
    </row>
    <row r="737" spans="1:43" x14ac:dyDescent="0.4">
      <c r="A737" t="s">
        <v>43</v>
      </c>
      <c r="B737">
        <v>3822000035</v>
      </c>
      <c r="C737">
        <v>3822000318</v>
      </c>
      <c r="D737" t="str">
        <f>T("[연재]어비스(Abyss) 38화")</f>
        <v>[연재]어비스(Abyss) 38화</v>
      </c>
      <c r="E737" t="str">
        <f>T("38")</f>
        <v>38</v>
      </c>
      <c r="F737" t="str">
        <f>T("퀸에이")</f>
        <v>퀸에이</v>
      </c>
      <c r="I737" t="str">
        <f t="shared" si="141"/>
        <v>딥블렌드</v>
      </c>
      <c r="J737" t="str">
        <f>T("[연재]어비스(Abyss)")</f>
        <v>[연재]어비스(Abyss)</v>
      </c>
      <c r="K737">
        <v>100</v>
      </c>
      <c r="L737">
        <v>2500</v>
      </c>
      <c r="M737">
        <v>25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1500</v>
      </c>
      <c r="AN737" t="str">
        <f>T("9791190142366")</f>
        <v>9791190142366</v>
      </c>
      <c r="AP737" t="str">
        <f t="shared" si="149"/>
        <v>BL 웹소설 &gt; 현대물</v>
      </c>
      <c r="AQ737" t="str">
        <f>T("BL 웹소설 &gt; 판타지물")</f>
        <v>BL 웹소설 &gt; 판타지물</v>
      </c>
    </row>
    <row r="738" spans="1:43" x14ac:dyDescent="0.4">
      <c r="A738" t="s">
        <v>43</v>
      </c>
      <c r="B738">
        <v>3822000035</v>
      </c>
      <c r="C738">
        <v>3822000319</v>
      </c>
      <c r="D738" t="str">
        <f>T("[연재]어비스(Abyss) 39화")</f>
        <v>[연재]어비스(Abyss) 39화</v>
      </c>
      <c r="E738" t="str">
        <f>T("39")</f>
        <v>39</v>
      </c>
      <c r="F738" t="str">
        <f>T("퀸에이")</f>
        <v>퀸에이</v>
      </c>
      <c r="I738" t="str">
        <f t="shared" si="141"/>
        <v>딥블렌드</v>
      </c>
      <c r="J738" t="str">
        <f>T("[연재]어비스(Abyss)")</f>
        <v>[연재]어비스(Abyss)</v>
      </c>
      <c r="K738">
        <v>100</v>
      </c>
      <c r="L738">
        <v>2500</v>
      </c>
      <c r="M738">
        <v>25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1500</v>
      </c>
      <c r="AN738" t="str">
        <f>T("9791190142366")</f>
        <v>9791190142366</v>
      </c>
      <c r="AP738" t="str">
        <f t="shared" si="149"/>
        <v>BL 웹소설 &gt; 현대물</v>
      </c>
      <c r="AQ738" t="str">
        <f>T("BL 웹소설 &gt; 판타지물")</f>
        <v>BL 웹소설 &gt; 판타지물</v>
      </c>
    </row>
    <row r="739" spans="1:43" x14ac:dyDescent="0.4">
      <c r="A739" t="s">
        <v>43</v>
      </c>
      <c r="B739">
        <v>3822000748</v>
      </c>
      <c r="C739">
        <v>3822000754</v>
      </c>
      <c r="D739" t="str">
        <f>T("[연재]왓에버 유 두(whatever you do) 7화")</f>
        <v>[연재]왓에버 유 두(whatever you do) 7화</v>
      </c>
      <c r="E739" t="str">
        <f>T("7")</f>
        <v>7</v>
      </c>
      <c r="F739" t="str">
        <f>T("원믹")</f>
        <v>원믹</v>
      </c>
      <c r="I739" t="str">
        <f t="shared" si="141"/>
        <v>딥블렌드</v>
      </c>
      <c r="J739" t="str">
        <f>T("[연재]왓에버 유 두(whatever you do)")</f>
        <v>[연재]왓에버 유 두(whatever you do)</v>
      </c>
      <c r="K739">
        <v>100</v>
      </c>
      <c r="L739">
        <v>2500</v>
      </c>
      <c r="M739">
        <v>25</v>
      </c>
      <c r="N739">
        <v>0</v>
      </c>
      <c r="O739">
        <v>0</v>
      </c>
      <c r="P739">
        <v>0</v>
      </c>
      <c r="Q739">
        <v>31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1530</v>
      </c>
      <c r="AN739" t="str">
        <f>T("9791190142793")</f>
        <v>9791190142793</v>
      </c>
      <c r="AP739" t="str">
        <f t="shared" si="149"/>
        <v>BL 웹소설 &gt; 현대물</v>
      </c>
    </row>
    <row r="740" spans="1:43" x14ac:dyDescent="0.4">
      <c r="A740" t="s">
        <v>43</v>
      </c>
      <c r="B740">
        <v>3822000035</v>
      </c>
      <c r="C740">
        <v>3822000642</v>
      </c>
      <c r="D740" t="str">
        <f>T("[연재]어비스(Abyss) 107화")</f>
        <v>[연재]어비스(Abyss) 107화</v>
      </c>
      <c r="E740" t="str">
        <f>T("107")</f>
        <v>107</v>
      </c>
      <c r="F740" t="str">
        <f t="shared" ref="F740:F756" si="150">T("퀸에이")</f>
        <v>퀸에이</v>
      </c>
      <c r="I740" t="str">
        <f t="shared" si="141"/>
        <v>딥블렌드</v>
      </c>
      <c r="J740" t="str">
        <f t="shared" ref="J740:J756" si="151">T("[연재]어비스(Abyss)")</f>
        <v>[연재]어비스(Abyss)</v>
      </c>
      <c r="K740">
        <v>100</v>
      </c>
      <c r="L740">
        <v>2500</v>
      </c>
      <c r="M740">
        <v>25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1500</v>
      </c>
      <c r="AN740" t="str">
        <f t="shared" ref="AN740:AN756" si="152">T("9791190142366")</f>
        <v>9791190142366</v>
      </c>
      <c r="AP740" t="str">
        <f t="shared" si="149"/>
        <v>BL 웹소설 &gt; 현대물</v>
      </c>
      <c r="AQ740" t="str">
        <f t="shared" ref="AQ740:AQ756" si="153">T("BL 웹소설 &gt; 판타지물")</f>
        <v>BL 웹소설 &gt; 판타지물</v>
      </c>
    </row>
    <row r="741" spans="1:43" x14ac:dyDescent="0.4">
      <c r="A741" t="s">
        <v>43</v>
      </c>
      <c r="B741">
        <v>3822000035</v>
      </c>
      <c r="C741">
        <v>3822000713</v>
      </c>
      <c r="D741" t="str">
        <f>T("[연재]어비스(Abyss) 113화")</f>
        <v>[연재]어비스(Abyss) 113화</v>
      </c>
      <c r="E741" t="str">
        <f>T("113")</f>
        <v>113</v>
      </c>
      <c r="F741" t="str">
        <f t="shared" si="150"/>
        <v>퀸에이</v>
      </c>
      <c r="I741" t="str">
        <f t="shared" si="141"/>
        <v>딥블렌드</v>
      </c>
      <c r="J741" t="str">
        <f t="shared" si="151"/>
        <v>[연재]어비스(Abyss)</v>
      </c>
      <c r="K741">
        <v>100</v>
      </c>
      <c r="L741">
        <v>2500</v>
      </c>
      <c r="M741">
        <v>25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1500</v>
      </c>
      <c r="AN741" t="str">
        <f t="shared" si="152"/>
        <v>9791190142366</v>
      </c>
      <c r="AP741" t="str">
        <f t="shared" si="149"/>
        <v>BL 웹소설 &gt; 현대물</v>
      </c>
      <c r="AQ741" t="str">
        <f t="shared" si="153"/>
        <v>BL 웹소설 &gt; 판타지물</v>
      </c>
    </row>
    <row r="742" spans="1:43" x14ac:dyDescent="0.4">
      <c r="A742" t="s">
        <v>43</v>
      </c>
      <c r="B742">
        <v>3822000035</v>
      </c>
      <c r="C742">
        <v>3822000350</v>
      </c>
      <c r="D742" t="str">
        <f>T("[연재]어비스(Abyss) 43화")</f>
        <v>[연재]어비스(Abyss) 43화</v>
      </c>
      <c r="E742" t="str">
        <f>T("43")</f>
        <v>43</v>
      </c>
      <c r="F742" t="str">
        <f t="shared" si="150"/>
        <v>퀸에이</v>
      </c>
      <c r="I742" t="str">
        <f t="shared" si="141"/>
        <v>딥블렌드</v>
      </c>
      <c r="J742" t="str">
        <f t="shared" si="151"/>
        <v>[연재]어비스(Abyss)</v>
      </c>
      <c r="K742">
        <v>100</v>
      </c>
      <c r="L742">
        <v>2500</v>
      </c>
      <c r="M742">
        <v>25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1500</v>
      </c>
      <c r="AN742" t="str">
        <f t="shared" si="152"/>
        <v>9791190142366</v>
      </c>
      <c r="AP742" t="str">
        <f t="shared" si="149"/>
        <v>BL 웹소설 &gt; 현대물</v>
      </c>
      <c r="AQ742" t="str">
        <f t="shared" si="153"/>
        <v>BL 웹소설 &gt; 판타지물</v>
      </c>
    </row>
    <row r="743" spans="1:43" x14ac:dyDescent="0.4">
      <c r="A743" t="s">
        <v>43</v>
      </c>
      <c r="B743">
        <v>3822000035</v>
      </c>
      <c r="C743">
        <v>3822000324</v>
      </c>
      <c r="D743" t="str">
        <f>T("[연재]어비스(Abyss) 42화")</f>
        <v>[연재]어비스(Abyss) 42화</v>
      </c>
      <c r="E743" t="str">
        <f>T("42")</f>
        <v>42</v>
      </c>
      <c r="F743" t="str">
        <f t="shared" si="150"/>
        <v>퀸에이</v>
      </c>
      <c r="I743" t="str">
        <f t="shared" si="141"/>
        <v>딥블렌드</v>
      </c>
      <c r="J743" t="str">
        <f t="shared" si="151"/>
        <v>[연재]어비스(Abyss)</v>
      </c>
      <c r="K743">
        <v>100</v>
      </c>
      <c r="L743">
        <v>2400</v>
      </c>
      <c r="M743">
        <v>24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1440</v>
      </c>
      <c r="AN743" t="str">
        <f t="shared" si="152"/>
        <v>9791190142366</v>
      </c>
      <c r="AP743" t="str">
        <f t="shared" si="149"/>
        <v>BL 웹소설 &gt; 현대물</v>
      </c>
      <c r="AQ743" t="str">
        <f t="shared" si="153"/>
        <v>BL 웹소설 &gt; 판타지물</v>
      </c>
    </row>
    <row r="744" spans="1:43" x14ac:dyDescent="0.4">
      <c r="A744" t="s">
        <v>43</v>
      </c>
      <c r="B744">
        <v>3822000035</v>
      </c>
      <c r="C744">
        <v>3822000688</v>
      </c>
      <c r="D744" t="str">
        <f>T("[연재]어비스(Abyss) 109화")</f>
        <v>[연재]어비스(Abyss) 109화</v>
      </c>
      <c r="E744" t="str">
        <f>T("109")</f>
        <v>109</v>
      </c>
      <c r="F744" t="str">
        <f t="shared" si="150"/>
        <v>퀸에이</v>
      </c>
      <c r="I744" t="str">
        <f t="shared" si="141"/>
        <v>딥블렌드</v>
      </c>
      <c r="J744" t="str">
        <f t="shared" si="151"/>
        <v>[연재]어비스(Abyss)</v>
      </c>
      <c r="K744">
        <v>100</v>
      </c>
      <c r="L744">
        <v>2400</v>
      </c>
      <c r="M744">
        <v>24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1440</v>
      </c>
      <c r="AN744" t="str">
        <f t="shared" si="152"/>
        <v>9791190142366</v>
      </c>
      <c r="AP744" t="str">
        <f t="shared" si="149"/>
        <v>BL 웹소설 &gt; 현대물</v>
      </c>
      <c r="AQ744" t="str">
        <f t="shared" si="153"/>
        <v>BL 웹소설 &gt; 판타지물</v>
      </c>
    </row>
    <row r="745" spans="1:43" x14ac:dyDescent="0.4">
      <c r="A745" t="s">
        <v>43</v>
      </c>
      <c r="B745">
        <v>3822000035</v>
      </c>
      <c r="C745">
        <v>3822000621</v>
      </c>
      <c r="D745" t="str">
        <f>T("[연재]어비스(Abyss) 103화")</f>
        <v>[연재]어비스(Abyss) 103화</v>
      </c>
      <c r="E745" t="str">
        <f>T("103")</f>
        <v>103</v>
      </c>
      <c r="F745" t="str">
        <f t="shared" si="150"/>
        <v>퀸에이</v>
      </c>
      <c r="I745" t="str">
        <f t="shared" si="141"/>
        <v>딥블렌드</v>
      </c>
      <c r="J745" t="str">
        <f t="shared" si="151"/>
        <v>[연재]어비스(Abyss)</v>
      </c>
      <c r="K745">
        <v>100</v>
      </c>
      <c r="L745">
        <v>2400</v>
      </c>
      <c r="M745">
        <v>24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1440</v>
      </c>
      <c r="AN745" t="str">
        <f t="shared" si="152"/>
        <v>9791190142366</v>
      </c>
      <c r="AP745" t="str">
        <f t="shared" si="149"/>
        <v>BL 웹소설 &gt; 현대물</v>
      </c>
      <c r="AQ745" t="str">
        <f t="shared" si="153"/>
        <v>BL 웹소설 &gt; 판타지물</v>
      </c>
    </row>
    <row r="746" spans="1:43" x14ac:dyDescent="0.4">
      <c r="A746" t="s">
        <v>43</v>
      </c>
      <c r="B746">
        <v>3822000035</v>
      </c>
      <c r="C746">
        <v>3822000607</v>
      </c>
      <c r="D746" t="str">
        <f>T("[연재]어비스(Abyss) 96화")</f>
        <v>[연재]어비스(Abyss) 96화</v>
      </c>
      <c r="E746" t="str">
        <f>T("96")</f>
        <v>96</v>
      </c>
      <c r="F746" t="str">
        <f t="shared" si="150"/>
        <v>퀸에이</v>
      </c>
      <c r="I746" t="str">
        <f t="shared" ref="I746:I809" si="154">T("딥블렌드")</f>
        <v>딥블렌드</v>
      </c>
      <c r="J746" t="str">
        <f t="shared" si="151"/>
        <v>[연재]어비스(Abyss)</v>
      </c>
      <c r="K746">
        <v>100</v>
      </c>
      <c r="L746">
        <v>2400</v>
      </c>
      <c r="M746">
        <v>24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1440</v>
      </c>
      <c r="AN746" t="str">
        <f t="shared" si="152"/>
        <v>9791190142366</v>
      </c>
      <c r="AP746" t="str">
        <f t="shared" si="149"/>
        <v>BL 웹소설 &gt; 현대물</v>
      </c>
      <c r="AQ746" t="str">
        <f t="shared" si="153"/>
        <v>BL 웹소설 &gt; 판타지물</v>
      </c>
    </row>
    <row r="747" spans="1:43" x14ac:dyDescent="0.4">
      <c r="A747" t="s">
        <v>43</v>
      </c>
      <c r="B747">
        <v>3822000035</v>
      </c>
      <c r="C747">
        <v>3822000354</v>
      </c>
      <c r="D747" t="str">
        <f>T("[연재]어비스(Abyss) 44화")</f>
        <v>[연재]어비스(Abyss) 44화</v>
      </c>
      <c r="E747" t="str">
        <f>T("44")</f>
        <v>44</v>
      </c>
      <c r="F747" t="str">
        <f t="shared" si="150"/>
        <v>퀸에이</v>
      </c>
      <c r="I747" t="str">
        <f t="shared" si="154"/>
        <v>딥블렌드</v>
      </c>
      <c r="J747" t="str">
        <f t="shared" si="151"/>
        <v>[연재]어비스(Abyss)</v>
      </c>
      <c r="K747">
        <v>100</v>
      </c>
      <c r="L747">
        <v>2400</v>
      </c>
      <c r="M747">
        <v>24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1440</v>
      </c>
      <c r="AN747" t="str">
        <f t="shared" si="152"/>
        <v>9791190142366</v>
      </c>
      <c r="AP747" t="str">
        <f t="shared" si="149"/>
        <v>BL 웹소설 &gt; 현대물</v>
      </c>
      <c r="AQ747" t="str">
        <f t="shared" si="153"/>
        <v>BL 웹소설 &gt; 판타지물</v>
      </c>
    </row>
    <row r="748" spans="1:43" x14ac:dyDescent="0.4">
      <c r="A748" t="s">
        <v>43</v>
      </c>
      <c r="B748">
        <v>3822000035</v>
      </c>
      <c r="C748">
        <v>3822000355</v>
      </c>
      <c r="D748" t="str">
        <f>T("[연재]어비스(Abyss) 45화")</f>
        <v>[연재]어비스(Abyss) 45화</v>
      </c>
      <c r="E748" t="str">
        <f>T("45")</f>
        <v>45</v>
      </c>
      <c r="F748" t="str">
        <f t="shared" si="150"/>
        <v>퀸에이</v>
      </c>
      <c r="I748" t="str">
        <f t="shared" si="154"/>
        <v>딥블렌드</v>
      </c>
      <c r="J748" t="str">
        <f t="shared" si="151"/>
        <v>[연재]어비스(Abyss)</v>
      </c>
      <c r="K748">
        <v>100</v>
      </c>
      <c r="L748">
        <v>2400</v>
      </c>
      <c r="M748">
        <v>24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1440</v>
      </c>
      <c r="AN748" t="str">
        <f t="shared" si="152"/>
        <v>9791190142366</v>
      </c>
      <c r="AP748" t="str">
        <f t="shared" si="149"/>
        <v>BL 웹소설 &gt; 현대물</v>
      </c>
      <c r="AQ748" t="str">
        <f t="shared" si="153"/>
        <v>BL 웹소설 &gt; 판타지물</v>
      </c>
    </row>
    <row r="749" spans="1:43" x14ac:dyDescent="0.4">
      <c r="A749" t="s">
        <v>43</v>
      </c>
      <c r="B749">
        <v>3822000035</v>
      </c>
      <c r="C749">
        <v>3822000384</v>
      </c>
      <c r="D749" t="str">
        <f>T("[연재]어비스(Abyss) 53화")</f>
        <v>[연재]어비스(Abyss) 53화</v>
      </c>
      <c r="E749" t="str">
        <f>T("53")</f>
        <v>53</v>
      </c>
      <c r="F749" t="str">
        <f t="shared" si="150"/>
        <v>퀸에이</v>
      </c>
      <c r="I749" t="str">
        <f t="shared" si="154"/>
        <v>딥블렌드</v>
      </c>
      <c r="J749" t="str">
        <f t="shared" si="151"/>
        <v>[연재]어비스(Abyss)</v>
      </c>
      <c r="K749">
        <v>100</v>
      </c>
      <c r="L749">
        <v>2400</v>
      </c>
      <c r="M749">
        <v>24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1440</v>
      </c>
      <c r="AN749" t="str">
        <f t="shared" si="152"/>
        <v>9791190142366</v>
      </c>
      <c r="AP749" t="str">
        <f t="shared" si="149"/>
        <v>BL 웹소설 &gt; 현대물</v>
      </c>
      <c r="AQ749" t="str">
        <f t="shared" si="153"/>
        <v>BL 웹소설 &gt; 판타지물</v>
      </c>
    </row>
    <row r="750" spans="1:43" x14ac:dyDescent="0.4">
      <c r="A750" t="s">
        <v>43</v>
      </c>
      <c r="B750">
        <v>3822000035</v>
      </c>
      <c r="C750">
        <v>3822000705</v>
      </c>
      <c r="D750" t="str">
        <f>T("[연재]어비스(Abyss) 110화")</f>
        <v>[연재]어비스(Abyss) 110화</v>
      </c>
      <c r="E750" t="str">
        <f>T("110")</f>
        <v>110</v>
      </c>
      <c r="F750" t="str">
        <f t="shared" si="150"/>
        <v>퀸에이</v>
      </c>
      <c r="I750" t="str">
        <f t="shared" si="154"/>
        <v>딥블렌드</v>
      </c>
      <c r="J750" t="str">
        <f t="shared" si="151"/>
        <v>[연재]어비스(Abyss)</v>
      </c>
      <c r="K750">
        <v>100</v>
      </c>
      <c r="L750">
        <v>2400</v>
      </c>
      <c r="M750">
        <v>24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1440</v>
      </c>
      <c r="AN750" t="str">
        <f t="shared" si="152"/>
        <v>9791190142366</v>
      </c>
      <c r="AP750" t="str">
        <f t="shared" si="149"/>
        <v>BL 웹소설 &gt; 현대물</v>
      </c>
      <c r="AQ750" t="str">
        <f t="shared" si="153"/>
        <v>BL 웹소설 &gt; 판타지물</v>
      </c>
    </row>
    <row r="751" spans="1:43" x14ac:dyDescent="0.4">
      <c r="A751" t="s">
        <v>43</v>
      </c>
      <c r="B751">
        <v>3822000035</v>
      </c>
      <c r="C751">
        <v>3822000314</v>
      </c>
      <c r="D751" t="str">
        <f>T("[연재]어비스(Abyss) 34화")</f>
        <v>[연재]어비스(Abyss) 34화</v>
      </c>
      <c r="E751" t="str">
        <f>T("34")</f>
        <v>34</v>
      </c>
      <c r="F751" t="str">
        <f t="shared" si="150"/>
        <v>퀸에이</v>
      </c>
      <c r="I751" t="str">
        <f t="shared" si="154"/>
        <v>딥블렌드</v>
      </c>
      <c r="J751" t="str">
        <f t="shared" si="151"/>
        <v>[연재]어비스(Abyss)</v>
      </c>
      <c r="K751">
        <v>100</v>
      </c>
      <c r="L751">
        <v>2400</v>
      </c>
      <c r="M751">
        <v>24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1440</v>
      </c>
      <c r="AN751" t="str">
        <f t="shared" si="152"/>
        <v>9791190142366</v>
      </c>
      <c r="AP751" t="str">
        <f t="shared" si="149"/>
        <v>BL 웹소설 &gt; 현대물</v>
      </c>
      <c r="AQ751" t="str">
        <f t="shared" si="153"/>
        <v>BL 웹소설 &gt; 판타지물</v>
      </c>
    </row>
    <row r="752" spans="1:43" x14ac:dyDescent="0.4">
      <c r="A752" t="s">
        <v>43</v>
      </c>
      <c r="B752">
        <v>3822000035</v>
      </c>
      <c r="C752">
        <v>3822000399</v>
      </c>
      <c r="D752" t="str">
        <f>T("[연재]어비스(Abyss) 59화")</f>
        <v>[연재]어비스(Abyss) 59화</v>
      </c>
      <c r="E752" t="str">
        <f>T("59")</f>
        <v>59</v>
      </c>
      <c r="F752" t="str">
        <f t="shared" si="150"/>
        <v>퀸에이</v>
      </c>
      <c r="I752" t="str">
        <f t="shared" si="154"/>
        <v>딥블렌드</v>
      </c>
      <c r="J752" t="str">
        <f t="shared" si="151"/>
        <v>[연재]어비스(Abyss)</v>
      </c>
      <c r="K752">
        <v>100</v>
      </c>
      <c r="L752">
        <v>2400</v>
      </c>
      <c r="M752">
        <v>24</v>
      </c>
      <c r="N752">
        <v>0</v>
      </c>
      <c r="O752">
        <v>0</v>
      </c>
      <c r="P752">
        <v>0</v>
      </c>
      <c r="Q752">
        <v>1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1440</v>
      </c>
      <c r="AN752" t="str">
        <f t="shared" si="152"/>
        <v>9791190142366</v>
      </c>
      <c r="AP752" t="str">
        <f t="shared" si="149"/>
        <v>BL 웹소설 &gt; 현대물</v>
      </c>
      <c r="AQ752" t="str">
        <f t="shared" si="153"/>
        <v>BL 웹소설 &gt; 판타지물</v>
      </c>
    </row>
    <row r="753" spans="1:43" x14ac:dyDescent="0.4">
      <c r="A753" t="s">
        <v>43</v>
      </c>
      <c r="B753">
        <v>3822000035</v>
      </c>
      <c r="C753">
        <v>3822000720</v>
      </c>
      <c r="D753" t="str">
        <f>T("[연재]어비스(Abyss) 116화")</f>
        <v>[연재]어비스(Abyss) 116화</v>
      </c>
      <c r="E753" t="str">
        <f>T("116")</f>
        <v>116</v>
      </c>
      <c r="F753" t="str">
        <f t="shared" si="150"/>
        <v>퀸에이</v>
      </c>
      <c r="I753" t="str">
        <f t="shared" si="154"/>
        <v>딥블렌드</v>
      </c>
      <c r="J753" t="str">
        <f t="shared" si="151"/>
        <v>[연재]어비스(Abyss)</v>
      </c>
      <c r="K753">
        <v>100</v>
      </c>
      <c r="L753">
        <v>2400</v>
      </c>
      <c r="M753">
        <v>24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1440</v>
      </c>
      <c r="AN753" t="str">
        <f t="shared" si="152"/>
        <v>9791190142366</v>
      </c>
      <c r="AP753" t="str">
        <f t="shared" si="149"/>
        <v>BL 웹소설 &gt; 현대물</v>
      </c>
      <c r="AQ753" t="str">
        <f t="shared" si="153"/>
        <v>BL 웹소설 &gt; 판타지물</v>
      </c>
    </row>
    <row r="754" spans="1:43" x14ac:dyDescent="0.4">
      <c r="A754" t="s">
        <v>43</v>
      </c>
      <c r="B754">
        <v>3822000035</v>
      </c>
      <c r="C754">
        <v>3822000706</v>
      </c>
      <c r="D754" t="str">
        <f>T("[연재]어비스(Abyss) 111화")</f>
        <v>[연재]어비스(Abyss) 111화</v>
      </c>
      <c r="E754" t="str">
        <f>T("111")</f>
        <v>111</v>
      </c>
      <c r="F754" t="str">
        <f t="shared" si="150"/>
        <v>퀸에이</v>
      </c>
      <c r="I754" t="str">
        <f t="shared" si="154"/>
        <v>딥블렌드</v>
      </c>
      <c r="J754" t="str">
        <f t="shared" si="151"/>
        <v>[연재]어비스(Abyss)</v>
      </c>
      <c r="K754">
        <v>100</v>
      </c>
      <c r="L754">
        <v>2400</v>
      </c>
      <c r="M754">
        <v>24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1440</v>
      </c>
      <c r="AN754" t="str">
        <f t="shared" si="152"/>
        <v>9791190142366</v>
      </c>
      <c r="AP754" t="str">
        <f t="shared" si="149"/>
        <v>BL 웹소설 &gt; 현대물</v>
      </c>
      <c r="AQ754" t="str">
        <f t="shared" si="153"/>
        <v>BL 웹소설 &gt; 판타지물</v>
      </c>
    </row>
    <row r="755" spans="1:43" x14ac:dyDescent="0.4">
      <c r="A755" t="s">
        <v>43</v>
      </c>
      <c r="B755">
        <v>3822000035</v>
      </c>
      <c r="C755">
        <v>3822000400</v>
      </c>
      <c r="D755" t="str">
        <f>T("[연재]어비스(Abyss) 60화")</f>
        <v>[연재]어비스(Abyss) 60화</v>
      </c>
      <c r="E755" t="str">
        <f>T("60")</f>
        <v>60</v>
      </c>
      <c r="F755" t="str">
        <f t="shared" si="150"/>
        <v>퀸에이</v>
      </c>
      <c r="I755" t="str">
        <f t="shared" si="154"/>
        <v>딥블렌드</v>
      </c>
      <c r="J755" t="str">
        <f t="shared" si="151"/>
        <v>[연재]어비스(Abyss)</v>
      </c>
      <c r="K755">
        <v>100</v>
      </c>
      <c r="L755">
        <v>2400</v>
      </c>
      <c r="M755">
        <v>24</v>
      </c>
      <c r="N755">
        <v>0</v>
      </c>
      <c r="O755">
        <v>0</v>
      </c>
      <c r="P755">
        <v>0</v>
      </c>
      <c r="Q755">
        <v>1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1440</v>
      </c>
      <c r="AN755" t="str">
        <f t="shared" si="152"/>
        <v>9791190142366</v>
      </c>
      <c r="AP755" t="str">
        <f t="shared" si="149"/>
        <v>BL 웹소설 &gt; 현대물</v>
      </c>
      <c r="AQ755" t="str">
        <f t="shared" si="153"/>
        <v>BL 웹소설 &gt; 판타지물</v>
      </c>
    </row>
    <row r="756" spans="1:43" x14ac:dyDescent="0.4">
      <c r="A756" t="s">
        <v>43</v>
      </c>
      <c r="B756">
        <v>3822000035</v>
      </c>
      <c r="C756">
        <v>3822000635</v>
      </c>
      <c r="D756" t="str">
        <f>T("[연재]어비스(Abyss) 104화")</f>
        <v>[연재]어비스(Abyss) 104화</v>
      </c>
      <c r="E756" t="str">
        <f>T("104")</f>
        <v>104</v>
      </c>
      <c r="F756" t="str">
        <f t="shared" si="150"/>
        <v>퀸에이</v>
      </c>
      <c r="I756" t="str">
        <f t="shared" si="154"/>
        <v>딥블렌드</v>
      </c>
      <c r="J756" t="str">
        <f t="shared" si="151"/>
        <v>[연재]어비스(Abyss)</v>
      </c>
      <c r="K756">
        <v>100</v>
      </c>
      <c r="L756">
        <v>2400</v>
      </c>
      <c r="M756">
        <v>24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1440</v>
      </c>
      <c r="AN756" t="str">
        <f t="shared" si="152"/>
        <v>9791190142366</v>
      </c>
      <c r="AP756" t="str">
        <f t="shared" si="149"/>
        <v>BL 웹소설 &gt; 현대물</v>
      </c>
      <c r="AQ756" t="str">
        <f t="shared" si="153"/>
        <v>BL 웹소설 &gt; 판타지물</v>
      </c>
    </row>
    <row r="757" spans="1:43" x14ac:dyDescent="0.4">
      <c r="A757" t="s">
        <v>43</v>
      </c>
      <c r="B757">
        <v>3822000437</v>
      </c>
      <c r="C757">
        <v>3822001106</v>
      </c>
      <c r="D757" t="str">
        <f>T("[연재]저승꽃감관 159화")</f>
        <v>[연재]저승꽃감관 159화</v>
      </c>
      <c r="E757" t="str">
        <f>T("159")</f>
        <v>159</v>
      </c>
      <c r="F757" t="str">
        <f>T("에복")</f>
        <v>에복</v>
      </c>
      <c r="I757" t="str">
        <f t="shared" si="154"/>
        <v>딥블렌드</v>
      </c>
      <c r="J757" t="str">
        <f>T("[연재]저승꽃감관")</f>
        <v>[연재]저승꽃감관</v>
      </c>
      <c r="K757">
        <v>100</v>
      </c>
      <c r="L757">
        <v>2400</v>
      </c>
      <c r="M757">
        <v>24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1680</v>
      </c>
      <c r="AN757" t="str">
        <f>T("9791190142502")</f>
        <v>9791190142502</v>
      </c>
      <c r="AP757" t="str">
        <f>T("BL 웹소설 &gt; 역사/시대물")</f>
        <v>BL 웹소설 &gt; 역사/시대물</v>
      </c>
    </row>
    <row r="758" spans="1:43" x14ac:dyDescent="0.4">
      <c r="A758" t="s">
        <v>43</v>
      </c>
      <c r="B758">
        <v>3822000035</v>
      </c>
      <c r="C758">
        <v>3822000430</v>
      </c>
      <c r="D758" t="str">
        <f>T("[연재]어비스(Abyss) 74화")</f>
        <v>[연재]어비스(Abyss) 74화</v>
      </c>
      <c r="E758" t="str">
        <f>T("74")</f>
        <v>74</v>
      </c>
      <c r="F758" t="str">
        <f t="shared" ref="F758:F766" si="155">T("퀸에이")</f>
        <v>퀸에이</v>
      </c>
      <c r="I758" t="str">
        <f t="shared" si="154"/>
        <v>딥블렌드</v>
      </c>
      <c r="J758" t="str">
        <f t="shared" ref="J758:J766" si="156">T("[연재]어비스(Abyss)")</f>
        <v>[연재]어비스(Abyss)</v>
      </c>
      <c r="K758">
        <v>100</v>
      </c>
      <c r="L758">
        <v>2400</v>
      </c>
      <c r="M758">
        <v>24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1440</v>
      </c>
      <c r="AN758" t="str">
        <f t="shared" ref="AN758:AN766" si="157">T("9791190142366")</f>
        <v>9791190142366</v>
      </c>
      <c r="AP758" t="str">
        <f t="shared" ref="AP758:AP766" si="158">T("BL 웹소설 &gt; 현대물")</f>
        <v>BL 웹소설 &gt; 현대물</v>
      </c>
      <c r="AQ758" t="str">
        <f t="shared" ref="AQ758:AQ766" si="159">T("BL 웹소설 &gt; 판타지물")</f>
        <v>BL 웹소설 &gt; 판타지물</v>
      </c>
    </row>
    <row r="759" spans="1:43" x14ac:dyDescent="0.4">
      <c r="A759" t="s">
        <v>43</v>
      </c>
      <c r="B759">
        <v>3822000035</v>
      </c>
      <c r="C759">
        <v>3822000431</v>
      </c>
      <c r="D759" t="str">
        <f>T("[연재]어비스(Abyss) 75화")</f>
        <v>[연재]어비스(Abyss) 75화</v>
      </c>
      <c r="E759" t="str">
        <f>T("75")</f>
        <v>75</v>
      </c>
      <c r="F759" t="str">
        <f t="shared" si="155"/>
        <v>퀸에이</v>
      </c>
      <c r="I759" t="str">
        <f t="shared" si="154"/>
        <v>딥블렌드</v>
      </c>
      <c r="J759" t="str">
        <f t="shared" si="156"/>
        <v>[연재]어비스(Abyss)</v>
      </c>
      <c r="K759">
        <v>100</v>
      </c>
      <c r="L759">
        <v>2400</v>
      </c>
      <c r="M759">
        <v>24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1440</v>
      </c>
      <c r="AN759" t="str">
        <f t="shared" si="157"/>
        <v>9791190142366</v>
      </c>
      <c r="AP759" t="str">
        <f t="shared" si="158"/>
        <v>BL 웹소설 &gt; 현대물</v>
      </c>
      <c r="AQ759" t="str">
        <f t="shared" si="159"/>
        <v>BL 웹소설 &gt; 판타지물</v>
      </c>
    </row>
    <row r="760" spans="1:43" x14ac:dyDescent="0.4">
      <c r="A760" t="s">
        <v>43</v>
      </c>
      <c r="B760">
        <v>3822000035</v>
      </c>
      <c r="C760">
        <v>3822000417</v>
      </c>
      <c r="D760" t="str">
        <f>T("[연재]어비스(Abyss) 69화")</f>
        <v>[연재]어비스(Abyss) 69화</v>
      </c>
      <c r="E760" t="str">
        <f>T("69")</f>
        <v>69</v>
      </c>
      <c r="F760" t="str">
        <f t="shared" si="155"/>
        <v>퀸에이</v>
      </c>
      <c r="I760" t="str">
        <f t="shared" si="154"/>
        <v>딥블렌드</v>
      </c>
      <c r="J760" t="str">
        <f t="shared" si="156"/>
        <v>[연재]어비스(Abyss)</v>
      </c>
      <c r="K760">
        <v>100</v>
      </c>
      <c r="L760">
        <v>2400</v>
      </c>
      <c r="M760">
        <v>24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1440</v>
      </c>
      <c r="AN760" t="str">
        <f t="shared" si="157"/>
        <v>9791190142366</v>
      </c>
      <c r="AP760" t="str">
        <f t="shared" si="158"/>
        <v>BL 웹소설 &gt; 현대물</v>
      </c>
      <c r="AQ760" t="str">
        <f t="shared" si="159"/>
        <v>BL 웹소설 &gt; 판타지물</v>
      </c>
    </row>
    <row r="761" spans="1:43" x14ac:dyDescent="0.4">
      <c r="A761" t="s">
        <v>43</v>
      </c>
      <c r="B761">
        <v>3822000035</v>
      </c>
      <c r="C761">
        <v>3822000375</v>
      </c>
      <c r="D761" t="str">
        <f>T("[연재]어비스(Abyss) 50화")</f>
        <v>[연재]어비스(Abyss) 50화</v>
      </c>
      <c r="E761" t="str">
        <f>T("50")</f>
        <v>50</v>
      </c>
      <c r="F761" t="str">
        <f t="shared" si="155"/>
        <v>퀸에이</v>
      </c>
      <c r="I761" t="str">
        <f t="shared" si="154"/>
        <v>딥블렌드</v>
      </c>
      <c r="J761" t="str">
        <f t="shared" si="156"/>
        <v>[연재]어비스(Abyss)</v>
      </c>
      <c r="K761">
        <v>100</v>
      </c>
      <c r="L761">
        <v>2400</v>
      </c>
      <c r="M761">
        <v>24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1440</v>
      </c>
      <c r="AN761" t="str">
        <f t="shared" si="157"/>
        <v>9791190142366</v>
      </c>
      <c r="AP761" t="str">
        <f t="shared" si="158"/>
        <v>BL 웹소설 &gt; 현대물</v>
      </c>
      <c r="AQ761" t="str">
        <f t="shared" si="159"/>
        <v>BL 웹소설 &gt; 판타지물</v>
      </c>
    </row>
    <row r="762" spans="1:43" x14ac:dyDescent="0.4">
      <c r="A762" t="s">
        <v>43</v>
      </c>
      <c r="B762">
        <v>3822000035</v>
      </c>
      <c r="C762">
        <v>3822000376</v>
      </c>
      <c r="D762" t="str">
        <f>T("[연재]어비스(Abyss) 51화")</f>
        <v>[연재]어비스(Abyss) 51화</v>
      </c>
      <c r="E762" t="str">
        <f>T("51")</f>
        <v>51</v>
      </c>
      <c r="F762" t="str">
        <f t="shared" si="155"/>
        <v>퀸에이</v>
      </c>
      <c r="I762" t="str">
        <f t="shared" si="154"/>
        <v>딥블렌드</v>
      </c>
      <c r="J762" t="str">
        <f t="shared" si="156"/>
        <v>[연재]어비스(Abyss)</v>
      </c>
      <c r="K762">
        <v>100</v>
      </c>
      <c r="L762">
        <v>2400</v>
      </c>
      <c r="M762">
        <v>24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1440</v>
      </c>
      <c r="AN762" t="str">
        <f t="shared" si="157"/>
        <v>9791190142366</v>
      </c>
      <c r="AP762" t="str">
        <f t="shared" si="158"/>
        <v>BL 웹소설 &gt; 현대물</v>
      </c>
      <c r="AQ762" t="str">
        <f t="shared" si="159"/>
        <v>BL 웹소설 &gt; 판타지물</v>
      </c>
    </row>
    <row r="763" spans="1:43" x14ac:dyDescent="0.4">
      <c r="A763" t="s">
        <v>43</v>
      </c>
      <c r="B763">
        <v>3822000035</v>
      </c>
      <c r="C763">
        <v>3822000433</v>
      </c>
      <c r="D763" t="str">
        <f>T("[연재]어비스(Abyss) 76화")</f>
        <v>[연재]어비스(Abyss) 76화</v>
      </c>
      <c r="E763" t="str">
        <f>T("76")</f>
        <v>76</v>
      </c>
      <c r="F763" t="str">
        <f t="shared" si="155"/>
        <v>퀸에이</v>
      </c>
      <c r="I763" t="str">
        <f t="shared" si="154"/>
        <v>딥블렌드</v>
      </c>
      <c r="J763" t="str">
        <f t="shared" si="156"/>
        <v>[연재]어비스(Abyss)</v>
      </c>
      <c r="K763">
        <v>100</v>
      </c>
      <c r="L763">
        <v>2400</v>
      </c>
      <c r="M763">
        <v>24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1440</v>
      </c>
      <c r="AN763" t="str">
        <f t="shared" si="157"/>
        <v>9791190142366</v>
      </c>
      <c r="AP763" t="str">
        <f t="shared" si="158"/>
        <v>BL 웹소설 &gt; 현대물</v>
      </c>
      <c r="AQ763" t="str">
        <f t="shared" si="159"/>
        <v>BL 웹소설 &gt; 판타지물</v>
      </c>
    </row>
    <row r="764" spans="1:43" x14ac:dyDescent="0.4">
      <c r="A764" t="s">
        <v>43</v>
      </c>
      <c r="B764">
        <v>3822000035</v>
      </c>
      <c r="C764">
        <v>3822000641</v>
      </c>
      <c r="D764" t="str">
        <f>T("[연재]어비스(Abyss) 106화")</f>
        <v>[연재]어비스(Abyss) 106화</v>
      </c>
      <c r="E764" t="str">
        <f>T("106")</f>
        <v>106</v>
      </c>
      <c r="F764" t="str">
        <f t="shared" si="155"/>
        <v>퀸에이</v>
      </c>
      <c r="I764" t="str">
        <f t="shared" si="154"/>
        <v>딥블렌드</v>
      </c>
      <c r="J764" t="str">
        <f t="shared" si="156"/>
        <v>[연재]어비스(Abyss)</v>
      </c>
      <c r="K764">
        <v>100</v>
      </c>
      <c r="L764">
        <v>2400</v>
      </c>
      <c r="M764">
        <v>24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1440</v>
      </c>
      <c r="AN764" t="str">
        <f t="shared" si="157"/>
        <v>9791190142366</v>
      </c>
      <c r="AP764" t="str">
        <f t="shared" si="158"/>
        <v>BL 웹소설 &gt; 현대물</v>
      </c>
      <c r="AQ764" t="str">
        <f t="shared" si="159"/>
        <v>BL 웹소설 &gt; 판타지물</v>
      </c>
    </row>
    <row r="765" spans="1:43" x14ac:dyDescent="0.4">
      <c r="A765" t="s">
        <v>43</v>
      </c>
      <c r="B765">
        <v>3822000035</v>
      </c>
      <c r="C765">
        <v>3822000320</v>
      </c>
      <c r="D765" t="str">
        <f>T("[연재]어비스(Abyss) 40화")</f>
        <v>[연재]어비스(Abyss) 40화</v>
      </c>
      <c r="E765" t="str">
        <f>T("40")</f>
        <v>40</v>
      </c>
      <c r="F765" t="str">
        <f t="shared" si="155"/>
        <v>퀸에이</v>
      </c>
      <c r="I765" t="str">
        <f t="shared" si="154"/>
        <v>딥블렌드</v>
      </c>
      <c r="J765" t="str">
        <f t="shared" si="156"/>
        <v>[연재]어비스(Abyss)</v>
      </c>
      <c r="K765">
        <v>100</v>
      </c>
      <c r="L765">
        <v>2400</v>
      </c>
      <c r="M765">
        <v>24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1440</v>
      </c>
      <c r="AN765" t="str">
        <f t="shared" si="157"/>
        <v>9791190142366</v>
      </c>
      <c r="AP765" t="str">
        <f t="shared" si="158"/>
        <v>BL 웹소설 &gt; 현대물</v>
      </c>
      <c r="AQ765" t="str">
        <f t="shared" si="159"/>
        <v>BL 웹소설 &gt; 판타지물</v>
      </c>
    </row>
    <row r="766" spans="1:43" x14ac:dyDescent="0.4">
      <c r="A766" t="s">
        <v>43</v>
      </c>
      <c r="B766">
        <v>3822000035</v>
      </c>
      <c r="C766">
        <v>3822000363</v>
      </c>
      <c r="D766" t="str">
        <f>T("[연재]어비스(Abyss) 46화")</f>
        <v>[연재]어비스(Abyss) 46화</v>
      </c>
      <c r="E766" t="str">
        <f>T("46")</f>
        <v>46</v>
      </c>
      <c r="F766" t="str">
        <f t="shared" si="155"/>
        <v>퀸에이</v>
      </c>
      <c r="I766" t="str">
        <f t="shared" si="154"/>
        <v>딥블렌드</v>
      </c>
      <c r="J766" t="str">
        <f t="shared" si="156"/>
        <v>[연재]어비스(Abyss)</v>
      </c>
      <c r="K766">
        <v>100</v>
      </c>
      <c r="L766">
        <v>2400</v>
      </c>
      <c r="M766">
        <v>24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1440</v>
      </c>
      <c r="AN766" t="str">
        <f t="shared" si="157"/>
        <v>9791190142366</v>
      </c>
      <c r="AP766" t="str">
        <f t="shared" si="158"/>
        <v>BL 웹소설 &gt; 현대물</v>
      </c>
      <c r="AQ766" t="str">
        <f t="shared" si="159"/>
        <v>BL 웹소설 &gt; 판타지물</v>
      </c>
    </row>
    <row r="767" spans="1:43" x14ac:dyDescent="0.4">
      <c r="A767" t="s">
        <v>43</v>
      </c>
      <c r="B767">
        <v>3822000437</v>
      </c>
      <c r="C767">
        <v>3822001111</v>
      </c>
      <c r="D767" t="str">
        <f>T("[연재]저승꽃감관 164화")</f>
        <v>[연재]저승꽃감관 164화</v>
      </c>
      <c r="E767" t="str">
        <f>T("164")</f>
        <v>164</v>
      </c>
      <c r="F767" t="str">
        <f>T("에복")</f>
        <v>에복</v>
      </c>
      <c r="I767" t="str">
        <f t="shared" si="154"/>
        <v>딥블렌드</v>
      </c>
      <c r="J767" t="str">
        <f>T("[연재]저승꽃감관")</f>
        <v>[연재]저승꽃감관</v>
      </c>
      <c r="K767">
        <v>100</v>
      </c>
      <c r="L767">
        <v>2400</v>
      </c>
      <c r="M767">
        <v>24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1680</v>
      </c>
      <c r="AN767" t="str">
        <f>T("9791190142502")</f>
        <v>9791190142502</v>
      </c>
      <c r="AP767" t="str">
        <f>T("BL 웹소설 &gt; 역사/시대물")</f>
        <v>BL 웹소설 &gt; 역사/시대물</v>
      </c>
    </row>
    <row r="768" spans="1:43" x14ac:dyDescent="0.4">
      <c r="A768" t="s">
        <v>43</v>
      </c>
      <c r="B768">
        <v>3822000035</v>
      </c>
      <c r="C768">
        <v>3822000421</v>
      </c>
      <c r="D768" t="str">
        <f>T("[연재]어비스(Abyss) 70화")</f>
        <v>[연재]어비스(Abyss) 70화</v>
      </c>
      <c r="E768" t="str">
        <f>T("70")</f>
        <v>70</v>
      </c>
      <c r="F768" t="str">
        <f>T("퀸에이")</f>
        <v>퀸에이</v>
      </c>
      <c r="I768" t="str">
        <f t="shared" si="154"/>
        <v>딥블렌드</v>
      </c>
      <c r="J768" t="str">
        <f>T("[연재]어비스(Abyss)")</f>
        <v>[연재]어비스(Abyss)</v>
      </c>
      <c r="K768">
        <v>100</v>
      </c>
      <c r="L768">
        <v>2400</v>
      </c>
      <c r="M768">
        <v>24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1440</v>
      </c>
      <c r="AN768" t="str">
        <f>T("9791190142366")</f>
        <v>9791190142366</v>
      </c>
      <c r="AP768" t="str">
        <f>T("BL 웹소설 &gt; 현대물")</f>
        <v>BL 웹소설 &gt; 현대물</v>
      </c>
      <c r="AQ768" t="str">
        <f>T("BL 웹소설 &gt; 판타지물")</f>
        <v>BL 웹소설 &gt; 판타지물</v>
      </c>
    </row>
    <row r="769" spans="1:43" x14ac:dyDescent="0.4">
      <c r="A769" t="s">
        <v>43</v>
      </c>
      <c r="B769">
        <v>3822000035</v>
      </c>
      <c r="C769">
        <v>3822000644</v>
      </c>
      <c r="D769" t="str">
        <f>T("[연재]어비스(Abyss) 108화")</f>
        <v>[연재]어비스(Abyss) 108화</v>
      </c>
      <c r="E769" t="str">
        <f>T("108")</f>
        <v>108</v>
      </c>
      <c r="F769" t="str">
        <f>T("퀸에이")</f>
        <v>퀸에이</v>
      </c>
      <c r="I769" t="str">
        <f t="shared" si="154"/>
        <v>딥블렌드</v>
      </c>
      <c r="J769" t="str">
        <f>T("[연재]어비스(Abyss)")</f>
        <v>[연재]어비스(Abyss)</v>
      </c>
      <c r="K769">
        <v>100</v>
      </c>
      <c r="L769">
        <v>2400</v>
      </c>
      <c r="M769">
        <v>24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1440</v>
      </c>
      <c r="AN769" t="str">
        <f>T("9791190142366")</f>
        <v>9791190142366</v>
      </c>
      <c r="AP769" t="str">
        <f>T("BL 웹소설 &gt; 현대물")</f>
        <v>BL 웹소설 &gt; 현대물</v>
      </c>
      <c r="AQ769" t="str">
        <f>T("BL 웹소설 &gt; 판타지물")</f>
        <v>BL 웹소설 &gt; 판타지물</v>
      </c>
    </row>
    <row r="770" spans="1:43" x14ac:dyDescent="0.4">
      <c r="A770" t="s">
        <v>43</v>
      </c>
      <c r="B770">
        <v>3822000437</v>
      </c>
      <c r="C770">
        <v>3822001113</v>
      </c>
      <c r="D770" t="str">
        <f>T("[연재]저승꽃감관 166화")</f>
        <v>[연재]저승꽃감관 166화</v>
      </c>
      <c r="E770" t="str">
        <f>T("166")</f>
        <v>166</v>
      </c>
      <c r="F770" t="str">
        <f>T("에복")</f>
        <v>에복</v>
      </c>
      <c r="I770" t="str">
        <f t="shared" si="154"/>
        <v>딥블렌드</v>
      </c>
      <c r="J770" t="str">
        <f>T("[연재]저승꽃감관")</f>
        <v>[연재]저승꽃감관</v>
      </c>
      <c r="K770">
        <v>100</v>
      </c>
      <c r="L770">
        <v>2400</v>
      </c>
      <c r="M770">
        <v>24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1680</v>
      </c>
      <c r="AN770" t="str">
        <f>T("9791190142502")</f>
        <v>9791190142502</v>
      </c>
      <c r="AP770" t="str">
        <f>T("BL 웹소설 &gt; 역사/시대물")</f>
        <v>BL 웹소설 &gt; 역사/시대물</v>
      </c>
    </row>
    <row r="771" spans="1:43" x14ac:dyDescent="0.4">
      <c r="A771" t="s">
        <v>43</v>
      </c>
      <c r="B771">
        <v>3822000437</v>
      </c>
      <c r="C771">
        <v>3822001099</v>
      </c>
      <c r="D771" t="str">
        <f>T("[연재]저승꽃감관 152화")</f>
        <v>[연재]저승꽃감관 152화</v>
      </c>
      <c r="E771" t="str">
        <f>T("152")</f>
        <v>152</v>
      </c>
      <c r="F771" t="str">
        <f>T("에복")</f>
        <v>에복</v>
      </c>
      <c r="I771" t="str">
        <f t="shared" si="154"/>
        <v>딥블렌드</v>
      </c>
      <c r="J771" t="str">
        <f>T("[연재]저승꽃감관")</f>
        <v>[연재]저승꽃감관</v>
      </c>
      <c r="K771">
        <v>100</v>
      </c>
      <c r="L771">
        <v>2400</v>
      </c>
      <c r="M771">
        <v>24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1680</v>
      </c>
      <c r="AN771" t="str">
        <f>T("9791190142502")</f>
        <v>9791190142502</v>
      </c>
      <c r="AP771" t="str">
        <f>T("BL 웹소설 &gt; 역사/시대물")</f>
        <v>BL 웹소설 &gt; 역사/시대물</v>
      </c>
    </row>
    <row r="772" spans="1:43" x14ac:dyDescent="0.4">
      <c r="A772" t="s">
        <v>43</v>
      </c>
      <c r="B772">
        <v>3822000035</v>
      </c>
      <c r="C772">
        <v>3822000715</v>
      </c>
      <c r="D772" t="str">
        <f>T("[연재]어비스(Abyss) 114화")</f>
        <v>[연재]어비스(Abyss) 114화</v>
      </c>
      <c r="E772" t="str">
        <f>T("114")</f>
        <v>114</v>
      </c>
      <c r="F772" t="str">
        <f>T("퀸에이")</f>
        <v>퀸에이</v>
      </c>
      <c r="I772" t="str">
        <f t="shared" si="154"/>
        <v>딥블렌드</v>
      </c>
      <c r="J772" t="str">
        <f>T("[연재]어비스(Abyss)")</f>
        <v>[연재]어비스(Abyss)</v>
      </c>
      <c r="K772">
        <v>100</v>
      </c>
      <c r="L772">
        <v>2400</v>
      </c>
      <c r="M772">
        <v>24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1440</v>
      </c>
      <c r="AN772" t="str">
        <f>T("9791190142366")</f>
        <v>9791190142366</v>
      </c>
      <c r="AP772" t="str">
        <f>T("BL 웹소설 &gt; 현대물")</f>
        <v>BL 웹소설 &gt; 현대물</v>
      </c>
      <c r="AQ772" t="str">
        <f>T("BL 웹소설 &gt; 판타지물")</f>
        <v>BL 웹소설 &gt; 판타지물</v>
      </c>
    </row>
    <row r="773" spans="1:43" x14ac:dyDescent="0.4">
      <c r="A773" t="s">
        <v>43</v>
      </c>
      <c r="B773">
        <v>3822000035</v>
      </c>
      <c r="C773">
        <v>3822000380</v>
      </c>
      <c r="D773" t="str">
        <f>T("[연재]어비스(Abyss) 52화")</f>
        <v>[연재]어비스(Abyss) 52화</v>
      </c>
      <c r="E773" t="str">
        <f>T("52")</f>
        <v>52</v>
      </c>
      <c r="F773" t="str">
        <f>T("퀸에이")</f>
        <v>퀸에이</v>
      </c>
      <c r="I773" t="str">
        <f t="shared" si="154"/>
        <v>딥블렌드</v>
      </c>
      <c r="J773" t="str">
        <f>T("[연재]어비스(Abyss)")</f>
        <v>[연재]어비스(Abyss)</v>
      </c>
      <c r="K773">
        <v>100</v>
      </c>
      <c r="L773">
        <v>2400</v>
      </c>
      <c r="M773">
        <v>24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1440</v>
      </c>
      <c r="AN773" t="str">
        <f>T("9791190142366")</f>
        <v>9791190142366</v>
      </c>
      <c r="AP773" t="str">
        <f>T("BL 웹소설 &gt; 현대물")</f>
        <v>BL 웹소설 &gt; 현대물</v>
      </c>
      <c r="AQ773" t="str">
        <f>T("BL 웹소설 &gt; 판타지물")</f>
        <v>BL 웹소설 &gt; 판타지물</v>
      </c>
    </row>
    <row r="774" spans="1:43" x14ac:dyDescent="0.4">
      <c r="A774" t="s">
        <v>43</v>
      </c>
      <c r="B774">
        <v>3822000437</v>
      </c>
      <c r="C774">
        <v>3822001114</v>
      </c>
      <c r="D774" t="str">
        <f>T("[연재]저승꽃감관 167화")</f>
        <v>[연재]저승꽃감관 167화</v>
      </c>
      <c r="E774" t="str">
        <f>T("167")</f>
        <v>167</v>
      </c>
      <c r="F774" t="str">
        <f>T("에복")</f>
        <v>에복</v>
      </c>
      <c r="I774" t="str">
        <f t="shared" si="154"/>
        <v>딥블렌드</v>
      </c>
      <c r="J774" t="str">
        <f>T("[연재]저승꽃감관")</f>
        <v>[연재]저승꽃감관</v>
      </c>
      <c r="K774">
        <v>100</v>
      </c>
      <c r="L774">
        <v>2400</v>
      </c>
      <c r="M774">
        <v>24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1680</v>
      </c>
      <c r="AN774" t="str">
        <f>T("9791190142502")</f>
        <v>9791190142502</v>
      </c>
      <c r="AP774" t="str">
        <f>T("BL 웹소설 &gt; 역사/시대물")</f>
        <v>BL 웹소설 &gt; 역사/시대물</v>
      </c>
    </row>
    <row r="775" spans="1:43" x14ac:dyDescent="0.4">
      <c r="A775" t="s">
        <v>43</v>
      </c>
      <c r="B775">
        <v>3822000437</v>
      </c>
      <c r="C775">
        <v>3822001100</v>
      </c>
      <c r="D775" t="str">
        <f>T("[연재]저승꽃감관 153화")</f>
        <v>[연재]저승꽃감관 153화</v>
      </c>
      <c r="E775" t="str">
        <f>T("153")</f>
        <v>153</v>
      </c>
      <c r="F775" t="str">
        <f>T("에복")</f>
        <v>에복</v>
      </c>
      <c r="I775" t="str">
        <f t="shared" si="154"/>
        <v>딥블렌드</v>
      </c>
      <c r="J775" t="str">
        <f>T("[연재]저승꽃감관")</f>
        <v>[연재]저승꽃감관</v>
      </c>
      <c r="K775">
        <v>100</v>
      </c>
      <c r="L775">
        <v>2400</v>
      </c>
      <c r="M775">
        <v>24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1680</v>
      </c>
      <c r="AN775" t="str">
        <f>T("9791190142502")</f>
        <v>9791190142502</v>
      </c>
      <c r="AP775" t="str">
        <f>T("BL 웹소설 &gt; 역사/시대물")</f>
        <v>BL 웹소설 &gt; 역사/시대물</v>
      </c>
    </row>
    <row r="776" spans="1:43" x14ac:dyDescent="0.4">
      <c r="A776" t="s">
        <v>43</v>
      </c>
      <c r="B776">
        <v>3822000035</v>
      </c>
      <c r="C776">
        <v>3822000606</v>
      </c>
      <c r="D776" t="str">
        <f>T("[연재]어비스(Abyss) 95화")</f>
        <v>[연재]어비스(Abyss) 95화</v>
      </c>
      <c r="E776" t="str">
        <f>T("95")</f>
        <v>95</v>
      </c>
      <c r="F776" t="str">
        <f>T("퀸에이")</f>
        <v>퀸에이</v>
      </c>
      <c r="I776" t="str">
        <f t="shared" si="154"/>
        <v>딥블렌드</v>
      </c>
      <c r="J776" t="str">
        <f>T("[연재]어비스(Abyss)")</f>
        <v>[연재]어비스(Abyss)</v>
      </c>
      <c r="K776">
        <v>100</v>
      </c>
      <c r="L776">
        <v>2300</v>
      </c>
      <c r="M776">
        <v>23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1380</v>
      </c>
      <c r="AN776" t="str">
        <f>T("9791190142366")</f>
        <v>9791190142366</v>
      </c>
      <c r="AP776" t="str">
        <f>T("BL 웹소설 &gt; 현대물")</f>
        <v>BL 웹소설 &gt; 현대물</v>
      </c>
      <c r="AQ776" t="str">
        <f>T("BL 웹소설 &gt; 판타지물")</f>
        <v>BL 웹소설 &gt; 판타지물</v>
      </c>
    </row>
    <row r="777" spans="1:43" x14ac:dyDescent="0.4">
      <c r="A777" t="s">
        <v>43</v>
      </c>
      <c r="B777">
        <v>3822000035</v>
      </c>
      <c r="C777">
        <v>3822000410</v>
      </c>
      <c r="D777" t="str">
        <f>T("[연재]어비스(Abyss) 65화")</f>
        <v>[연재]어비스(Abyss) 65화</v>
      </c>
      <c r="E777" t="str">
        <f>T("65")</f>
        <v>65</v>
      </c>
      <c r="F777" t="str">
        <f>T("퀸에이")</f>
        <v>퀸에이</v>
      </c>
      <c r="I777" t="str">
        <f t="shared" si="154"/>
        <v>딥블렌드</v>
      </c>
      <c r="J777" t="str">
        <f>T("[연재]어비스(Abyss)")</f>
        <v>[연재]어비스(Abyss)</v>
      </c>
      <c r="K777">
        <v>100</v>
      </c>
      <c r="L777">
        <v>2300</v>
      </c>
      <c r="M777">
        <v>23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1380</v>
      </c>
      <c r="AN777" t="str">
        <f>T("9791190142366")</f>
        <v>9791190142366</v>
      </c>
      <c r="AP777" t="str">
        <f>T("BL 웹소설 &gt; 현대물")</f>
        <v>BL 웹소설 &gt; 현대물</v>
      </c>
      <c r="AQ777" t="str">
        <f>T("BL 웹소설 &gt; 판타지물")</f>
        <v>BL 웹소설 &gt; 판타지물</v>
      </c>
    </row>
    <row r="778" spans="1:43" x14ac:dyDescent="0.4">
      <c r="A778" t="s">
        <v>43</v>
      </c>
      <c r="B778">
        <v>3822000437</v>
      </c>
      <c r="C778">
        <v>3822001116</v>
      </c>
      <c r="D778" t="str">
        <f>T("[연재]저승꽃감관 169화")</f>
        <v>[연재]저승꽃감관 169화</v>
      </c>
      <c r="E778" t="str">
        <f>T("169")</f>
        <v>169</v>
      </c>
      <c r="F778" t="str">
        <f>T("에복")</f>
        <v>에복</v>
      </c>
      <c r="I778" t="str">
        <f t="shared" si="154"/>
        <v>딥블렌드</v>
      </c>
      <c r="J778" t="str">
        <f>T("[연재]저승꽃감관")</f>
        <v>[연재]저승꽃감관</v>
      </c>
      <c r="K778">
        <v>100</v>
      </c>
      <c r="L778">
        <v>2300</v>
      </c>
      <c r="M778">
        <v>23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1610</v>
      </c>
      <c r="AN778" t="str">
        <f>T("9791190142502")</f>
        <v>9791190142502</v>
      </c>
      <c r="AP778" t="str">
        <f>T("BL 웹소설 &gt; 역사/시대물")</f>
        <v>BL 웹소설 &gt; 역사/시대물</v>
      </c>
    </row>
    <row r="779" spans="1:43" x14ac:dyDescent="0.4">
      <c r="A779" t="s">
        <v>43</v>
      </c>
      <c r="B779">
        <v>3822000035</v>
      </c>
      <c r="C779">
        <v>3822000609</v>
      </c>
      <c r="D779" t="str">
        <f>T("[연재]어비스(Abyss) 97화")</f>
        <v>[연재]어비스(Abyss) 97화</v>
      </c>
      <c r="E779" t="str">
        <f>T("97")</f>
        <v>97</v>
      </c>
      <c r="F779" t="str">
        <f t="shared" ref="F779:F797" si="160">T("퀸에이")</f>
        <v>퀸에이</v>
      </c>
      <c r="I779" t="str">
        <f t="shared" si="154"/>
        <v>딥블렌드</v>
      </c>
      <c r="J779" t="str">
        <f t="shared" ref="J779:J797" si="161">T("[연재]어비스(Abyss)")</f>
        <v>[연재]어비스(Abyss)</v>
      </c>
      <c r="K779">
        <v>100</v>
      </c>
      <c r="L779">
        <v>2300</v>
      </c>
      <c r="M779">
        <v>23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1380</v>
      </c>
      <c r="AN779" t="str">
        <f t="shared" ref="AN779:AN797" si="162">T("9791190142366")</f>
        <v>9791190142366</v>
      </c>
      <c r="AP779" t="str">
        <f t="shared" ref="AP779:AP797" si="163">T("BL 웹소설 &gt; 현대물")</f>
        <v>BL 웹소설 &gt; 현대물</v>
      </c>
      <c r="AQ779" t="str">
        <f t="shared" ref="AQ779:AQ797" si="164">T("BL 웹소설 &gt; 판타지물")</f>
        <v>BL 웹소설 &gt; 판타지물</v>
      </c>
    </row>
    <row r="780" spans="1:43" x14ac:dyDescent="0.4">
      <c r="A780" t="s">
        <v>43</v>
      </c>
      <c r="B780">
        <v>3822000035</v>
      </c>
      <c r="C780">
        <v>3822000427</v>
      </c>
      <c r="D780" t="str">
        <f>T("[연재]어비스(Abyss) 73화")</f>
        <v>[연재]어비스(Abyss) 73화</v>
      </c>
      <c r="E780" t="str">
        <f>T("73")</f>
        <v>73</v>
      </c>
      <c r="F780" t="str">
        <f t="shared" si="160"/>
        <v>퀸에이</v>
      </c>
      <c r="I780" t="str">
        <f t="shared" si="154"/>
        <v>딥블렌드</v>
      </c>
      <c r="J780" t="str">
        <f t="shared" si="161"/>
        <v>[연재]어비스(Abyss)</v>
      </c>
      <c r="K780">
        <v>100</v>
      </c>
      <c r="L780">
        <v>2300</v>
      </c>
      <c r="M780">
        <v>23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1380</v>
      </c>
      <c r="AN780" t="str">
        <f t="shared" si="162"/>
        <v>9791190142366</v>
      </c>
      <c r="AP780" t="str">
        <f t="shared" si="163"/>
        <v>BL 웹소설 &gt; 현대물</v>
      </c>
      <c r="AQ780" t="str">
        <f t="shared" si="164"/>
        <v>BL 웹소설 &gt; 판타지물</v>
      </c>
    </row>
    <row r="781" spans="1:43" x14ac:dyDescent="0.4">
      <c r="A781" t="s">
        <v>43</v>
      </c>
      <c r="B781">
        <v>3822000035</v>
      </c>
      <c r="C781">
        <v>3822000385</v>
      </c>
      <c r="D781" t="str">
        <f>T("[연재]어비스(Abyss) 54화")</f>
        <v>[연재]어비스(Abyss) 54화</v>
      </c>
      <c r="E781" t="str">
        <f>T("54")</f>
        <v>54</v>
      </c>
      <c r="F781" t="str">
        <f t="shared" si="160"/>
        <v>퀸에이</v>
      </c>
      <c r="I781" t="str">
        <f t="shared" si="154"/>
        <v>딥블렌드</v>
      </c>
      <c r="J781" t="str">
        <f t="shared" si="161"/>
        <v>[연재]어비스(Abyss)</v>
      </c>
      <c r="K781">
        <v>100</v>
      </c>
      <c r="L781">
        <v>2300</v>
      </c>
      <c r="M781">
        <v>23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1380</v>
      </c>
      <c r="AN781" t="str">
        <f t="shared" si="162"/>
        <v>9791190142366</v>
      </c>
      <c r="AP781" t="str">
        <f t="shared" si="163"/>
        <v>BL 웹소설 &gt; 현대물</v>
      </c>
      <c r="AQ781" t="str">
        <f t="shared" si="164"/>
        <v>BL 웹소설 &gt; 판타지물</v>
      </c>
    </row>
    <row r="782" spans="1:43" x14ac:dyDescent="0.4">
      <c r="A782" t="s">
        <v>43</v>
      </c>
      <c r="B782">
        <v>3822000035</v>
      </c>
      <c r="C782">
        <v>3822000386</v>
      </c>
      <c r="D782" t="str">
        <f>T("[연재]어비스(Abyss) 55화")</f>
        <v>[연재]어비스(Abyss) 55화</v>
      </c>
      <c r="E782" t="str">
        <f>T("55")</f>
        <v>55</v>
      </c>
      <c r="F782" t="str">
        <f t="shared" si="160"/>
        <v>퀸에이</v>
      </c>
      <c r="I782" t="str">
        <f t="shared" si="154"/>
        <v>딥블렌드</v>
      </c>
      <c r="J782" t="str">
        <f t="shared" si="161"/>
        <v>[연재]어비스(Abyss)</v>
      </c>
      <c r="K782">
        <v>100</v>
      </c>
      <c r="L782">
        <v>2300</v>
      </c>
      <c r="M782">
        <v>23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1380</v>
      </c>
      <c r="AN782" t="str">
        <f t="shared" si="162"/>
        <v>9791190142366</v>
      </c>
      <c r="AP782" t="str">
        <f t="shared" si="163"/>
        <v>BL 웹소설 &gt; 현대물</v>
      </c>
      <c r="AQ782" t="str">
        <f t="shared" si="164"/>
        <v>BL 웹소설 &gt; 판타지물</v>
      </c>
    </row>
    <row r="783" spans="1:43" x14ac:dyDescent="0.4">
      <c r="A783" t="s">
        <v>43</v>
      </c>
      <c r="B783">
        <v>3822000035</v>
      </c>
      <c r="C783">
        <v>3822000598</v>
      </c>
      <c r="D783" t="str">
        <f>T("[연재]어비스(Abyss) 92화")</f>
        <v>[연재]어비스(Abyss) 92화</v>
      </c>
      <c r="E783" t="str">
        <f>T("92")</f>
        <v>92</v>
      </c>
      <c r="F783" t="str">
        <f t="shared" si="160"/>
        <v>퀸에이</v>
      </c>
      <c r="I783" t="str">
        <f t="shared" si="154"/>
        <v>딥블렌드</v>
      </c>
      <c r="J783" t="str">
        <f t="shared" si="161"/>
        <v>[연재]어비스(Abyss)</v>
      </c>
      <c r="K783">
        <v>100</v>
      </c>
      <c r="L783">
        <v>2300</v>
      </c>
      <c r="M783">
        <v>23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1380</v>
      </c>
      <c r="AN783" t="str">
        <f t="shared" si="162"/>
        <v>9791190142366</v>
      </c>
      <c r="AP783" t="str">
        <f t="shared" si="163"/>
        <v>BL 웹소설 &gt; 현대물</v>
      </c>
      <c r="AQ783" t="str">
        <f t="shared" si="164"/>
        <v>BL 웹소설 &gt; 판타지물</v>
      </c>
    </row>
    <row r="784" spans="1:43" x14ac:dyDescent="0.4">
      <c r="A784" t="s">
        <v>43</v>
      </c>
      <c r="B784">
        <v>3822000035</v>
      </c>
      <c r="C784">
        <v>3822000612</v>
      </c>
      <c r="D784" t="str">
        <f>T("[연재]어비스(Abyss) 98화")</f>
        <v>[연재]어비스(Abyss) 98화</v>
      </c>
      <c r="E784" t="str">
        <f>T("98")</f>
        <v>98</v>
      </c>
      <c r="F784" t="str">
        <f t="shared" si="160"/>
        <v>퀸에이</v>
      </c>
      <c r="I784" t="str">
        <f t="shared" si="154"/>
        <v>딥블렌드</v>
      </c>
      <c r="J784" t="str">
        <f t="shared" si="161"/>
        <v>[연재]어비스(Abyss)</v>
      </c>
      <c r="K784">
        <v>100</v>
      </c>
      <c r="L784">
        <v>2300</v>
      </c>
      <c r="M784">
        <v>23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1380</v>
      </c>
      <c r="AN784" t="str">
        <f t="shared" si="162"/>
        <v>9791190142366</v>
      </c>
      <c r="AP784" t="str">
        <f t="shared" si="163"/>
        <v>BL 웹소설 &gt; 현대물</v>
      </c>
      <c r="AQ784" t="str">
        <f t="shared" si="164"/>
        <v>BL 웹소설 &gt; 판타지물</v>
      </c>
    </row>
    <row r="785" spans="1:43" x14ac:dyDescent="0.4">
      <c r="A785" t="s">
        <v>43</v>
      </c>
      <c r="B785">
        <v>3822000035</v>
      </c>
      <c r="C785">
        <v>3822000039</v>
      </c>
      <c r="D785" t="str">
        <f>T("[연재]어비스(Abyss) 5화")</f>
        <v>[연재]어비스(Abyss) 5화</v>
      </c>
      <c r="E785" t="str">
        <f>T("5")</f>
        <v>5</v>
      </c>
      <c r="F785" t="str">
        <f t="shared" si="160"/>
        <v>퀸에이</v>
      </c>
      <c r="I785" t="str">
        <f t="shared" si="154"/>
        <v>딥블렌드</v>
      </c>
      <c r="J785" t="str">
        <f t="shared" si="161"/>
        <v>[연재]어비스(Abyss)</v>
      </c>
      <c r="K785">
        <v>100</v>
      </c>
      <c r="L785">
        <v>2300</v>
      </c>
      <c r="M785">
        <v>23</v>
      </c>
      <c r="N785">
        <v>0</v>
      </c>
      <c r="O785">
        <v>0</v>
      </c>
      <c r="P785">
        <v>0</v>
      </c>
      <c r="Q785">
        <v>18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1380</v>
      </c>
      <c r="AN785" t="str">
        <f t="shared" si="162"/>
        <v>9791190142366</v>
      </c>
      <c r="AP785" t="str">
        <f t="shared" si="163"/>
        <v>BL 웹소설 &gt; 현대물</v>
      </c>
      <c r="AQ785" t="str">
        <f t="shared" si="164"/>
        <v>BL 웹소설 &gt; 판타지물</v>
      </c>
    </row>
    <row r="786" spans="1:43" x14ac:dyDescent="0.4">
      <c r="A786" t="s">
        <v>43</v>
      </c>
      <c r="B786">
        <v>3822000035</v>
      </c>
      <c r="C786">
        <v>3822000636</v>
      </c>
      <c r="D786" t="str">
        <f>T("[연재]어비스(Abyss) 105화")</f>
        <v>[연재]어비스(Abyss) 105화</v>
      </c>
      <c r="E786" t="str">
        <f>T("105")</f>
        <v>105</v>
      </c>
      <c r="F786" t="str">
        <f t="shared" si="160"/>
        <v>퀸에이</v>
      </c>
      <c r="I786" t="str">
        <f t="shared" si="154"/>
        <v>딥블렌드</v>
      </c>
      <c r="J786" t="str">
        <f t="shared" si="161"/>
        <v>[연재]어비스(Abyss)</v>
      </c>
      <c r="K786">
        <v>100</v>
      </c>
      <c r="L786">
        <v>2300</v>
      </c>
      <c r="M786">
        <v>23</v>
      </c>
      <c r="N786">
        <v>0</v>
      </c>
      <c r="O786">
        <v>0</v>
      </c>
      <c r="P786">
        <v>0</v>
      </c>
      <c r="Q786">
        <v>1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1380</v>
      </c>
      <c r="AN786" t="str">
        <f t="shared" si="162"/>
        <v>9791190142366</v>
      </c>
      <c r="AP786" t="str">
        <f t="shared" si="163"/>
        <v>BL 웹소설 &gt; 현대물</v>
      </c>
      <c r="AQ786" t="str">
        <f t="shared" si="164"/>
        <v>BL 웹소설 &gt; 판타지물</v>
      </c>
    </row>
    <row r="787" spans="1:43" x14ac:dyDescent="0.4">
      <c r="A787" t="s">
        <v>43</v>
      </c>
      <c r="B787">
        <v>3822000035</v>
      </c>
      <c r="C787">
        <v>3822000040</v>
      </c>
      <c r="D787" t="str">
        <f>T("[연재]어비스(Abyss) 6화")</f>
        <v>[연재]어비스(Abyss) 6화</v>
      </c>
      <c r="E787" t="str">
        <f>T("6")</f>
        <v>6</v>
      </c>
      <c r="F787" t="str">
        <f t="shared" si="160"/>
        <v>퀸에이</v>
      </c>
      <c r="I787" t="str">
        <f t="shared" si="154"/>
        <v>딥블렌드</v>
      </c>
      <c r="J787" t="str">
        <f t="shared" si="161"/>
        <v>[연재]어비스(Abyss)</v>
      </c>
      <c r="K787">
        <v>100</v>
      </c>
      <c r="L787">
        <v>2300</v>
      </c>
      <c r="M787">
        <v>23</v>
      </c>
      <c r="N787">
        <v>0</v>
      </c>
      <c r="O787">
        <v>0</v>
      </c>
      <c r="P787">
        <v>0</v>
      </c>
      <c r="Q787">
        <v>17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1380</v>
      </c>
      <c r="AN787" t="str">
        <f t="shared" si="162"/>
        <v>9791190142366</v>
      </c>
      <c r="AP787" t="str">
        <f t="shared" si="163"/>
        <v>BL 웹소설 &gt; 현대물</v>
      </c>
      <c r="AQ787" t="str">
        <f t="shared" si="164"/>
        <v>BL 웹소설 &gt; 판타지물</v>
      </c>
    </row>
    <row r="788" spans="1:43" x14ac:dyDescent="0.4">
      <c r="A788" t="s">
        <v>43</v>
      </c>
      <c r="B788">
        <v>3822000035</v>
      </c>
      <c r="C788">
        <v>3822000041</v>
      </c>
      <c r="D788" t="str">
        <f>T("[연재]어비스(Abyss) 7화")</f>
        <v>[연재]어비스(Abyss) 7화</v>
      </c>
      <c r="E788" t="str">
        <f>T("7")</f>
        <v>7</v>
      </c>
      <c r="F788" t="str">
        <f t="shared" si="160"/>
        <v>퀸에이</v>
      </c>
      <c r="I788" t="str">
        <f t="shared" si="154"/>
        <v>딥블렌드</v>
      </c>
      <c r="J788" t="str">
        <f t="shared" si="161"/>
        <v>[연재]어비스(Abyss)</v>
      </c>
      <c r="K788">
        <v>100</v>
      </c>
      <c r="L788">
        <v>2300</v>
      </c>
      <c r="M788">
        <v>23</v>
      </c>
      <c r="N788">
        <v>0</v>
      </c>
      <c r="O788">
        <v>0</v>
      </c>
      <c r="P788">
        <v>0</v>
      </c>
      <c r="Q788">
        <v>15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1380</v>
      </c>
      <c r="AN788" t="str">
        <f t="shared" si="162"/>
        <v>9791190142366</v>
      </c>
      <c r="AP788" t="str">
        <f t="shared" si="163"/>
        <v>BL 웹소설 &gt; 현대물</v>
      </c>
      <c r="AQ788" t="str">
        <f t="shared" si="164"/>
        <v>BL 웹소설 &gt; 판타지물</v>
      </c>
    </row>
    <row r="789" spans="1:43" x14ac:dyDescent="0.4">
      <c r="A789" t="s">
        <v>43</v>
      </c>
      <c r="B789">
        <v>3822000035</v>
      </c>
      <c r="C789">
        <v>3822000573</v>
      </c>
      <c r="D789" t="str">
        <f>T("[연재]어비스(Abyss) 83화")</f>
        <v>[연재]어비스(Abyss) 83화</v>
      </c>
      <c r="E789" t="str">
        <f>T("83")</f>
        <v>83</v>
      </c>
      <c r="F789" t="str">
        <f t="shared" si="160"/>
        <v>퀸에이</v>
      </c>
      <c r="I789" t="str">
        <f t="shared" si="154"/>
        <v>딥블렌드</v>
      </c>
      <c r="J789" t="str">
        <f t="shared" si="161"/>
        <v>[연재]어비스(Abyss)</v>
      </c>
      <c r="K789">
        <v>100</v>
      </c>
      <c r="L789">
        <v>2300</v>
      </c>
      <c r="M789">
        <v>23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1380</v>
      </c>
      <c r="AN789" t="str">
        <f t="shared" si="162"/>
        <v>9791190142366</v>
      </c>
      <c r="AP789" t="str">
        <f t="shared" si="163"/>
        <v>BL 웹소설 &gt; 현대물</v>
      </c>
      <c r="AQ789" t="str">
        <f t="shared" si="164"/>
        <v>BL 웹소설 &gt; 판타지물</v>
      </c>
    </row>
    <row r="790" spans="1:43" x14ac:dyDescent="0.4">
      <c r="A790" t="s">
        <v>43</v>
      </c>
      <c r="B790">
        <v>3822000035</v>
      </c>
      <c r="C790">
        <v>3822000615</v>
      </c>
      <c r="D790" t="str">
        <f>T("[연재]어비스(Abyss) 99화")</f>
        <v>[연재]어비스(Abyss) 99화</v>
      </c>
      <c r="E790" t="str">
        <f>T("99")</f>
        <v>99</v>
      </c>
      <c r="F790" t="str">
        <f t="shared" si="160"/>
        <v>퀸에이</v>
      </c>
      <c r="I790" t="str">
        <f t="shared" si="154"/>
        <v>딥블렌드</v>
      </c>
      <c r="J790" t="str">
        <f t="shared" si="161"/>
        <v>[연재]어비스(Abyss)</v>
      </c>
      <c r="K790">
        <v>100</v>
      </c>
      <c r="L790">
        <v>2300</v>
      </c>
      <c r="M790">
        <v>23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1380</v>
      </c>
      <c r="AN790" t="str">
        <f t="shared" si="162"/>
        <v>9791190142366</v>
      </c>
      <c r="AP790" t="str">
        <f t="shared" si="163"/>
        <v>BL 웹소설 &gt; 현대물</v>
      </c>
      <c r="AQ790" t="str">
        <f t="shared" si="164"/>
        <v>BL 웹소설 &gt; 판타지물</v>
      </c>
    </row>
    <row r="791" spans="1:43" x14ac:dyDescent="0.4">
      <c r="A791" t="s">
        <v>43</v>
      </c>
      <c r="B791">
        <v>3822000035</v>
      </c>
      <c r="C791">
        <v>3822000602</v>
      </c>
      <c r="D791" t="str">
        <f>T("[연재]어비스(Abyss) 93화")</f>
        <v>[연재]어비스(Abyss) 93화</v>
      </c>
      <c r="E791" t="str">
        <f>T("93")</f>
        <v>93</v>
      </c>
      <c r="F791" t="str">
        <f t="shared" si="160"/>
        <v>퀸에이</v>
      </c>
      <c r="I791" t="str">
        <f t="shared" si="154"/>
        <v>딥블렌드</v>
      </c>
      <c r="J791" t="str">
        <f t="shared" si="161"/>
        <v>[연재]어비스(Abyss)</v>
      </c>
      <c r="K791">
        <v>100</v>
      </c>
      <c r="L791">
        <v>2300</v>
      </c>
      <c r="M791">
        <v>23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1380</v>
      </c>
      <c r="AN791" t="str">
        <f t="shared" si="162"/>
        <v>9791190142366</v>
      </c>
      <c r="AP791" t="str">
        <f t="shared" si="163"/>
        <v>BL 웹소설 &gt; 현대물</v>
      </c>
      <c r="AQ791" t="str">
        <f t="shared" si="164"/>
        <v>BL 웹소설 &gt; 판타지물</v>
      </c>
    </row>
    <row r="792" spans="1:43" x14ac:dyDescent="0.4">
      <c r="A792" t="s">
        <v>43</v>
      </c>
      <c r="B792">
        <v>3822000035</v>
      </c>
      <c r="C792">
        <v>3822000405</v>
      </c>
      <c r="D792" t="str">
        <f>T("[연재]어비스(Abyss) 63화")</f>
        <v>[연재]어비스(Abyss) 63화</v>
      </c>
      <c r="E792" t="str">
        <f>T("63")</f>
        <v>63</v>
      </c>
      <c r="F792" t="str">
        <f t="shared" si="160"/>
        <v>퀸에이</v>
      </c>
      <c r="I792" t="str">
        <f t="shared" si="154"/>
        <v>딥블렌드</v>
      </c>
      <c r="J792" t="str">
        <f t="shared" si="161"/>
        <v>[연재]어비스(Abyss)</v>
      </c>
      <c r="K792">
        <v>100</v>
      </c>
      <c r="L792">
        <v>2300</v>
      </c>
      <c r="M792">
        <v>23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1380</v>
      </c>
      <c r="AN792" t="str">
        <f t="shared" si="162"/>
        <v>9791190142366</v>
      </c>
      <c r="AP792" t="str">
        <f t="shared" si="163"/>
        <v>BL 웹소설 &gt; 현대물</v>
      </c>
      <c r="AQ792" t="str">
        <f t="shared" si="164"/>
        <v>BL 웹소설 &gt; 판타지물</v>
      </c>
    </row>
    <row r="793" spans="1:43" x14ac:dyDescent="0.4">
      <c r="A793" t="s">
        <v>43</v>
      </c>
      <c r="B793">
        <v>3822000035</v>
      </c>
      <c r="C793">
        <v>3822000603</v>
      </c>
      <c r="D793" t="str">
        <f>T("[연재]어비스(Abyss) 94화")</f>
        <v>[연재]어비스(Abyss) 94화</v>
      </c>
      <c r="E793" t="str">
        <f>T("94")</f>
        <v>94</v>
      </c>
      <c r="F793" t="str">
        <f t="shared" si="160"/>
        <v>퀸에이</v>
      </c>
      <c r="I793" t="str">
        <f t="shared" si="154"/>
        <v>딥블렌드</v>
      </c>
      <c r="J793" t="str">
        <f t="shared" si="161"/>
        <v>[연재]어비스(Abyss)</v>
      </c>
      <c r="K793">
        <v>100</v>
      </c>
      <c r="L793">
        <v>2300</v>
      </c>
      <c r="M793">
        <v>23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1380</v>
      </c>
      <c r="AN793" t="str">
        <f t="shared" si="162"/>
        <v>9791190142366</v>
      </c>
      <c r="AP793" t="str">
        <f t="shared" si="163"/>
        <v>BL 웹소설 &gt; 현대물</v>
      </c>
      <c r="AQ793" t="str">
        <f t="shared" si="164"/>
        <v>BL 웹소설 &gt; 판타지물</v>
      </c>
    </row>
    <row r="794" spans="1:43" x14ac:dyDescent="0.4">
      <c r="A794" t="s">
        <v>43</v>
      </c>
      <c r="B794">
        <v>3822000035</v>
      </c>
      <c r="C794">
        <v>3822000434</v>
      </c>
      <c r="D794" t="str">
        <f>T("[연재]어비스(Abyss) 77화")</f>
        <v>[연재]어비스(Abyss) 77화</v>
      </c>
      <c r="E794" t="str">
        <f>T("77")</f>
        <v>77</v>
      </c>
      <c r="F794" t="str">
        <f t="shared" si="160"/>
        <v>퀸에이</v>
      </c>
      <c r="I794" t="str">
        <f t="shared" si="154"/>
        <v>딥블렌드</v>
      </c>
      <c r="J794" t="str">
        <f t="shared" si="161"/>
        <v>[연재]어비스(Abyss)</v>
      </c>
      <c r="K794">
        <v>100</v>
      </c>
      <c r="L794">
        <v>2300</v>
      </c>
      <c r="M794">
        <v>23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1380</v>
      </c>
      <c r="AN794" t="str">
        <f t="shared" si="162"/>
        <v>9791190142366</v>
      </c>
      <c r="AP794" t="str">
        <f t="shared" si="163"/>
        <v>BL 웹소설 &gt; 현대물</v>
      </c>
      <c r="AQ794" t="str">
        <f t="shared" si="164"/>
        <v>BL 웹소설 &gt; 판타지물</v>
      </c>
    </row>
    <row r="795" spans="1:43" x14ac:dyDescent="0.4">
      <c r="A795" t="s">
        <v>43</v>
      </c>
      <c r="B795">
        <v>3822000035</v>
      </c>
      <c r="C795">
        <v>3822000561</v>
      </c>
      <c r="D795" t="str">
        <f>T("[연재]어비스(Abyss) 78화")</f>
        <v>[연재]어비스(Abyss) 78화</v>
      </c>
      <c r="E795" t="str">
        <f>T("78")</f>
        <v>78</v>
      </c>
      <c r="F795" t="str">
        <f t="shared" si="160"/>
        <v>퀸에이</v>
      </c>
      <c r="I795" t="str">
        <f t="shared" si="154"/>
        <v>딥블렌드</v>
      </c>
      <c r="J795" t="str">
        <f t="shared" si="161"/>
        <v>[연재]어비스(Abyss)</v>
      </c>
      <c r="K795">
        <v>100</v>
      </c>
      <c r="L795">
        <v>2300</v>
      </c>
      <c r="M795">
        <v>23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1380</v>
      </c>
      <c r="AN795" t="str">
        <f t="shared" si="162"/>
        <v>9791190142366</v>
      </c>
      <c r="AP795" t="str">
        <f t="shared" si="163"/>
        <v>BL 웹소설 &gt; 현대물</v>
      </c>
      <c r="AQ795" t="str">
        <f t="shared" si="164"/>
        <v>BL 웹소설 &gt; 판타지물</v>
      </c>
    </row>
    <row r="796" spans="1:43" x14ac:dyDescent="0.4">
      <c r="A796" t="s">
        <v>43</v>
      </c>
      <c r="B796">
        <v>3822000035</v>
      </c>
      <c r="C796">
        <v>3822000392</v>
      </c>
      <c r="D796" t="str">
        <f>T("[연재]어비스(Abyss) 57화")</f>
        <v>[연재]어비스(Abyss) 57화</v>
      </c>
      <c r="E796" t="str">
        <f>T("57")</f>
        <v>57</v>
      </c>
      <c r="F796" t="str">
        <f t="shared" si="160"/>
        <v>퀸에이</v>
      </c>
      <c r="I796" t="str">
        <f t="shared" si="154"/>
        <v>딥블렌드</v>
      </c>
      <c r="J796" t="str">
        <f t="shared" si="161"/>
        <v>[연재]어비스(Abyss)</v>
      </c>
      <c r="K796">
        <v>100</v>
      </c>
      <c r="L796">
        <v>2300</v>
      </c>
      <c r="M796">
        <v>23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1380</v>
      </c>
      <c r="AN796" t="str">
        <f t="shared" si="162"/>
        <v>9791190142366</v>
      </c>
      <c r="AP796" t="str">
        <f t="shared" si="163"/>
        <v>BL 웹소설 &gt; 현대물</v>
      </c>
      <c r="AQ796" t="str">
        <f t="shared" si="164"/>
        <v>BL 웹소설 &gt; 판타지물</v>
      </c>
    </row>
    <row r="797" spans="1:43" x14ac:dyDescent="0.4">
      <c r="A797" t="s">
        <v>43</v>
      </c>
      <c r="B797">
        <v>3822000035</v>
      </c>
      <c r="C797">
        <v>3822000576</v>
      </c>
      <c r="D797" t="str">
        <f>T("[연재]어비스(Abyss) 86화")</f>
        <v>[연재]어비스(Abyss) 86화</v>
      </c>
      <c r="E797" t="str">
        <f>T("86")</f>
        <v>86</v>
      </c>
      <c r="F797" t="str">
        <f t="shared" si="160"/>
        <v>퀸에이</v>
      </c>
      <c r="I797" t="str">
        <f t="shared" si="154"/>
        <v>딥블렌드</v>
      </c>
      <c r="J797" t="str">
        <f t="shared" si="161"/>
        <v>[연재]어비스(Abyss)</v>
      </c>
      <c r="K797">
        <v>100</v>
      </c>
      <c r="L797">
        <v>2300</v>
      </c>
      <c r="M797">
        <v>23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1380</v>
      </c>
      <c r="AN797" t="str">
        <f t="shared" si="162"/>
        <v>9791190142366</v>
      </c>
      <c r="AP797" t="str">
        <f t="shared" si="163"/>
        <v>BL 웹소설 &gt; 현대물</v>
      </c>
      <c r="AQ797" t="str">
        <f t="shared" si="164"/>
        <v>BL 웹소설 &gt; 판타지물</v>
      </c>
    </row>
    <row r="798" spans="1:43" x14ac:dyDescent="0.4">
      <c r="A798" t="s">
        <v>43</v>
      </c>
      <c r="B798">
        <v>3822000437</v>
      </c>
      <c r="C798">
        <v>3822001112</v>
      </c>
      <c r="D798" t="str">
        <f>T("[연재]저승꽃감관 165화")</f>
        <v>[연재]저승꽃감관 165화</v>
      </c>
      <c r="E798" t="str">
        <f>T("165")</f>
        <v>165</v>
      </c>
      <c r="F798" t="str">
        <f>T("에복")</f>
        <v>에복</v>
      </c>
      <c r="I798" t="str">
        <f t="shared" si="154"/>
        <v>딥블렌드</v>
      </c>
      <c r="J798" t="str">
        <f>T("[연재]저승꽃감관")</f>
        <v>[연재]저승꽃감관</v>
      </c>
      <c r="K798">
        <v>100</v>
      </c>
      <c r="L798">
        <v>2300</v>
      </c>
      <c r="M798">
        <v>23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1610</v>
      </c>
      <c r="AN798" t="str">
        <f>T("9791190142502")</f>
        <v>9791190142502</v>
      </c>
      <c r="AP798" t="str">
        <f>T("BL 웹소설 &gt; 역사/시대물")</f>
        <v>BL 웹소설 &gt; 역사/시대물</v>
      </c>
    </row>
    <row r="799" spans="1:43" x14ac:dyDescent="0.4">
      <c r="A799" t="s">
        <v>43</v>
      </c>
      <c r="B799">
        <v>3822000035</v>
      </c>
      <c r="C799">
        <v>3822000322</v>
      </c>
      <c r="D799" t="str">
        <f>T("[연재]어비스(Abyss) 41화")</f>
        <v>[연재]어비스(Abyss) 41화</v>
      </c>
      <c r="E799" t="str">
        <f>T("41")</f>
        <v>41</v>
      </c>
      <c r="F799" t="str">
        <f t="shared" ref="F799:F826" si="165">T("퀸에이")</f>
        <v>퀸에이</v>
      </c>
      <c r="I799" t="str">
        <f t="shared" si="154"/>
        <v>딥블렌드</v>
      </c>
      <c r="J799" t="str">
        <f t="shared" ref="J799:J826" si="166">T("[연재]어비스(Abyss)")</f>
        <v>[연재]어비스(Abyss)</v>
      </c>
      <c r="K799">
        <v>100</v>
      </c>
      <c r="L799">
        <v>2300</v>
      </c>
      <c r="M799">
        <v>23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1380</v>
      </c>
      <c r="AN799" t="str">
        <f t="shared" ref="AN799:AN826" si="167">T("9791190142366")</f>
        <v>9791190142366</v>
      </c>
      <c r="AP799" t="str">
        <f t="shared" ref="AP799:AP826" si="168">T("BL 웹소설 &gt; 현대물")</f>
        <v>BL 웹소설 &gt; 현대물</v>
      </c>
      <c r="AQ799" t="str">
        <f t="shared" ref="AQ799:AQ826" si="169">T("BL 웹소설 &gt; 판타지물")</f>
        <v>BL 웹소설 &gt; 판타지물</v>
      </c>
    </row>
    <row r="800" spans="1:43" x14ac:dyDescent="0.4">
      <c r="A800" t="s">
        <v>43</v>
      </c>
      <c r="B800">
        <v>3822000035</v>
      </c>
      <c r="C800">
        <v>3822000577</v>
      </c>
      <c r="D800" t="str">
        <f>T("[연재]어비스(Abyss) 87화")</f>
        <v>[연재]어비스(Abyss) 87화</v>
      </c>
      <c r="E800" t="str">
        <f>T("87")</f>
        <v>87</v>
      </c>
      <c r="F800" t="str">
        <f t="shared" si="165"/>
        <v>퀸에이</v>
      </c>
      <c r="I800" t="str">
        <f t="shared" si="154"/>
        <v>딥블렌드</v>
      </c>
      <c r="J800" t="str">
        <f t="shared" si="166"/>
        <v>[연재]어비스(Abyss)</v>
      </c>
      <c r="K800">
        <v>100</v>
      </c>
      <c r="L800">
        <v>2300</v>
      </c>
      <c r="M800">
        <v>23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1380</v>
      </c>
      <c r="AN800" t="str">
        <f t="shared" si="167"/>
        <v>9791190142366</v>
      </c>
      <c r="AP800" t="str">
        <f t="shared" si="168"/>
        <v>BL 웹소설 &gt; 현대물</v>
      </c>
      <c r="AQ800" t="str">
        <f t="shared" si="169"/>
        <v>BL 웹소설 &gt; 판타지물</v>
      </c>
    </row>
    <row r="801" spans="1:43" x14ac:dyDescent="0.4">
      <c r="A801" t="s">
        <v>43</v>
      </c>
      <c r="B801">
        <v>3822000035</v>
      </c>
      <c r="C801">
        <v>3822000408</v>
      </c>
      <c r="D801" t="str">
        <f>T("[연재]어비스(Abyss) 64화")</f>
        <v>[연재]어비스(Abyss) 64화</v>
      </c>
      <c r="E801" t="str">
        <f>T("64")</f>
        <v>64</v>
      </c>
      <c r="F801" t="str">
        <f t="shared" si="165"/>
        <v>퀸에이</v>
      </c>
      <c r="I801" t="str">
        <f t="shared" si="154"/>
        <v>딥블렌드</v>
      </c>
      <c r="J801" t="str">
        <f t="shared" si="166"/>
        <v>[연재]어비스(Abyss)</v>
      </c>
      <c r="K801">
        <v>100</v>
      </c>
      <c r="L801">
        <v>2300</v>
      </c>
      <c r="M801">
        <v>23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1380</v>
      </c>
      <c r="AN801" t="str">
        <f t="shared" si="167"/>
        <v>9791190142366</v>
      </c>
      <c r="AP801" t="str">
        <f t="shared" si="168"/>
        <v>BL 웹소설 &gt; 현대물</v>
      </c>
      <c r="AQ801" t="str">
        <f t="shared" si="169"/>
        <v>BL 웹소설 &gt; 판타지물</v>
      </c>
    </row>
    <row r="802" spans="1:43" x14ac:dyDescent="0.4">
      <c r="A802" t="s">
        <v>43</v>
      </c>
      <c r="B802">
        <v>3822000035</v>
      </c>
      <c r="C802">
        <v>3822000620</v>
      </c>
      <c r="D802" t="str">
        <f>T("[연재]어비스(Abyss) 102화")</f>
        <v>[연재]어비스(Abyss) 102화</v>
      </c>
      <c r="E802" t="str">
        <f>T("102")</f>
        <v>102</v>
      </c>
      <c r="F802" t="str">
        <f t="shared" si="165"/>
        <v>퀸에이</v>
      </c>
      <c r="I802" t="str">
        <f t="shared" si="154"/>
        <v>딥블렌드</v>
      </c>
      <c r="J802" t="str">
        <f t="shared" si="166"/>
        <v>[연재]어비스(Abyss)</v>
      </c>
      <c r="K802">
        <v>100</v>
      </c>
      <c r="L802">
        <v>2300</v>
      </c>
      <c r="M802">
        <v>23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1380</v>
      </c>
      <c r="AN802" t="str">
        <f t="shared" si="167"/>
        <v>9791190142366</v>
      </c>
      <c r="AP802" t="str">
        <f t="shared" si="168"/>
        <v>BL 웹소설 &gt; 현대물</v>
      </c>
      <c r="AQ802" t="str">
        <f t="shared" si="169"/>
        <v>BL 웹소설 &gt; 판타지물</v>
      </c>
    </row>
    <row r="803" spans="1:43" x14ac:dyDescent="0.4">
      <c r="A803" t="s">
        <v>43</v>
      </c>
      <c r="B803">
        <v>3822000035</v>
      </c>
      <c r="C803">
        <v>3822000579</v>
      </c>
      <c r="D803" t="str">
        <f>T("[연재]어비스(Abyss) 88화")</f>
        <v>[연재]어비스(Abyss) 88화</v>
      </c>
      <c r="E803" t="str">
        <f>T("88")</f>
        <v>88</v>
      </c>
      <c r="F803" t="str">
        <f t="shared" si="165"/>
        <v>퀸에이</v>
      </c>
      <c r="I803" t="str">
        <f t="shared" si="154"/>
        <v>딥블렌드</v>
      </c>
      <c r="J803" t="str">
        <f t="shared" si="166"/>
        <v>[연재]어비스(Abyss)</v>
      </c>
      <c r="K803">
        <v>100</v>
      </c>
      <c r="L803">
        <v>2200</v>
      </c>
      <c r="M803">
        <v>22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1320</v>
      </c>
      <c r="AN803" t="str">
        <f t="shared" si="167"/>
        <v>9791190142366</v>
      </c>
      <c r="AP803" t="str">
        <f t="shared" si="168"/>
        <v>BL 웹소설 &gt; 현대물</v>
      </c>
      <c r="AQ803" t="str">
        <f t="shared" si="169"/>
        <v>BL 웹소설 &gt; 판타지물</v>
      </c>
    </row>
    <row r="804" spans="1:43" x14ac:dyDescent="0.4">
      <c r="A804" t="s">
        <v>43</v>
      </c>
      <c r="B804">
        <v>3822000035</v>
      </c>
      <c r="C804">
        <v>3822000424</v>
      </c>
      <c r="D804" t="str">
        <f>T("[연재]어비스(Abyss) 71화")</f>
        <v>[연재]어비스(Abyss) 71화</v>
      </c>
      <c r="E804" t="str">
        <f>T("71")</f>
        <v>71</v>
      </c>
      <c r="F804" t="str">
        <f t="shared" si="165"/>
        <v>퀸에이</v>
      </c>
      <c r="I804" t="str">
        <f t="shared" si="154"/>
        <v>딥블렌드</v>
      </c>
      <c r="J804" t="str">
        <f t="shared" si="166"/>
        <v>[연재]어비스(Abyss)</v>
      </c>
      <c r="K804">
        <v>100</v>
      </c>
      <c r="L804">
        <v>2200</v>
      </c>
      <c r="M804">
        <v>22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1320</v>
      </c>
      <c r="AN804" t="str">
        <f t="shared" si="167"/>
        <v>9791190142366</v>
      </c>
      <c r="AP804" t="str">
        <f t="shared" si="168"/>
        <v>BL 웹소설 &gt; 현대물</v>
      </c>
      <c r="AQ804" t="str">
        <f t="shared" si="169"/>
        <v>BL 웹소설 &gt; 판타지물</v>
      </c>
    </row>
    <row r="805" spans="1:43" x14ac:dyDescent="0.4">
      <c r="A805" t="s">
        <v>43</v>
      </c>
      <c r="B805">
        <v>3822000035</v>
      </c>
      <c r="C805">
        <v>3822000425</v>
      </c>
      <c r="D805" t="str">
        <f>T("[연재]어비스(Abyss) 72화")</f>
        <v>[연재]어비스(Abyss) 72화</v>
      </c>
      <c r="E805" t="str">
        <f>T("72")</f>
        <v>72</v>
      </c>
      <c r="F805" t="str">
        <f t="shared" si="165"/>
        <v>퀸에이</v>
      </c>
      <c r="I805" t="str">
        <f t="shared" si="154"/>
        <v>딥블렌드</v>
      </c>
      <c r="J805" t="str">
        <f t="shared" si="166"/>
        <v>[연재]어비스(Abyss)</v>
      </c>
      <c r="K805">
        <v>100</v>
      </c>
      <c r="L805">
        <v>2200</v>
      </c>
      <c r="M805">
        <v>22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1320</v>
      </c>
      <c r="AN805" t="str">
        <f t="shared" si="167"/>
        <v>9791190142366</v>
      </c>
      <c r="AP805" t="str">
        <f t="shared" si="168"/>
        <v>BL 웹소설 &gt; 현대물</v>
      </c>
      <c r="AQ805" t="str">
        <f t="shared" si="169"/>
        <v>BL 웹소설 &gt; 판타지물</v>
      </c>
    </row>
    <row r="806" spans="1:43" x14ac:dyDescent="0.4">
      <c r="A806" t="s">
        <v>43</v>
      </c>
      <c r="B806">
        <v>3822000035</v>
      </c>
      <c r="C806">
        <v>3822000581</v>
      </c>
      <c r="D806" t="str">
        <f>T("[연재]어비스(Abyss) 89화")</f>
        <v>[연재]어비스(Abyss) 89화</v>
      </c>
      <c r="E806" t="str">
        <f>T("89")</f>
        <v>89</v>
      </c>
      <c r="F806" t="str">
        <f t="shared" si="165"/>
        <v>퀸에이</v>
      </c>
      <c r="I806" t="str">
        <f t="shared" si="154"/>
        <v>딥블렌드</v>
      </c>
      <c r="J806" t="str">
        <f t="shared" si="166"/>
        <v>[연재]어비스(Abyss)</v>
      </c>
      <c r="K806">
        <v>100</v>
      </c>
      <c r="L806">
        <v>2200</v>
      </c>
      <c r="M806">
        <v>22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1320</v>
      </c>
      <c r="AN806" t="str">
        <f t="shared" si="167"/>
        <v>9791190142366</v>
      </c>
      <c r="AP806" t="str">
        <f t="shared" si="168"/>
        <v>BL 웹소설 &gt; 현대물</v>
      </c>
      <c r="AQ806" t="str">
        <f t="shared" si="169"/>
        <v>BL 웹소설 &gt; 판타지물</v>
      </c>
    </row>
    <row r="807" spans="1:43" x14ac:dyDescent="0.4">
      <c r="A807" t="s">
        <v>43</v>
      </c>
      <c r="B807">
        <v>3822000035</v>
      </c>
      <c r="C807">
        <v>3822000412</v>
      </c>
      <c r="D807" t="str">
        <f>T("[연재]어비스(Abyss) 66화")</f>
        <v>[연재]어비스(Abyss) 66화</v>
      </c>
      <c r="E807" t="str">
        <f>T("66")</f>
        <v>66</v>
      </c>
      <c r="F807" t="str">
        <f t="shared" si="165"/>
        <v>퀸에이</v>
      </c>
      <c r="I807" t="str">
        <f t="shared" si="154"/>
        <v>딥블렌드</v>
      </c>
      <c r="J807" t="str">
        <f t="shared" si="166"/>
        <v>[연재]어비스(Abyss)</v>
      </c>
      <c r="K807">
        <v>100</v>
      </c>
      <c r="L807">
        <v>2200</v>
      </c>
      <c r="M807">
        <v>22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1320</v>
      </c>
      <c r="AN807" t="str">
        <f t="shared" si="167"/>
        <v>9791190142366</v>
      </c>
      <c r="AP807" t="str">
        <f t="shared" si="168"/>
        <v>BL 웹소설 &gt; 현대물</v>
      </c>
      <c r="AQ807" t="str">
        <f t="shared" si="169"/>
        <v>BL 웹소설 &gt; 판타지물</v>
      </c>
    </row>
    <row r="808" spans="1:43" x14ac:dyDescent="0.4">
      <c r="A808" t="s">
        <v>43</v>
      </c>
      <c r="B808">
        <v>3822000035</v>
      </c>
      <c r="C808">
        <v>3822000398</v>
      </c>
      <c r="D808" t="str">
        <f>T("[연재]어비스(Abyss) 58화")</f>
        <v>[연재]어비스(Abyss) 58화</v>
      </c>
      <c r="E808" t="str">
        <f>T("58")</f>
        <v>58</v>
      </c>
      <c r="F808" t="str">
        <f t="shared" si="165"/>
        <v>퀸에이</v>
      </c>
      <c r="I808" t="str">
        <f t="shared" si="154"/>
        <v>딥블렌드</v>
      </c>
      <c r="J808" t="str">
        <f t="shared" si="166"/>
        <v>[연재]어비스(Abyss)</v>
      </c>
      <c r="K808">
        <v>100</v>
      </c>
      <c r="L808">
        <v>2200</v>
      </c>
      <c r="M808">
        <v>22</v>
      </c>
      <c r="N808">
        <v>0</v>
      </c>
      <c r="O808">
        <v>0</v>
      </c>
      <c r="P808">
        <v>0</v>
      </c>
      <c r="Q808">
        <v>1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1320</v>
      </c>
      <c r="AN808" t="str">
        <f t="shared" si="167"/>
        <v>9791190142366</v>
      </c>
      <c r="AP808" t="str">
        <f t="shared" si="168"/>
        <v>BL 웹소설 &gt; 현대물</v>
      </c>
      <c r="AQ808" t="str">
        <f t="shared" si="169"/>
        <v>BL 웹소설 &gt; 판타지물</v>
      </c>
    </row>
    <row r="809" spans="1:43" x14ac:dyDescent="0.4">
      <c r="A809" t="s">
        <v>43</v>
      </c>
      <c r="B809">
        <v>3822000035</v>
      </c>
      <c r="C809">
        <v>3822000582</v>
      </c>
      <c r="D809" t="str">
        <f>T("[연재]어비스(Abyss) 90화")</f>
        <v>[연재]어비스(Abyss) 90화</v>
      </c>
      <c r="E809" t="str">
        <f>T("90")</f>
        <v>90</v>
      </c>
      <c r="F809" t="str">
        <f t="shared" si="165"/>
        <v>퀸에이</v>
      </c>
      <c r="I809" t="str">
        <f t="shared" si="154"/>
        <v>딥블렌드</v>
      </c>
      <c r="J809" t="str">
        <f t="shared" si="166"/>
        <v>[연재]어비스(Abyss)</v>
      </c>
      <c r="K809">
        <v>100</v>
      </c>
      <c r="L809">
        <v>2200</v>
      </c>
      <c r="M809">
        <v>22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1320</v>
      </c>
      <c r="AN809" t="str">
        <f t="shared" si="167"/>
        <v>9791190142366</v>
      </c>
      <c r="AP809" t="str">
        <f t="shared" si="168"/>
        <v>BL 웹소설 &gt; 현대물</v>
      </c>
      <c r="AQ809" t="str">
        <f t="shared" si="169"/>
        <v>BL 웹소설 &gt; 판타지물</v>
      </c>
    </row>
    <row r="810" spans="1:43" x14ac:dyDescent="0.4">
      <c r="A810" t="s">
        <v>43</v>
      </c>
      <c r="B810">
        <v>3822000035</v>
      </c>
      <c r="C810">
        <v>3822000413</v>
      </c>
      <c r="D810" t="str">
        <f>T("[연재]어비스(Abyss) 67화")</f>
        <v>[연재]어비스(Abyss) 67화</v>
      </c>
      <c r="E810" t="str">
        <f>T("67")</f>
        <v>67</v>
      </c>
      <c r="F810" t="str">
        <f t="shared" si="165"/>
        <v>퀸에이</v>
      </c>
      <c r="I810" t="str">
        <f t="shared" ref="I810:I873" si="170">T("딥블렌드")</f>
        <v>딥블렌드</v>
      </c>
      <c r="J810" t="str">
        <f t="shared" si="166"/>
        <v>[연재]어비스(Abyss)</v>
      </c>
      <c r="K810">
        <v>100</v>
      </c>
      <c r="L810">
        <v>2200</v>
      </c>
      <c r="M810">
        <v>22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1320</v>
      </c>
      <c r="AN810" t="str">
        <f t="shared" si="167"/>
        <v>9791190142366</v>
      </c>
      <c r="AP810" t="str">
        <f t="shared" si="168"/>
        <v>BL 웹소설 &gt; 현대물</v>
      </c>
      <c r="AQ810" t="str">
        <f t="shared" si="169"/>
        <v>BL 웹소설 &gt; 판타지물</v>
      </c>
    </row>
    <row r="811" spans="1:43" x14ac:dyDescent="0.4">
      <c r="A811" t="s">
        <v>43</v>
      </c>
      <c r="B811">
        <v>3822000035</v>
      </c>
      <c r="C811">
        <v>3822000583</v>
      </c>
      <c r="D811" t="str">
        <f>T("[연재]어비스(Abyss) 91화")</f>
        <v>[연재]어비스(Abyss) 91화</v>
      </c>
      <c r="E811" t="str">
        <f>T("91")</f>
        <v>91</v>
      </c>
      <c r="F811" t="str">
        <f t="shared" si="165"/>
        <v>퀸에이</v>
      </c>
      <c r="I811" t="str">
        <f t="shared" si="170"/>
        <v>딥블렌드</v>
      </c>
      <c r="J811" t="str">
        <f t="shared" si="166"/>
        <v>[연재]어비스(Abyss)</v>
      </c>
      <c r="K811">
        <v>100</v>
      </c>
      <c r="L811">
        <v>2200</v>
      </c>
      <c r="M811">
        <v>22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1320</v>
      </c>
      <c r="AN811" t="str">
        <f t="shared" si="167"/>
        <v>9791190142366</v>
      </c>
      <c r="AP811" t="str">
        <f t="shared" si="168"/>
        <v>BL 웹소설 &gt; 현대물</v>
      </c>
      <c r="AQ811" t="str">
        <f t="shared" si="169"/>
        <v>BL 웹소설 &gt; 판타지물</v>
      </c>
    </row>
    <row r="812" spans="1:43" x14ac:dyDescent="0.4">
      <c r="A812" t="s">
        <v>43</v>
      </c>
      <c r="B812">
        <v>3822000035</v>
      </c>
      <c r="C812">
        <v>3822000401</v>
      </c>
      <c r="D812" t="str">
        <f>T("[연재]어비스(Abyss) 61화")</f>
        <v>[연재]어비스(Abyss) 61화</v>
      </c>
      <c r="E812" t="str">
        <f>T("61")</f>
        <v>61</v>
      </c>
      <c r="F812" t="str">
        <f t="shared" si="165"/>
        <v>퀸에이</v>
      </c>
      <c r="I812" t="str">
        <f t="shared" si="170"/>
        <v>딥블렌드</v>
      </c>
      <c r="J812" t="str">
        <f t="shared" si="166"/>
        <v>[연재]어비스(Abyss)</v>
      </c>
      <c r="K812">
        <v>100</v>
      </c>
      <c r="L812">
        <v>2200</v>
      </c>
      <c r="M812">
        <v>22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1320</v>
      </c>
      <c r="AN812" t="str">
        <f t="shared" si="167"/>
        <v>9791190142366</v>
      </c>
      <c r="AP812" t="str">
        <f t="shared" si="168"/>
        <v>BL 웹소설 &gt; 현대물</v>
      </c>
      <c r="AQ812" t="str">
        <f t="shared" si="169"/>
        <v>BL 웹소설 &gt; 판타지물</v>
      </c>
    </row>
    <row r="813" spans="1:43" x14ac:dyDescent="0.4">
      <c r="A813" t="s">
        <v>43</v>
      </c>
      <c r="B813">
        <v>3822000035</v>
      </c>
      <c r="C813">
        <v>3822000402</v>
      </c>
      <c r="D813" t="str">
        <f>T("[연재]어비스(Abyss) 62화")</f>
        <v>[연재]어비스(Abyss) 62화</v>
      </c>
      <c r="E813" t="str">
        <f>T("62")</f>
        <v>62</v>
      </c>
      <c r="F813" t="str">
        <f t="shared" si="165"/>
        <v>퀸에이</v>
      </c>
      <c r="I813" t="str">
        <f t="shared" si="170"/>
        <v>딥블렌드</v>
      </c>
      <c r="J813" t="str">
        <f t="shared" si="166"/>
        <v>[연재]어비스(Abyss)</v>
      </c>
      <c r="K813">
        <v>100</v>
      </c>
      <c r="L813">
        <v>2200</v>
      </c>
      <c r="M813">
        <v>22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1320</v>
      </c>
      <c r="AN813" t="str">
        <f t="shared" si="167"/>
        <v>9791190142366</v>
      </c>
      <c r="AP813" t="str">
        <f t="shared" si="168"/>
        <v>BL 웹소설 &gt; 현대물</v>
      </c>
      <c r="AQ813" t="str">
        <f t="shared" si="169"/>
        <v>BL 웹소설 &gt; 판타지물</v>
      </c>
    </row>
    <row r="814" spans="1:43" x14ac:dyDescent="0.4">
      <c r="A814" t="s">
        <v>43</v>
      </c>
      <c r="B814">
        <v>3822000035</v>
      </c>
      <c r="C814">
        <v>3822000725</v>
      </c>
      <c r="D814" t="str">
        <f>T("[연재]어비스(Abyss) 117화")</f>
        <v>[연재]어비스(Abyss) 117화</v>
      </c>
      <c r="E814" t="str">
        <f>T("117")</f>
        <v>117</v>
      </c>
      <c r="F814" t="str">
        <f t="shared" si="165"/>
        <v>퀸에이</v>
      </c>
      <c r="I814" t="str">
        <f t="shared" si="170"/>
        <v>딥블렌드</v>
      </c>
      <c r="J814" t="str">
        <f t="shared" si="166"/>
        <v>[연재]어비스(Abyss)</v>
      </c>
      <c r="K814">
        <v>100</v>
      </c>
      <c r="L814">
        <v>2200</v>
      </c>
      <c r="M814">
        <v>22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1320</v>
      </c>
      <c r="AN814" t="str">
        <f t="shared" si="167"/>
        <v>9791190142366</v>
      </c>
      <c r="AP814" t="str">
        <f t="shared" si="168"/>
        <v>BL 웹소설 &gt; 현대물</v>
      </c>
      <c r="AQ814" t="str">
        <f t="shared" si="169"/>
        <v>BL 웹소설 &gt; 판타지물</v>
      </c>
    </row>
    <row r="815" spans="1:43" x14ac:dyDescent="0.4">
      <c r="A815" t="s">
        <v>43</v>
      </c>
      <c r="B815">
        <v>3822000035</v>
      </c>
      <c r="C815">
        <v>3822000574</v>
      </c>
      <c r="D815" t="str">
        <f>T("[연재]어비스(Abyss) 84화")</f>
        <v>[연재]어비스(Abyss) 84화</v>
      </c>
      <c r="E815" t="str">
        <f>T("84")</f>
        <v>84</v>
      </c>
      <c r="F815" t="str">
        <f t="shared" si="165"/>
        <v>퀸에이</v>
      </c>
      <c r="I815" t="str">
        <f t="shared" si="170"/>
        <v>딥블렌드</v>
      </c>
      <c r="J815" t="str">
        <f t="shared" si="166"/>
        <v>[연재]어비스(Abyss)</v>
      </c>
      <c r="K815">
        <v>100</v>
      </c>
      <c r="L815">
        <v>2200</v>
      </c>
      <c r="M815">
        <v>22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1320</v>
      </c>
      <c r="AN815" t="str">
        <f t="shared" si="167"/>
        <v>9791190142366</v>
      </c>
      <c r="AP815" t="str">
        <f t="shared" si="168"/>
        <v>BL 웹소설 &gt; 현대물</v>
      </c>
      <c r="AQ815" t="str">
        <f t="shared" si="169"/>
        <v>BL 웹소설 &gt; 판타지물</v>
      </c>
    </row>
    <row r="816" spans="1:43" x14ac:dyDescent="0.4">
      <c r="A816" t="s">
        <v>43</v>
      </c>
      <c r="B816">
        <v>3822000035</v>
      </c>
      <c r="C816">
        <v>3822000616</v>
      </c>
      <c r="D816" t="str">
        <f>T("[연재]어비스(Abyss) 100화")</f>
        <v>[연재]어비스(Abyss) 100화</v>
      </c>
      <c r="E816" t="str">
        <f>T("100")</f>
        <v>100</v>
      </c>
      <c r="F816" t="str">
        <f t="shared" si="165"/>
        <v>퀸에이</v>
      </c>
      <c r="I816" t="str">
        <f t="shared" si="170"/>
        <v>딥블렌드</v>
      </c>
      <c r="J816" t="str">
        <f t="shared" si="166"/>
        <v>[연재]어비스(Abyss)</v>
      </c>
      <c r="K816">
        <v>100</v>
      </c>
      <c r="L816">
        <v>2200</v>
      </c>
      <c r="M816">
        <v>22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1320</v>
      </c>
      <c r="AN816" t="str">
        <f t="shared" si="167"/>
        <v>9791190142366</v>
      </c>
      <c r="AP816" t="str">
        <f t="shared" si="168"/>
        <v>BL 웹소설 &gt; 현대물</v>
      </c>
      <c r="AQ816" t="str">
        <f t="shared" si="169"/>
        <v>BL 웹소설 &gt; 판타지물</v>
      </c>
    </row>
    <row r="817" spans="1:43" x14ac:dyDescent="0.4">
      <c r="A817" t="s">
        <v>43</v>
      </c>
      <c r="B817">
        <v>3822000035</v>
      </c>
      <c r="C817">
        <v>3822000575</v>
      </c>
      <c r="D817" t="str">
        <f>T("[연재]어비스(Abyss) 85화")</f>
        <v>[연재]어비스(Abyss) 85화</v>
      </c>
      <c r="E817" t="str">
        <f>T("85")</f>
        <v>85</v>
      </c>
      <c r="F817" t="str">
        <f t="shared" si="165"/>
        <v>퀸에이</v>
      </c>
      <c r="I817" t="str">
        <f t="shared" si="170"/>
        <v>딥블렌드</v>
      </c>
      <c r="J817" t="str">
        <f t="shared" si="166"/>
        <v>[연재]어비스(Abyss)</v>
      </c>
      <c r="K817">
        <v>100</v>
      </c>
      <c r="L817">
        <v>2200</v>
      </c>
      <c r="M817">
        <v>22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1320</v>
      </c>
      <c r="AN817" t="str">
        <f t="shared" si="167"/>
        <v>9791190142366</v>
      </c>
      <c r="AP817" t="str">
        <f t="shared" si="168"/>
        <v>BL 웹소설 &gt; 현대물</v>
      </c>
      <c r="AQ817" t="str">
        <f t="shared" si="169"/>
        <v>BL 웹소설 &gt; 판타지물</v>
      </c>
    </row>
    <row r="818" spans="1:43" x14ac:dyDescent="0.4">
      <c r="A818" t="s">
        <v>43</v>
      </c>
      <c r="B818">
        <v>3822000035</v>
      </c>
      <c r="C818">
        <v>3822000617</v>
      </c>
      <c r="D818" t="str">
        <f>T("[연재]어비스(Abyss) 101화")</f>
        <v>[연재]어비스(Abyss) 101화</v>
      </c>
      <c r="E818" t="str">
        <f>T("101")</f>
        <v>101</v>
      </c>
      <c r="F818" t="str">
        <f t="shared" si="165"/>
        <v>퀸에이</v>
      </c>
      <c r="I818" t="str">
        <f t="shared" si="170"/>
        <v>딥블렌드</v>
      </c>
      <c r="J818" t="str">
        <f t="shared" si="166"/>
        <v>[연재]어비스(Abyss)</v>
      </c>
      <c r="K818">
        <v>100</v>
      </c>
      <c r="L818">
        <v>2200</v>
      </c>
      <c r="M818">
        <v>22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1320</v>
      </c>
      <c r="AN818" t="str">
        <f t="shared" si="167"/>
        <v>9791190142366</v>
      </c>
      <c r="AP818" t="str">
        <f t="shared" si="168"/>
        <v>BL 웹소설 &gt; 현대물</v>
      </c>
      <c r="AQ818" t="str">
        <f t="shared" si="169"/>
        <v>BL 웹소설 &gt; 판타지물</v>
      </c>
    </row>
    <row r="819" spans="1:43" x14ac:dyDescent="0.4">
      <c r="A819" t="s">
        <v>43</v>
      </c>
      <c r="B819">
        <v>3822000035</v>
      </c>
      <c r="C819">
        <v>3822000727</v>
      </c>
      <c r="D819" t="str">
        <f>T("[연재]어비스(Abyss) 118화")</f>
        <v>[연재]어비스(Abyss) 118화</v>
      </c>
      <c r="E819" t="str">
        <f>T("118")</f>
        <v>118</v>
      </c>
      <c r="F819" t="str">
        <f t="shared" si="165"/>
        <v>퀸에이</v>
      </c>
      <c r="I819" t="str">
        <f t="shared" si="170"/>
        <v>딥블렌드</v>
      </c>
      <c r="J819" t="str">
        <f t="shared" si="166"/>
        <v>[연재]어비스(Abyss)</v>
      </c>
      <c r="K819">
        <v>100</v>
      </c>
      <c r="L819">
        <v>2200</v>
      </c>
      <c r="M819">
        <v>22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1320</v>
      </c>
      <c r="AN819" t="str">
        <f t="shared" si="167"/>
        <v>9791190142366</v>
      </c>
      <c r="AP819" t="str">
        <f t="shared" si="168"/>
        <v>BL 웹소설 &gt; 현대물</v>
      </c>
      <c r="AQ819" t="str">
        <f t="shared" si="169"/>
        <v>BL 웹소설 &gt; 판타지물</v>
      </c>
    </row>
    <row r="820" spans="1:43" x14ac:dyDescent="0.4">
      <c r="A820" t="s">
        <v>43</v>
      </c>
      <c r="B820">
        <v>3822000035</v>
      </c>
      <c r="C820">
        <v>3822000562</v>
      </c>
      <c r="D820" t="str">
        <f>T("[연재]어비스(Abyss) 79화")</f>
        <v>[연재]어비스(Abyss) 79화</v>
      </c>
      <c r="E820" t="str">
        <f>T("79")</f>
        <v>79</v>
      </c>
      <c r="F820" t="str">
        <f t="shared" si="165"/>
        <v>퀸에이</v>
      </c>
      <c r="I820" t="str">
        <f t="shared" si="170"/>
        <v>딥블렌드</v>
      </c>
      <c r="J820" t="str">
        <f t="shared" si="166"/>
        <v>[연재]어비스(Abyss)</v>
      </c>
      <c r="K820">
        <v>100</v>
      </c>
      <c r="L820">
        <v>2200</v>
      </c>
      <c r="M820">
        <v>22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1320</v>
      </c>
      <c r="AN820" t="str">
        <f t="shared" si="167"/>
        <v>9791190142366</v>
      </c>
      <c r="AP820" t="str">
        <f t="shared" si="168"/>
        <v>BL 웹소설 &gt; 현대물</v>
      </c>
      <c r="AQ820" t="str">
        <f t="shared" si="169"/>
        <v>BL 웹소설 &gt; 판타지물</v>
      </c>
    </row>
    <row r="821" spans="1:43" x14ac:dyDescent="0.4">
      <c r="A821" t="s">
        <v>43</v>
      </c>
      <c r="B821">
        <v>3822000035</v>
      </c>
      <c r="C821">
        <v>3822000567</v>
      </c>
      <c r="D821" t="str">
        <f>T("[연재]어비스(Abyss) 80화")</f>
        <v>[연재]어비스(Abyss) 80화</v>
      </c>
      <c r="E821" t="str">
        <f>T("80")</f>
        <v>80</v>
      </c>
      <c r="F821" t="str">
        <f t="shared" si="165"/>
        <v>퀸에이</v>
      </c>
      <c r="I821" t="str">
        <f t="shared" si="170"/>
        <v>딥블렌드</v>
      </c>
      <c r="J821" t="str">
        <f t="shared" si="166"/>
        <v>[연재]어비스(Abyss)</v>
      </c>
      <c r="K821">
        <v>100</v>
      </c>
      <c r="L821">
        <v>2100</v>
      </c>
      <c r="M821">
        <v>21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1260</v>
      </c>
      <c r="AN821" t="str">
        <f t="shared" si="167"/>
        <v>9791190142366</v>
      </c>
      <c r="AP821" t="str">
        <f t="shared" si="168"/>
        <v>BL 웹소설 &gt; 현대물</v>
      </c>
      <c r="AQ821" t="str">
        <f t="shared" si="169"/>
        <v>BL 웹소설 &gt; 판타지물</v>
      </c>
    </row>
    <row r="822" spans="1:43" x14ac:dyDescent="0.4">
      <c r="A822" t="s">
        <v>43</v>
      </c>
      <c r="B822">
        <v>3822000035</v>
      </c>
      <c r="C822">
        <v>3822000734</v>
      </c>
      <c r="D822" t="str">
        <f>T("[연재]어비스(Abyss) 119화")</f>
        <v>[연재]어비스(Abyss) 119화</v>
      </c>
      <c r="E822" t="str">
        <f>T("119")</f>
        <v>119</v>
      </c>
      <c r="F822" t="str">
        <f t="shared" si="165"/>
        <v>퀸에이</v>
      </c>
      <c r="I822" t="str">
        <f t="shared" si="170"/>
        <v>딥블렌드</v>
      </c>
      <c r="J822" t="str">
        <f t="shared" si="166"/>
        <v>[연재]어비스(Abyss)</v>
      </c>
      <c r="K822">
        <v>100</v>
      </c>
      <c r="L822">
        <v>2100</v>
      </c>
      <c r="M822">
        <v>21</v>
      </c>
      <c r="N822">
        <v>0</v>
      </c>
      <c r="O822">
        <v>0</v>
      </c>
      <c r="P822">
        <v>0</v>
      </c>
      <c r="Q822">
        <v>1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1260</v>
      </c>
      <c r="AN822" t="str">
        <f t="shared" si="167"/>
        <v>9791190142366</v>
      </c>
      <c r="AP822" t="str">
        <f t="shared" si="168"/>
        <v>BL 웹소설 &gt; 현대물</v>
      </c>
      <c r="AQ822" t="str">
        <f t="shared" si="169"/>
        <v>BL 웹소설 &gt; 판타지물</v>
      </c>
    </row>
    <row r="823" spans="1:43" x14ac:dyDescent="0.4">
      <c r="A823" t="s">
        <v>43</v>
      </c>
      <c r="B823">
        <v>3822000035</v>
      </c>
      <c r="C823">
        <v>3822000414</v>
      </c>
      <c r="D823" t="str">
        <f>T("[연재]어비스(Abyss) 68화")</f>
        <v>[연재]어비스(Abyss) 68화</v>
      </c>
      <c r="E823" t="str">
        <f>T("68")</f>
        <v>68</v>
      </c>
      <c r="F823" t="str">
        <f t="shared" si="165"/>
        <v>퀸에이</v>
      </c>
      <c r="I823" t="str">
        <f t="shared" si="170"/>
        <v>딥블렌드</v>
      </c>
      <c r="J823" t="str">
        <f t="shared" si="166"/>
        <v>[연재]어비스(Abyss)</v>
      </c>
      <c r="K823">
        <v>100</v>
      </c>
      <c r="L823">
        <v>2100</v>
      </c>
      <c r="M823">
        <v>21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1260</v>
      </c>
      <c r="AN823" t="str">
        <f t="shared" si="167"/>
        <v>9791190142366</v>
      </c>
      <c r="AP823" t="str">
        <f t="shared" si="168"/>
        <v>BL 웹소설 &gt; 현대물</v>
      </c>
      <c r="AQ823" t="str">
        <f t="shared" si="169"/>
        <v>BL 웹소설 &gt; 판타지물</v>
      </c>
    </row>
    <row r="824" spans="1:43" x14ac:dyDescent="0.4">
      <c r="A824" t="s">
        <v>43</v>
      </c>
      <c r="B824">
        <v>3822000035</v>
      </c>
      <c r="C824">
        <v>3822000570</v>
      </c>
      <c r="D824" t="str">
        <f>T("[연재]어비스(Abyss) 82화")</f>
        <v>[연재]어비스(Abyss) 82화</v>
      </c>
      <c r="E824" t="str">
        <f>T("82")</f>
        <v>82</v>
      </c>
      <c r="F824" t="str">
        <f t="shared" si="165"/>
        <v>퀸에이</v>
      </c>
      <c r="I824" t="str">
        <f t="shared" si="170"/>
        <v>딥블렌드</v>
      </c>
      <c r="J824" t="str">
        <f t="shared" si="166"/>
        <v>[연재]어비스(Abyss)</v>
      </c>
      <c r="K824">
        <v>100</v>
      </c>
      <c r="L824">
        <v>2100</v>
      </c>
      <c r="M824">
        <v>21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1260</v>
      </c>
      <c r="AN824" t="str">
        <f t="shared" si="167"/>
        <v>9791190142366</v>
      </c>
      <c r="AP824" t="str">
        <f t="shared" si="168"/>
        <v>BL 웹소설 &gt; 현대물</v>
      </c>
      <c r="AQ824" t="str">
        <f t="shared" si="169"/>
        <v>BL 웹소설 &gt; 판타지물</v>
      </c>
    </row>
    <row r="825" spans="1:43" x14ac:dyDescent="0.4">
      <c r="A825" t="s">
        <v>43</v>
      </c>
      <c r="B825">
        <v>3822000035</v>
      </c>
      <c r="C825">
        <v>3822000391</v>
      </c>
      <c r="D825" t="str">
        <f>T("[연재]어비스(Abyss) 56화")</f>
        <v>[연재]어비스(Abyss) 56화</v>
      </c>
      <c r="E825" t="str">
        <f>T("56")</f>
        <v>56</v>
      </c>
      <c r="F825" t="str">
        <f t="shared" si="165"/>
        <v>퀸에이</v>
      </c>
      <c r="I825" t="str">
        <f t="shared" si="170"/>
        <v>딥블렌드</v>
      </c>
      <c r="J825" t="str">
        <f t="shared" si="166"/>
        <v>[연재]어비스(Abyss)</v>
      </c>
      <c r="K825">
        <v>100</v>
      </c>
      <c r="L825">
        <v>2100</v>
      </c>
      <c r="M825">
        <v>21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1260</v>
      </c>
      <c r="AN825" t="str">
        <f t="shared" si="167"/>
        <v>9791190142366</v>
      </c>
      <c r="AP825" t="str">
        <f t="shared" si="168"/>
        <v>BL 웹소설 &gt; 현대물</v>
      </c>
      <c r="AQ825" t="str">
        <f t="shared" si="169"/>
        <v>BL 웹소설 &gt; 판타지물</v>
      </c>
    </row>
    <row r="826" spans="1:43" x14ac:dyDescent="0.4">
      <c r="A826" t="s">
        <v>43</v>
      </c>
      <c r="B826">
        <v>3822000035</v>
      </c>
      <c r="C826">
        <v>3822000569</v>
      </c>
      <c r="D826" t="str">
        <f>T("[연재]어비스(Abyss) 81화")</f>
        <v>[연재]어비스(Abyss) 81화</v>
      </c>
      <c r="E826" t="str">
        <f>T("81")</f>
        <v>81</v>
      </c>
      <c r="F826" t="str">
        <f t="shared" si="165"/>
        <v>퀸에이</v>
      </c>
      <c r="I826" t="str">
        <f t="shared" si="170"/>
        <v>딥블렌드</v>
      </c>
      <c r="J826" t="str">
        <f t="shared" si="166"/>
        <v>[연재]어비스(Abyss)</v>
      </c>
      <c r="K826">
        <v>100</v>
      </c>
      <c r="L826">
        <v>2000</v>
      </c>
      <c r="M826">
        <v>20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1200</v>
      </c>
      <c r="AN826" t="str">
        <f t="shared" si="167"/>
        <v>9791190142366</v>
      </c>
      <c r="AP826" t="str">
        <f t="shared" si="168"/>
        <v>BL 웹소설 &gt; 현대물</v>
      </c>
      <c r="AQ826" t="str">
        <f t="shared" si="169"/>
        <v>BL 웹소설 &gt; 판타지물</v>
      </c>
    </row>
    <row r="827" spans="1:43" x14ac:dyDescent="0.4">
      <c r="A827" t="s">
        <v>43</v>
      </c>
      <c r="B827">
        <v>3822000437</v>
      </c>
      <c r="C827">
        <v>3822001098</v>
      </c>
      <c r="D827" t="str">
        <f>T("[연재]저승꽃감관 151화")</f>
        <v>[연재]저승꽃감관 151화</v>
      </c>
      <c r="E827" t="str">
        <f>T("151")</f>
        <v>151</v>
      </c>
      <c r="F827" t="str">
        <f>T("에복")</f>
        <v>에복</v>
      </c>
      <c r="I827" t="str">
        <f t="shared" si="170"/>
        <v>딥블렌드</v>
      </c>
      <c r="J827" t="str">
        <f>T("[연재]저승꽃감관")</f>
        <v>[연재]저승꽃감관</v>
      </c>
      <c r="K827">
        <v>100</v>
      </c>
      <c r="L827">
        <v>2000</v>
      </c>
      <c r="M827">
        <v>20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1400</v>
      </c>
      <c r="AN827" t="str">
        <f>T("9791190142502")</f>
        <v>9791190142502</v>
      </c>
      <c r="AP827" t="str">
        <f>T("BL 웹소설 &gt; 역사/시대물")</f>
        <v>BL 웹소설 &gt; 역사/시대물</v>
      </c>
    </row>
    <row r="828" spans="1:43" x14ac:dyDescent="0.4">
      <c r="A828" t="s">
        <v>43</v>
      </c>
      <c r="B828">
        <v>3822000748</v>
      </c>
      <c r="C828">
        <v>3822000751</v>
      </c>
      <c r="D828" t="str">
        <f>T("[연재]왓에버 유 두(whatever you do) 4화")</f>
        <v>[연재]왓에버 유 두(whatever you do) 4화</v>
      </c>
      <c r="E828" t="str">
        <f>T("4")</f>
        <v>4</v>
      </c>
      <c r="F828" t="str">
        <f>T("원믹")</f>
        <v>원믹</v>
      </c>
      <c r="I828" t="str">
        <f t="shared" si="170"/>
        <v>딥블렌드</v>
      </c>
      <c r="J828" t="str">
        <f>T("[연재]왓에버 유 두(whatever you do)")</f>
        <v>[연재]왓에버 유 두(whatever you do)</v>
      </c>
      <c r="K828">
        <v>100</v>
      </c>
      <c r="L828">
        <v>1400</v>
      </c>
      <c r="M828">
        <v>14</v>
      </c>
      <c r="N828">
        <v>0</v>
      </c>
      <c r="O828">
        <v>0</v>
      </c>
      <c r="P828">
        <v>0</v>
      </c>
      <c r="Q828">
        <v>5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860</v>
      </c>
      <c r="AN828" t="str">
        <f>T("9791190142793")</f>
        <v>9791190142793</v>
      </c>
      <c r="AP828" t="str">
        <f>T("BL 웹소설 &gt; 현대물")</f>
        <v>BL 웹소설 &gt; 현대물</v>
      </c>
    </row>
    <row r="829" spans="1:43" x14ac:dyDescent="0.4">
      <c r="A829" t="s">
        <v>43</v>
      </c>
      <c r="B829">
        <v>3822000437</v>
      </c>
      <c r="C829">
        <v>3822000487</v>
      </c>
      <c r="D829" t="str">
        <f>T("[연재]저승꽃감관 51화")</f>
        <v>[연재]저승꽃감관 51화</v>
      </c>
      <c r="E829" t="str">
        <f>T("51")</f>
        <v>51</v>
      </c>
      <c r="F829" t="str">
        <f t="shared" ref="F829:F847" si="171">T("에복")</f>
        <v>에복</v>
      </c>
      <c r="I829" t="str">
        <f t="shared" si="170"/>
        <v>딥블렌드</v>
      </c>
      <c r="J829" t="str">
        <f t="shared" ref="J829:J847" si="172">T("[연재]저승꽃감관")</f>
        <v>[연재]저승꽃감관</v>
      </c>
      <c r="K829">
        <v>100</v>
      </c>
      <c r="L829">
        <v>1400</v>
      </c>
      <c r="M829">
        <v>14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980</v>
      </c>
      <c r="AN829" t="str">
        <f t="shared" ref="AN829:AN847" si="173">T("9791190142502")</f>
        <v>9791190142502</v>
      </c>
      <c r="AP829" t="str">
        <f t="shared" ref="AP829:AP847" si="174">T("BL 웹소설 &gt; 역사/시대물")</f>
        <v>BL 웹소설 &gt; 역사/시대물</v>
      </c>
    </row>
    <row r="830" spans="1:43" x14ac:dyDescent="0.4">
      <c r="A830" t="s">
        <v>43</v>
      </c>
      <c r="B830">
        <v>3822000437</v>
      </c>
      <c r="C830">
        <v>3822000488</v>
      </c>
      <c r="D830" t="str">
        <f>T("[연재]저승꽃감관 52화")</f>
        <v>[연재]저승꽃감관 52화</v>
      </c>
      <c r="E830" t="str">
        <f>T("52")</f>
        <v>52</v>
      </c>
      <c r="F830" t="str">
        <f t="shared" si="171"/>
        <v>에복</v>
      </c>
      <c r="I830" t="str">
        <f t="shared" si="170"/>
        <v>딥블렌드</v>
      </c>
      <c r="J830" t="str">
        <f t="shared" si="172"/>
        <v>[연재]저승꽃감관</v>
      </c>
      <c r="K830">
        <v>100</v>
      </c>
      <c r="L830">
        <v>1300</v>
      </c>
      <c r="M830">
        <v>13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910</v>
      </c>
      <c r="AN830" t="str">
        <f t="shared" si="173"/>
        <v>9791190142502</v>
      </c>
      <c r="AP830" t="str">
        <f t="shared" si="174"/>
        <v>BL 웹소설 &gt; 역사/시대물</v>
      </c>
    </row>
    <row r="831" spans="1:43" x14ac:dyDescent="0.4">
      <c r="A831" t="s">
        <v>43</v>
      </c>
      <c r="B831">
        <v>3822000437</v>
      </c>
      <c r="C831">
        <v>3822000466</v>
      </c>
      <c r="D831" t="str">
        <f>T("[연재]저승꽃감관 30화")</f>
        <v>[연재]저승꽃감관 30화</v>
      </c>
      <c r="E831" t="str">
        <f>T("30")</f>
        <v>30</v>
      </c>
      <c r="F831" t="str">
        <f t="shared" si="171"/>
        <v>에복</v>
      </c>
      <c r="I831" t="str">
        <f t="shared" si="170"/>
        <v>딥블렌드</v>
      </c>
      <c r="J831" t="str">
        <f t="shared" si="172"/>
        <v>[연재]저승꽃감관</v>
      </c>
      <c r="K831">
        <v>100</v>
      </c>
      <c r="L831">
        <v>1200</v>
      </c>
      <c r="M831">
        <v>12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840</v>
      </c>
      <c r="AN831" t="str">
        <f t="shared" si="173"/>
        <v>9791190142502</v>
      </c>
      <c r="AP831" t="str">
        <f t="shared" si="174"/>
        <v>BL 웹소설 &gt; 역사/시대물</v>
      </c>
    </row>
    <row r="832" spans="1:43" x14ac:dyDescent="0.4">
      <c r="A832" t="s">
        <v>43</v>
      </c>
      <c r="B832">
        <v>3822000437</v>
      </c>
      <c r="C832">
        <v>3822000469</v>
      </c>
      <c r="D832" t="str">
        <f>T("[연재]저승꽃감관 33화")</f>
        <v>[연재]저승꽃감관 33화</v>
      </c>
      <c r="E832" t="str">
        <f>T("33")</f>
        <v>33</v>
      </c>
      <c r="F832" t="str">
        <f t="shared" si="171"/>
        <v>에복</v>
      </c>
      <c r="I832" t="str">
        <f t="shared" si="170"/>
        <v>딥블렌드</v>
      </c>
      <c r="J832" t="str">
        <f t="shared" si="172"/>
        <v>[연재]저승꽃감관</v>
      </c>
      <c r="K832">
        <v>100</v>
      </c>
      <c r="L832">
        <v>1200</v>
      </c>
      <c r="M832">
        <v>12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840</v>
      </c>
      <c r="AN832" t="str">
        <f t="shared" si="173"/>
        <v>9791190142502</v>
      </c>
      <c r="AP832" t="str">
        <f t="shared" si="174"/>
        <v>BL 웹소설 &gt; 역사/시대물</v>
      </c>
    </row>
    <row r="833" spans="1:43" x14ac:dyDescent="0.4">
      <c r="A833" t="s">
        <v>43</v>
      </c>
      <c r="B833">
        <v>3822000437</v>
      </c>
      <c r="C833">
        <v>3822000701</v>
      </c>
      <c r="D833" t="str">
        <f>T("[연재]저승꽃감관 150화 (완결)")</f>
        <v>[연재]저승꽃감관 150화 (완결)</v>
      </c>
      <c r="E833" t="str">
        <f>T("150")</f>
        <v>150</v>
      </c>
      <c r="F833" t="str">
        <f t="shared" si="171"/>
        <v>에복</v>
      </c>
      <c r="I833" t="str">
        <f t="shared" si="170"/>
        <v>딥블렌드</v>
      </c>
      <c r="J833" t="str">
        <f t="shared" si="172"/>
        <v>[연재]저승꽃감관</v>
      </c>
      <c r="K833">
        <v>100</v>
      </c>
      <c r="L833">
        <v>1200</v>
      </c>
      <c r="M833">
        <v>12</v>
      </c>
      <c r="N833">
        <v>0</v>
      </c>
      <c r="O833">
        <v>0</v>
      </c>
      <c r="P833">
        <v>0</v>
      </c>
      <c r="Q833">
        <v>1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840</v>
      </c>
      <c r="AN833" t="str">
        <f t="shared" si="173"/>
        <v>9791190142502</v>
      </c>
      <c r="AP833" t="str">
        <f t="shared" si="174"/>
        <v>BL 웹소설 &gt; 역사/시대물</v>
      </c>
    </row>
    <row r="834" spans="1:43" x14ac:dyDescent="0.4">
      <c r="A834" t="s">
        <v>43</v>
      </c>
      <c r="B834">
        <v>3822000437</v>
      </c>
      <c r="C834">
        <v>3822000451</v>
      </c>
      <c r="D834" t="str">
        <f>T("[연재]저승꽃감관 15화")</f>
        <v>[연재]저승꽃감관 15화</v>
      </c>
      <c r="E834" t="str">
        <f>T("15")</f>
        <v>15</v>
      </c>
      <c r="F834" t="str">
        <f t="shared" si="171"/>
        <v>에복</v>
      </c>
      <c r="I834" t="str">
        <f t="shared" si="170"/>
        <v>딥블렌드</v>
      </c>
      <c r="J834" t="str">
        <f t="shared" si="172"/>
        <v>[연재]저승꽃감관</v>
      </c>
      <c r="K834">
        <v>100</v>
      </c>
      <c r="L834">
        <v>1100</v>
      </c>
      <c r="M834">
        <v>11</v>
      </c>
      <c r="N834">
        <v>0</v>
      </c>
      <c r="O834">
        <v>0</v>
      </c>
      <c r="P834">
        <v>0</v>
      </c>
      <c r="Q834">
        <v>1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770</v>
      </c>
      <c r="AN834" t="str">
        <f t="shared" si="173"/>
        <v>9791190142502</v>
      </c>
      <c r="AP834" t="str">
        <f t="shared" si="174"/>
        <v>BL 웹소설 &gt; 역사/시대물</v>
      </c>
    </row>
    <row r="835" spans="1:43" x14ac:dyDescent="0.4">
      <c r="A835" t="s">
        <v>43</v>
      </c>
      <c r="B835">
        <v>3822000437</v>
      </c>
      <c r="C835">
        <v>3822000593</v>
      </c>
      <c r="D835" t="str">
        <f>T("[연재]저승꽃감관 134화")</f>
        <v>[연재]저승꽃감관 134화</v>
      </c>
      <c r="E835" t="str">
        <f>T("134")</f>
        <v>134</v>
      </c>
      <c r="F835" t="str">
        <f t="shared" si="171"/>
        <v>에복</v>
      </c>
      <c r="I835" t="str">
        <f t="shared" si="170"/>
        <v>딥블렌드</v>
      </c>
      <c r="J835" t="str">
        <f t="shared" si="172"/>
        <v>[연재]저승꽃감관</v>
      </c>
      <c r="K835">
        <v>100</v>
      </c>
      <c r="L835">
        <v>1100</v>
      </c>
      <c r="M835">
        <v>11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770</v>
      </c>
      <c r="AN835" t="str">
        <f t="shared" si="173"/>
        <v>9791190142502</v>
      </c>
      <c r="AP835" t="str">
        <f t="shared" si="174"/>
        <v>BL 웹소설 &gt; 역사/시대물</v>
      </c>
    </row>
    <row r="836" spans="1:43" x14ac:dyDescent="0.4">
      <c r="A836" t="s">
        <v>43</v>
      </c>
      <c r="B836">
        <v>3822000437</v>
      </c>
      <c r="C836">
        <v>3822000594</v>
      </c>
      <c r="D836" t="str">
        <f>T("[연재]저승꽃감관 135화")</f>
        <v>[연재]저승꽃감관 135화</v>
      </c>
      <c r="E836" t="str">
        <f>T("135")</f>
        <v>135</v>
      </c>
      <c r="F836" t="str">
        <f t="shared" si="171"/>
        <v>에복</v>
      </c>
      <c r="I836" t="str">
        <f t="shared" si="170"/>
        <v>딥블렌드</v>
      </c>
      <c r="J836" t="str">
        <f t="shared" si="172"/>
        <v>[연재]저승꽃감관</v>
      </c>
      <c r="K836">
        <v>100</v>
      </c>
      <c r="L836">
        <v>1100</v>
      </c>
      <c r="M836">
        <v>11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770</v>
      </c>
      <c r="AN836" t="str">
        <f t="shared" si="173"/>
        <v>9791190142502</v>
      </c>
      <c r="AP836" t="str">
        <f t="shared" si="174"/>
        <v>BL 웹소설 &gt; 역사/시대물</v>
      </c>
    </row>
    <row r="837" spans="1:43" x14ac:dyDescent="0.4">
      <c r="A837" t="s">
        <v>43</v>
      </c>
      <c r="B837">
        <v>3822000437</v>
      </c>
      <c r="C837">
        <v>3822000467</v>
      </c>
      <c r="D837" t="str">
        <f>T("[연재]저승꽃감관 31화")</f>
        <v>[연재]저승꽃감관 31화</v>
      </c>
      <c r="E837" t="str">
        <f>T("31")</f>
        <v>31</v>
      </c>
      <c r="F837" t="str">
        <f t="shared" si="171"/>
        <v>에복</v>
      </c>
      <c r="I837" t="str">
        <f t="shared" si="170"/>
        <v>딥블렌드</v>
      </c>
      <c r="J837" t="str">
        <f t="shared" si="172"/>
        <v>[연재]저승꽃감관</v>
      </c>
      <c r="K837">
        <v>100</v>
      </c>
      <c r="L837">
        <v>1100</v>
      </c>
      <c r="M837">
        <v>11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770</v>
      </c>
      <c r="AN837" t="str">
        <f t="shared" si="173"/>
        <v>9791190142502</v>
      </c>
      <c r="AP837" t="str">
        <f t="shared" si="174"/>
        <v>BL 웹소설 &gt; 역사/시대물</v>
      </c>
    </row>
    <row r="838" spans="1:43" x14ac:dyDescent="0.4">
      <c r="A838" t="s">
        <v>43</v>
      </c>
      <c r="B838">
        <v>3822000437</v>
      </c>
      <c r="C838">
        <v>3822000690</v>
      </c>
      <c r="D838" t="str">
        <f>T("[연재]저승꽃감관 139화")</f>
        <v>[연재]저승꽃감관 139화</v>
      </c>
      <c r="E838" t="str">
        <f>T("139")</f>
        <v>139</v>
      </c>
      <c r="F838" t="str">
        <f t="shared" si="171"/>
        <v>에복</v>
      </c>
      <c r="I838" t="str">
        <f t="shared" si="170"/>
        <v>딥블렌드</v>
      </c>
      <c r="J838" t="str">
        <f t="shared" si="172"/>
        <v>[연재]저승꽃감관</v>
      </c>
      <c r="K838">
        <v>100</v>
      </c>
      <c r="L838">
        <v>1100</v>
      </c>
      <c r="M838">
        <v>11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770</v>
      </c>
      <c r="AN838" t="str">
        <f t="shared" si="173"/>
        <v>9791190142502</v>
      </c>
      <c r="AP838" t="str">
        <f t="shared" si="174"/>
        <v>BL 웹소설 &gt; 역사/시대물</v>
      </c>
    </row>
    <row r="839" spans="1:43" x14ac:dyDescent="0.4">
      <c r="A839" t="s">
        <v>43</v>
      </c>
      <c r="B839">
        <v>3822000437</v>
      </c>
      <c r="C839">
        <v>3822000468</v>
      </c>
      <c r="D839" t="str">
        <f>T("[연재]저승꽃감관 32화")</f>
        <v>[연재]저승꽃감관 32화</v>
      </c>
      <c r="E839" t="str">
        <f>T("32")</f>
        <v>32</v>
      </c>
      <c r="F839" t="str">
        <f t="shared" si="171"/>
        <v>에복</v>
      </c>
      <c r="I839" t="str">
        <f t="shared" si="170"/>
        <v>딥블렌드</v>
      </c>
      <c r="J839" t="str">
        <f t="shared" si="172"/>
        <v>[연재]저승꽃감관</v>
      </c>
      <c r="K839">
        <v>100</v>
      </c>
      <c r="L839">
        <v>1100</v>
      </c>
      <c r="M839">
        <v>11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770</v>
      </c>
      <c r="AN839" t="str">
        <f t="shared" si="173"/>
        <v>9791190142502</v>
      </c>
      <c r="AP839" t="str">
        <f t="shared" si="174"/>
        <v>BL 웹소설 &gt; 역사/시대물</v>
      </c>
    </row>
    <row r="840" spans="1:43" x14ac:dyDescent="0.4">
      <c r="A840" t="s">
        <v>43</v>
      </c>
      <c r="B840">
        <v>3822000437</v>
      </c>
      <c r="C840">
        <v>3822000596</v>
      </c>
      <c r="D840" t="str">
        <f>T("[연재]저승꽃감관 137화")</f>
        <v>[연재]저승꽃감관 137화</v>
      </c>
      <c r="E840" t="str">
        <f>T("137")</f>
        <v>137</v>
      </c>
      <c r="F840" t="str">
        <f t="shared" si="171"/>
        <v>에복</v>
      </c>
      <c r="I840" t="str">
        <f t="shared" si="170"/>
        <v>딥블렌드</v>
      </c>
      <c r="J840" t="str">
        <f t="shared" si="172"/>
        <v>[연재]저승꽃감관</v>
      </c>
      <c r="K840">
        <v>100</v>
      </c>
      <c r="L840">
        <v>1100</v>
      </c>
      <c r="M840">
        <v>11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770</v>
      </c>
      <c r="AN840" t="str">
        <f t="shared" si="173"/>
        <v>9791190142502</v>
      </c>
      <c r="AP840" t="str">
        <f t="shared" si="174"/>
        <v>BL 웹소설 &gt; 역사/시대물</v>
      </c>
    </row>
    <row r="841" spans="1:43" x14ac:dyDescent="0.4">
      <c r="A841" t="s">
        <v>43</v>
      </c>
      <c r="B841">
        <v>3822000437</v>
      </c>
      <c r="C841">
        <v>3822000691</v>
      </c>
      <c r="D841" t="str">
        <f>T("[연재]저승꽃감관 140화")</f>
        <v>[연재]저승꽃감관 140화</v>
      </c>
      <c r="E841" t="str">
        <f>T("140")</f>
        <v>140</v>
      </c>
      <c r="F841" t="str">
        <f t="shared" si="171"/>
        <v>에복</v>
      </c>
      <c r="I841" t="str">
        <f t="shared" si="170"/>
        <v>딥블렌드</v>
      </c>
      <c r="J841" t="str">
        <f t="shared" si="172"/>
        <v>[연재]저승꽃감관</v>
      </c>
      <c r="K841">
        <v>100</v>
      </c>
      <c r="L841">
        <v>1100</v>
      </c>
      <c r="M841">
        <v>11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770</v>
      </c>
      <c r="AN841" t="str">
        <f t="shared" si="173"/>
        <v>9791190142502</v>
      </c>
      <c r="AP841" t="str">
        <f t="shared" si="174"/>
        <v>BL 웹소설 &gt; 역사/시대물</v>
      </c>
    </row>
    <row r="842" spans="1:43" x14ac:dyDescent="0.4">
      <c r="A842" t="s">
        <v>43</v>
      </c>
      <c r="B842">
        <v>3822000437</v>
      </c>
      <c r="C842">
        <v>3822000597</v>
      </c>
      <c r="D842" t="str">
        <f>T("[연재]저승꽃감관 138화")</f>
        <v>[연재]저승꽃감관 138화</v>
      </c>
      <c r="E842" t="str">
        <f>T("138")</f>
        <v>138</v>
      </c>
      <c r="F842" t="str">
        <f t="shared" si="171"/>
        <v>에복</v>
      </c>
      <c r="I842" t="str">
        <f t="shared" si="170"/>
        <v>딥블렌드</v>
      </c>
      <c r="J842" t="str">
        <f t="shared" si="172"/>
        <v>[연재]저승꽃감관</v>
      </c>
      <c r="K842">
        <v>100</v>
      </c>
      <c r="L842">
        <v>1100</v>
      </c>
      <c r="M842">
        <v>11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770</v>
      </c>
      <c r="AN842" t="str">
        <f t="shared" si="173"/>
        <v>9791190142502</v>
      </c>
      <c r="AP842" t="str">
        <f t="shared" si="174"/>
        <v>BL 웹소설 &gt; 역사/시대물</v>
      </c>
    </row>
    <row r="843" spans="1:43" x14ac:dyDescent="0.4">
      <c r="A843" t="s">
        <v>43</v>
      </c>
      <c r="B843">
        <v>3822000437</v>
      </c>
      <c r="C843">
        <v>3822000484</v>
      </c>
      <c r="D843" t="str">
        <f>T("[연재]저승꽃감관 48화")</f>
        <v>[연재]저승꽃감관 48화</v>
      </c>
      <c r="E843" t="str">
        <f>T("48")</f>
        <v>48</v>
      </c>
      <c r="F843" t="str">
        <f t="shared" si="171"/>
        <v>에복</v>
      </c>
      <c r="I843" t="str">
        <f t="shared" si="170"/>
        <v>딥블렌드</v>
      </c>
      <c r="J843" t="str">
        <f t="shared" si="172"/>
        <v>[연재]저승꽃감관</v>
      </c>
      <c r="K843">
        <v>100</v>
      </c>
      <c r="L843">
        <v>1100</v>
      </c>
      <c r="M843">
        <v>11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770</v>
      </c>
      <c r="AN843" t="str">
        <f t="shared" si="173"/>
        <v>9791190142502</v>
      </c>
      <c r="AP843" t="str">
        <f t="shared" si="174"/>
        <v>BL 웹소설 &gt; 역사/시대물</v>
      </c>
    </row>
    <row r="844" spans="1:43" x14ac:dyDescent="0.4">
      <c r="A844" t="s">
        <v>43</v>
      </c>
      <c r="B844">
        <v>3822000437</v>
      </c>
      <c r="C844">
        <v>3822000692</v>
      </c>
      <c r="D844" t="str">
        <f>T("[연재]저승꽃감관 141화")</f>
        <v>[연재]저승꽃감관 141화</v>
      </c>
      <c r="E844" t="str">
        <f>T("141")</f>
        <v>141</v>
      </c>
      <c r="F844" t="str">
        <f t="shared" si="171"/>
        <v>에복</v>
      </c>
      <c r="I844" t="str">
        <f t="shared" si="170"/>
        <v>딥블렌드</v>
      </c>
      <c r="J844" t="str">
        <f t="shared" si="172"/>
        <v>[연재]저승꽃감관</v>
      </c>
      <c r="K844">
        <v>100</v>
      </c>
      <c r="L844">
        <v>1100</v>
      </c>
      <c r="M844">
        <v>11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770</v>
      </c>
      <c r="AN844" t="str">
        <f t="shared" si="173"/>
        <v>9791190142502</v>
      </c>
      <c r="AP844" t="str">
        <f t="shared" si="174"/>
        <v>BL 웹소설 &gt; 역사/시대물</v>
      </c>
    </row>
    <row r="845" spans="1:43" x14ac:dyDescent="0.4">
      <c r="A845" t="s">
        <v>43</v>
      </c>
      <c r="B845">
        <v>3822000437</v>
      </c>
      <c r="C845">
        <v>3822000470</v>
      </c>
      <c r="D845" t="str">
        <f>T("[연재]저승꽃감관 34화")</f>
        <v>[연재]저승꽃감관 34화</v>
      </c>
      <c r="E845" t="str">
        <f>T("34")</f>
        <v>34</v>
      </c>
      <c r="F845" t="str">
        <f t="shared" si="171"/>
        <v>에복</v>
      </c>
      <c r="I845" t="str">
        <f t="shared" si="170"/>
        <v>딥블렌드</v>
      </c>
      <c r="J845" t="str">
        <f t="shared" si="172"/>
        <v>[연재]저승꽃감관</v>
      </c>
      <c r="K845">
        <v>100</v>
      </c>
      <c r="L845">
        <v>1100</v>
      </c>
      <c r="M845">
        <v>11</v>
      </c>
      <c r="N845">
        <v>0</v>
      </c>
      <c r="O845">
        <v>0</v>
      </c>
      <c r="P845">
        <v>0</v>
      </c>
      <c r="Q845">
        <v>1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770</v>
      </c>
      <c r="AN845" t="str">
        <f t="shared" si="173"/>
        <v>9791190142502</v>
      </c>
      <c r="AP845" t="str">
        <f t="shared" si="174"/>
        <v>BL 웹소설 &gt; 역사/시대물</v>
      </c>
    </row>
    <row r="846" spans="1:43" x14ac:dyDescent="0.4">
      <c r="A846" t="s">
        <v>43</v>
      </c>
      <c r="B846">
        <v>3822000437</v>
      </c>
      <c r="C846">
        <v>3822000485</v>
      </c>
      <c r="D846" t="str">
        <f>T("[연재]저승꽃감관 49화")</f>
        <v>[연재]저승꽃감관 49화</v>
      </c>
      <c r="E846" t="str">
        <f>T("49")</f>
        <v>49</v>
      </c>
      <c r="F846" t="str">
        <f t="shared" si="171"/>
        <v>에복</v>
      </c>
      <c r="I846" t="str">
        <f t="shared" si="170"/>
        <v>딥블렌드</v>
      </c>
      <c r="J846" t="str">
        <f t="shared" si="172"/>
        <v>[연재]저승꽃감관</v>
      </c>
      <c r="K846">
        <v>100</v>
      </c>
      <c r="L846">
        <v>1100</v>
      </c>
      <c r="M846">
        <v>11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770</v>
      </c>
      <c r="AN846" t="str">
        <f t="shared" si="173"/>
        <v>9791190142502</v>
      </c>
      <c r="AP846" t="str">
        <f t="shared" si="174"/>
        <v>BL 웹소설 &gt; 역사/시대물</v>
      </c>
    </row>
    <row r="847" spans="1:43" x14ac:dyDescent="0.4">
      <c r="A847" t="s">
        <v>43</v>
      </c>
      <c r="B847">
        <v>3822000437</v>
      </c>
      <c r="C847">
        <v>3822000693</v>
      </c>
      <c r="D847" t="str">
        <f>T("[연재]저승꽃감관 142화")</f>
        <v>[연재]저승꽃감관 142화</v>
      </c>
      <c r="E847" t="str">
        <f>T("142")</f>
        <v>142</v>
      </c>
      <c r="F847" t="str">
        <f t="shared" si="171"/>
        <v>에복</v>
      </c>
      <c r="I847" t="str">
        <f t="shared" si="170"/>
        <v>딥블렌드</v>
      </c>
      <c r="J847" t="str">
        <f t="shared" si="172"/>
        <v>[연재]저승꽃감관</v>
      </c>
      <c r="K847">
        <v>100</v>
      </c>
      <c r="L847">
        <v>1100</v>
      </c>
      <c r="M847">
        <v>11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770</v>
      </c>
      <c r="AN847" t="str">
        <f t="shared" si="173"/>
        <v>9791190142502</v>
      </c>
      <c r="AP847" t="str">
        <f t="shared" si="174"/>
        <v>BL 웹소설 &gt; 역사/시대물</v>
      </c>
    </row>
    <row r="848" spans="1:43" x14ac:dyDescent="0.4">
      <c r="A848" t="s">
        <v>43</v>
      </c>
      <c r="B848">
        <v>3822000035</v>
      </c>
      <c r="C848">
        <v>3822000038</v>
      </c>
      <c r="D848" t="str">
        <f>T("[연재]어비스(Abyss) 4화")</f>
        <v>[연재]어비스(Abyss) 4화</v>
      </c>
      <c r="E848" t="str">
        <f>T("4")</f>
        <v>4</v>
      </c>
      <c r="F848" t="str">
        <f>T("퀸에이")</f>
        <v>퀸에이</v>
      </c>
      <c r="I848" t="str">
        <f t="shared" si="170"/>
        <v>딥블렌드</v>
      </c>
      <c r="J848" t="str">
        <f>T("[연재]어비스(Abyss)")</f>
        <v>[연재]어비스(Abyss)</v>
      </c>
      <c r="K848">
        <v>100</v>
      </c>
      <c r="L848">
        <v>1100</v>
      </c>
      <c r="M848">
        <v>11</v>
      </c>
      <c r="N848">
        <v>0</v>
      </c>
      <c r="O848">
        <v>0</v>
      </c>
      <c r="P848">
        <v>0</v>
      </c>
      <c r="Q848">
        <v>3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660</v>
      </c>
      <c r="AN848" t="str">
        <f>T("9791190142366")</f>
        <v>9791190142366</v>
      </c>
      <c r="AP848" t="str">
        <f>T("BL 웹소설 &gt; 현대물")</f>
        <v>BL 웹소설 &gt; 현대물</v>
      </c>
      <c r="AQ848" t="str">
        <f>T("BL 웹소설 &gt; 판타지물")</f>
        <v>BL 웹소설 &gt; 판타지물</v>
      </c>
    </row>
    <row r="849" spans="1:42" x14ac:dyDescent="0.4">
      <c r="A849" t="s">
        <v>43</v>
      </c>
      <c r="B849">
        <v>3822000437</v>
      </c>
      <c r="C849">
        <v>3822000471</v>
      </c>
      <c r="D849" t="str">
        <f>T("[연재]저승꽃감관 35화")</f>
        <v>[연재]저승꽃감관 35화</v>
      </c>
      <c r="E849" t="str">
        <f>T("35")</f>
        <v>35</v>
      </c>
      <c r="F849" t="str">
        <f t="shared" ref="F849:F880" si="175">T("에복")</f>
        <v>에복</v>
      </c>
      <c r="I849" t="str">
        <f t="shared" si="170"/>
        <v>딥블렌드</v>
      </c>
      <c r="J849" t="str">
        <f t="shared" ref="J849:J880" si="176">T("[연재]저승꽃감관")</f>
        <v>[연재]저승꽃감관</v>
      </c>
      <c r="K849">
        <v>100</v>
      </c>
      <c r="L849">
        <v>1100</v>
      </c>
      <c r="M849">
        <v>11</v>
      </c>
      <c r="N849">
        <v>0</v>
      </c>
      <c r="O849">
        <v>0</v>
      </c>
      <c r="P849">
        <v>0</v>
      </c>
      <c r="Q849">
        <v>1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770</v>
      </c>
      <c r="AN849" t="str">
        <f t="shared" ref="AN849:AN880" si="177">T("9791190142502")</f>
        <v>9791190142502</v>
      </c>
      <c r="AP849" t="str">
        <f t="shared" ref="AP849:AP880" si="178">T("BL 웹소설 &gt; 역사/시대물")</f>
        <v>BL 웹소설 &gt; 역사/시대물</v>
      </c>
    </row>
    <row r="850" spans="1:42" x14ac:dyDescent="0.4">
      <c r="A850" t="s">
        <v>43</v>
      </c>
      <c r="B850">
        <v>3822000437</v>
      </c>
      <c r="C850">
        <v>3822000694</v>
      </c>
      <c r="D850" t="str">
        <f>T("[연재]저승꽃감관 143화")</f>
        <v>[연재]저승꽃감관 143화</v>
      </c>
      <c r="E850" t="str">
        <f>T("143")</f>
        <v>143</v>
      </c>
      <c r="F850" t="str">
        <f t="shared" si="175"/>
        <v>에복</v>
      </c>
      <c r="I850" t="str">
        <f t="shared" si="170"/>
        <v>딥블렌드</v>
      </c>
      <c r="J850" t="str">
        <f t="shared" si="176"/>
        <v>[연재]저승꽃감관</v>
      </c>
      <c r="K850">
        <v>100</v>
      </c>
      <c r="L850">
        <v>1100</v>
      </c>
      <c r="M850">
        <v>11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770</v>
      </c>
      <c r="AN850" t="str">
        <f t="shared" si="177"/>
        <v>9791190142502</v>
      </c>
      <c r="AP850" t="str">
        <f t="shared" si="178"/>
        <v>BL 웹소설 &gt; 역사/시대물</v>
      </c>
    </row>
    <row r="851" spans="1:42" x14ac:dyDescent="0.4">
      <c r="A851" t="s">
        <v>43</v>
      </c>
      <c r="B851">
        <v>3822000437</v>
      </c>
      <c r="C851">
        <v>3822000472</v>
      </c>
      <c r="D851" t="str">
        <f>T("[연재]저승꽃감관 36화")</f>
        <v>[연재]저승꽃감관 36화</v>
      </c>
      <c r="E851" t="str">
        <f>T("36")</f>
        <v>36</v>
      </c>
      <c r="F851" t="str">
        <f t="shared" si="175"/>
        <v>에복</v>
      </c>
      <c r="I851" t="str">
        <f t="shared" si="170"/>
        <v>딥블렌드</v>
      </c>
      <c r="J851" t="str">
        <f t="shared" si="176"/>
        <v>[연재]저승꽃감관</v>
      </c>
      <c r="K851">
        <v>100</v>
      </c>
      <c r="L851">
        <v>1100</v>
      </c>
      <c r="M851">
        <v>11</v>
      </c>
      <c r="N851">
        <v>0</v>
      </c>
      <c r="O851">
        <v>0</v>
      </c>
      <c r="P851">
        <v>0</v>
      </c>
      <c r="Q851">
        <v>1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770</v>
      </c>
      <c r="AN851" t="str">
        <f t="shared" si="177"/>
        <v>9791190142502</v>
      </c>
      <c r="AP851" t="str">
        <f t="shared" si="178"/>
        <v>BL 웹소설 &gt; 역사/시대물</v>
      </c>
    </row>
    <row r="852" spans="1:42" x14ac:dyDescent="0.4">
      <c r="A852" t="s">
        <v>43</v>
      </c>
      <c r="B852">
        <v>3822000437</v>
      </c>
      <c r="C852">
        <v>3822000695</v>
      </c>
      <c r="D852" t="str">
        <f>T("[연재]저승꽃감관 144화")</f>
        <v>[연재]저승꽃감관 144화</v>
      </c>
      <c r="E852" t="str">
        <f>T("144")</f>
        <v>144</v>
      </c>
      <c r="F852" t="str">
        <f t="shared" si="175"/>
        <v>에복</v>
      </c>
      <c r="I852" t="str">
        <f t="shared" si="170"/>
        <v>딥블렌드</v>
      </c>
      <c r="J852" t="str">
        <f t="shared" si="176"/>
        <v>[연재]저승꽃감관</v>
      </c>
      <c r="K852">
        <v>100</v>
      </c>
      <c r="L852">
        <v>1100</v>
      </c>
      <c r="M852">
        <v>11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770</v>
      </c>
      <c r="AN852" t="str">
        <f t="shared" si="177"/>
        <v>9791190142502</v>
      </c>
      <c r="AP852" t="str">
        <f t="shared" si="178"/>
        <v>BL 웹소설 &gt; 역사/시대물</v>
      </c>
    </row>
    <row r="853" spans="1:42" x14ac:dyDescent="0.4">
      <c r="A853" t="s">
        <v>43</v>
      </c>
      <c r="B853">
        <v>3822000437</v>
      </c>
      <c r="C853">
        <v>3822000459</v>
      </c>
      <c r="D853" t="str">
        <f>T("[연재]저승꽃감관 23화")</f>
        <v>[연재]저승꽃감관 23화</v>
      </c>
      <c r="E853" t="str">
        <f>T("23")</f>
        <v>23</v>
      </c>
      <c r="F853" t="str">
        <f t="shared" si="175"/>
        <v>에복</v>
      </c>
      <c r="I853" t="str">
        <f t="shared" si="170"/>
        <v>딥블렌드</v>
      </c>
      <c r="J853" t="str">
        <f t="shared" si="176"/>
        <v>[연재]저승꽃감관</v>
      </c>
      <c r="K853">
        <v>100</v>
      </c>
      <c r="L853">
        <v>1100</v>
      </c>
      <c r="M853">
        <v>11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770</v>
      </c>
      <c r="AN853" t="str">
        <f t="shared" si="177"/>
        <v>9791190142502</v>
      </c>
      <c r="AP853" t="str">
        <f t="shared" si="178"/>
        <v>BL 웹소설 &gt; 역사/시대물</v>
      </c>
    </row>
    <row r="854" spans="1:42" x14ac:dyDescent="0.4">
      <c r="A854" t="s">
        <v>43</v>
      </c>
      <c r="B854">
        <v>3822000437</v>
      </c>
      <c r="C854">
        <v>3822000696</v>
      </c>
      <c r="D854" t="str">
        <f>T("[연재]저승꽃감관 145화")</f>
        <v>[연재]저승꽃감관 145화</v>
      </c>
      <c r="E854" t="str">
        <f>T("145")</f>
        <v>145</v>
      </c>
      <c r="F854" t="str">
        <f t="shared" si="175"/>
        <v>에복</v>
      </c>
      <c r="I854" t="str">
        <f t="shared" si="170"/>
        <v>딥블렌드</v>
      </c>
      <c r="J854" t="str">
        <f t="shared" si="176"/>
        <v>[연재]저승꽃감관</v>
      </c>
      <c r="K854">
        <v>100</v>
      </c>
      <c r="L854">
        <v>1100</v>
      </c>
      <c r="M854">
        <v>11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770</v>
      </c>
      <c r="AN854" t="str">
        <f t="shared" si="177"/>
        <v>9791190142502</v>
      </c>
      <c r="AP854" t="str">
        <f t="shared" si="178"/>
        <v>BL 웹소설 &gt; 역사/시대물</v>
      </c>
    </row>
    <row r="855" spans="1:42" x14ac:dyDescent="0.4">
      <c r="A855" t="s">
        <v>43</v>
      </c>
      <c r="B855">
        <v>3822000437</v>
      </c>
      <c r="C855">
        <v>3822000697</v>
      </c>
      <c r="D855" t="str">
        <f>T("[연재]저승꽃감관 146화")</f>
        <v>[연재]저승꽃감관 146화</v>
      </c>
      <c r="E855" t="str">
        <f>T("146")</f>
        <v>146</v>
      </c>
      <c r="F855" t="str">
        <f t="shared" si="175"/>
        <v>에복</v>
      </c>
      <c r="I855" t="str">
        <f t="shared" si="170"/>
        <v>딥블렌드</v>
      </c>
      <c r="J855" t="str">
        <f t="shared" si="176"/>
        <v>[연재]저승꽃감관</v>
      </c>
      <c r="K855">
        <v>100</v>
      </c>
      <c r="L855">
        <v>1100</v>
      </c>
      <c r="M855">
        <v>11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770</v>
      </c>
      <c r="AN855" t="str">
        <f t="shared" si="177"/>
        <v>9791190142502</v>
      </c>
      <c r="AP855" t="str">
        <f t="shared" si="178"/>
        <v>BL 웹소설 &gt; 역사/시대물</v>
      </c>
    </row>
    <row r="856" spans="1:42" x14ac:dyDescent="0.4">
      <c r="A856" t="s">
        <v>43</v>
      </c>
      <c r="B856">
        <v>3822000437</v>
      </c>
      <c r="C856">
        <v>3822000698</v>
      </c>
      <c r="D856" t="str">
        <f>T("[연재]저승꽃감관 147화")</f>
        <v>[연재]저승꽃감관 147화</v>
      </c>
      <c r="E856" t="str">
        <f>T("147")</f>
        <v>147</v>
      </c>
      <c r="F856" t="str">
        <f t="shared" si="175"/>
        <v>에복</v>
      </c>
      <c r="I856" t="str">
        <f t="shared" si="170"/>
        <v>딥블렌드</v>
      </c>
      <c r="J856" t="str">
        <f t="shared" si="176"/>
        <v>[연재]저승꽃감관</v>
      </c>
      <c r="K856">
        <v>100</v>
      </c>
      <c r="L856">
        <v>1100</v>
      </c>
      <c r="M856">
        <v>11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770</v>
      </c>
      <c r="AN856" t="str">
        <f t="shared" si="177"/>
        <v>9791190142502</v>
      </c>
      <c r="AP856" t="str">
        <f t="shared" si="178"/>
        <v>BL 웹소설 &gt; 역사/시대물</v>
      </c>
    </row>
    <row r="857" spans="1:42" x14ac:dyDescent="0.4">
      <c r="A857" t="s">
        <v>43</v>
      </c>
      <c r="B857">
        <v>3822000437</v>
      </c>
      <c r="C857">
        <v>3822000462</v>
      </c>
      <c r="D857" t="str">
        <f>T("[연재]저승꽃감관 26화")</f>
        <v>[연재]저승꽃감관 26화</v>
      </c>
      <c r="E857" t="str">
        <f>T("26")</f>
        <v>26</v>
      </c>
      <c r="F857" t="str">
        <f t="shared" si="175"/>
        <v>에복</v>
      </c>
      <c r="I857" t="str">
        <f t="shared" si="170"/>
        <v>딥블렌드</v>
      </c>
      <c r="J857" t="str">
        <f t="shared" si="176"/>
        <v>[연재]저승꽃감관</v>
      </c>
      <c r="K857">
        <v>100</v>
      </c>
      <c r="L857">
        <v>1100</v>
      </c>
      <c r="M857">
        <v>11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770</v>
      </c>
      <c r="AN857" t="str">
        <f t="shared" si="177"/>
        <v>9791190142502</v>
      </c>
      <c r="AP857" t="str">
        <f t="shared" si="178"/>
        <v>BL 웹소설 &gt; 역사/시대물</v>
      </c>
    </row>
    <row r="858" spans="1:42" x14ac:dyDescent="0.4">
      <c r="A858" t="s">
        <v>43</v>
      </c>
      <c r="B858">
        <v>3822000437</v>
      </c>
      <c r="C858">
        <v>3822000590</v>
      </c>
      <c r="D858" t="str">
        <f>T("[연재]저승꽃감관 131화")</f>
        <v>[연재]저승꽃감관 131화</v>
      </c>
      <c r="E858" t="str">
        <f>T("131")</f>
        <v>131</v>
      </c>
      <c r="F858" t="str">
        <f t="shared" si="175"/>
        <v>에복</v>
      </c>
      <c r="I858" t="str">
        <f t="shared" si="170"/>
        <v>딥블렌드</v>
      </c>
      <c r="J858" t="str">
        <f t="shared" si="176"/>
        <v>[연재]저승꽃감관</v>
      </c>
      <c r="K858">
        <v>100</v>
      </c>
      <c r="L858">
        <v>1100</v>
      </c>
      <c r="M858">
        <v>11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770</v>
      </c>
      <c r="AN858" t="str">
        <f t="shared" si="177"/>
        <v>9791190142502</v>
      </c>
      <c r="AP858" t="str">
        <f t="shared" si="178"/>
        <v>BL 웹소설 &gt; 역사/시대물</v>
      </c>
    </row>
    <row r="859" spans="1:42" x14ac:dyDescent="0.4">
      <c r="A859" t="s">
        <v>43</v>
      </c>
      <c r="B859">
        <v>3822000437</v>
      </c>
      <c r="C859">
        <v>3822000699</v>
      </c>
      <c r="D859" t="str">
        <f>T("[연재]저승꽃감관 148화")</f>
        <v>[연재]저승꽃감관 148화</v>
      </c>
      <c r="E859" t="str">
        <f>T("148")</f>
        <v>148</v>
      </c>
      <c r="F859" t="str">
        <f t="shared" si="175"/>
        <v>에복</v>
      </c>
      <c r="I859" t="str">
        <f t="shared" si="170"/>
        <v>딥블렌드</v>
      </c>
      <c r="J859" t="str">
        <f t="shared" si="176"/>
        <v>[연재]저승꽃감관</v>
      </c>
      <c r="K859">
        <v>100</v>
      </c>
      <c r="L859">
        <v>1100</v>
      </c>
      <c r="M859">
        <v>11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770</v>
      </c>
      <c r="AN859" t="str">
        <f t="shared" si="177"/>
        <v>9791190142502</v>
      </c>
      <c r="AP859" t="str">
        <f t="shared" si="178"/>
        <v>BL 웹소설 &gt; 역사/시대물</v>
      </c>
    </row>
    <row r="860" spans="1:42" x14ac:dyDescent="0.4">
      <c r="A860" t="s">
        <v>43</v>
      </c>
      <c r="B860">
        <v>3822000437</v>
      </c>
      <c r="C860">
        <v>3822000591</v>
      </c>
      <c r="D860" t="str">
        <f>T("[연재]저승꽃감관 132화")</f>
        <v>[연재]저승꽃감관 132화</v>
      </c>
      <c r="E860" t="str">
        <f>T("132")</f>
        <v>132</v>
      </c>
      <c r="F860" t="str">
        <f t="shared" si="175"/>
        <v>에복</v>
      </c>
      <c r="I860" t="str">
        <f t="shared" si="170"/>
        <v>딥블렌드</v>
      </c>
      <c r="J860" t="str">
        <f t="shared" si="176"/>
        <v>[연재]저승꽃감관</v>
      </c>
      <c r="K860">
        <v>100</v>
      </c>
      <c r="L860">
        <v>1100</v>
      </c>
      <c r="M860">
        <v>11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770</v>
      </c>
      <c r="AN860" t="str">
        <f t="shared" si="177"/>
        <v>9791190142502</v>
      </c>
      <c r="AP860" t="str">
        <f t="shared" si="178"/>
        <v>BL 웹소설 &gt; 역사/시대물</v>
      </c>
    </row>
    <row r="861" spans="1:42" x14ac:dyDescent="0.4">
      <c r="A861" t="s">
        <v>43</v>
      </c>
      <c r="B861">
        <v>3822000437</v>
      </c>
      <c r="C861">
        <v>3822000493</v>
      </c>
      <c r="D861" t="str">
        <f>T("[연재]저승꽃감관 57화")</f>
        <v>[연재]저승꽃감관 57화</v>
      </c>
      <c r="E861" t="str">
        <f>T("57")</f>
        <v>57</v>
      </c>
      <c r="F861" t="str">
        <f t="shared" si="175"/>
        <v>에복</v>
      </c>
      <c r="I861" t="str">
        <f t="shared" si="170"/>
        <v>딥블렌드</v>
      </c>
      <c r="J861" t="str">
        <f t="shared" si="176"/>
        <v>[연재]저승꽃감관</v>
      </c>
      <c r="K861">
        <v>100</v>
      </c>
      <c r="L861">
        <v>1000</v>
      </c>
      <c r="M861">
        <v>10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700</v>
      </c>
      <c r="AN861" t="str">
        <f t="shared" si="177"/>
        <v>9791190142502</v>
      </c>
      <c r="AP861" t="str">
        <f t="shared" si="178"/>
        <v>BL 웹소설 &gt; 역사/시대물</v>
      </c>
    </row>
    <row r="862" spans="1:42" x14ac:dyDescent="0.4">
      <c r="A862" t="s">
        <v>43</v>
      </c>
      <c r="B862">
        <v>3822000437</v>
      </c>
      <c r="C862">
        <v>3822000452</v>
      </c>
      <c r="D862" t="str">
        <f>T("[연재]저승꽃감관 16화")</f>
        <v>[연재]저승꽃감관 16화</v>
      </c>
      <c r="E862" t="str">
        <f>T("16")</f>
        <v>16</v>
      </c>
      <c r="F862" t="str">
        <f t="shared" si="175"/>
        <v>에복</v>
      </c>
      <c r="I862" t="str">
        <f t="shared" si="170"/>
        <v>딥블렌드</v>
      </c>
      <c r="J862" t="str">
        <f t="shared" si="176"/>
        <v>[연재]저승꽃감관</v>
      </c>
      <c r="K862">
        <v>100</v>
      </c>
      <c r="L862">
        <v>1000</v>
      </c>
      <c r="M862">
        <v>10</v>
      </c>
      <c r="N862">
        <v>0</v>
      </c>
      <c r="O862">
        <v>0</v>
      </c>
      <c r="P862">
        <v>0</v>
      </c>
      <c r="Q862">
        <v>4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700</v>
      </c>
      <c r="AN862" t="str">
        <f t="shared" si="177"/>
        <v>9791190142502</v>
      </c>
      <c r="AP862" t="str">
        <f t="shared" si="178"/>
        <v>BL 웹소설 &gt; 역사/시대물</v>
      </c>
    </row>
    <row r="863" spans="1:42" x14ac:dyDescent="0.4">
      <c r="A863" t="s">
        <v>43</v>
      </c>
      <c r="B863">
        <v>3822000437</v>
      </c>
      <c r="C863">
        <v>3822000494</v>
      </c>
      <c r="D863" t="str">
        <f>T("[연재]저승꽃감관 58화")</f>
        <v>[연재]저승꽃감관 58화</v>
      </c>
      <c r="E863" t="str">
        <f>T("58")</f>
        <v>58</v>
      </c>
      <c r="F863" t="str">
        <f t="shared" si="175"/>
        <v>에복</v>
      </c>
      <c r="I863" t="str">
        <f t="shared" si="170"/>
        <v>딥블렌드</v>
      </c>
      <c r="J863" t="str">
        <f t="shared" si="176"/>
        <v>[연재]저승꽃감관</v>
      </c>
      <c r="K863">
        <v>100</v>
      </c>
      <c r="L863">
        <v>1000</v>
      </c>
      <c r="M863">
        <v>10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700</v>
      </c>
      <c r="AN863" t="str">
        <f t="shared" si="177"/>
        <v>9791190142502</v>
      </c>
      <c r="AP863" t="str">
        <f t="shared" si="178"/>
        <v>BL 웹소설 &gt; 역사/시대물</v>
      </c>
    </row>
    <row r="864" spans="1:42" x14ac:dyDescent="0.4">
      <c r="A864" t="s">
        <v>43</v>
      </c>
      <c r="B864">
        <v>3822000437</v>
      </c>
      <c r="C864">
        <v>3822000481</v>
      </c>
      <c r="D864" t="str">
        <f>T("[연재]저승꽃감관 45화")</f>
        <v>[연재]저승꽃감관 45화</v>
      </c>
      <c r="E864" t="str">
        <f>T("45")</f>
        <v>45</v>
      </c>
      <c r="F864" t="str">
        <f t="shared" si="175"/>
        <v>에복</v>
      </c>
      <c r="I864" t="str">
        <f t="shared" si="170"/>
        <v>딥블렌드</v>
      </c>
      <c r="J864" t="str">
        <f t="shared" si="176"/>
        <v>[연재]저승꽃감관</v>
      </c>
      <c r="K864">
        <v>100</v>
      </c>
      <c r="L864">
        <v>1000</v>
      </c>
      <c r="M864">
        <v>10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700</v>
      </c>
      <c r="AN864" t="str">
        <f t="shared" si="177"/>
        <v>9791190142502</v>
      </c>
      <c r="AP864" t="str">
        <f t="shared" si="178"/>
        <v>BL 웹소설 &gt; 역사/시대물</v>
      </c>
    </row>
    <row r="865" spans="1:42" x14ac:dyDescent="0.4">
      <c r="A865" t="s">
        <v>43</v>
      </c>
      <c r="B865">
        <v>3822000437</v>
      </c>
      <c r="C865">
        <v>3822000453</v>
      </c>
      <c r="D865" t="str">
        <f>T("[연재]저승꽃감관 17화")</f>
        <v>[연재]저승꽃감관 17화</v>
      </c>
      <c r="E865" t="str">
        <f>T("17")</f>
        <v>17</v>
      </c>
      <c r="F865" t="str">
        <f t="shared" si="175"/>
        <v>에복</v>
      </c>
      <c r="I865" t="str">
        <f t="shared" si="170"/>
        <v>딥블렌드</v>
      </c>
      <c r="J865" t="str">
        <f t="shared" si="176"/>
        <v>[연재]저승꽃감관</v>
      </c>
      <c r="K865">
        <v>100</v>
      </c>
      <c r="L865">
        <v>1000</v>
      </c>
      <c r="M865">
        <v>10</v>
      </c>
      <c r="N865">
        <v>0</v>
      </c>
      <c r="O865">
        <v>0</v>
      </c>
      <c r="P865">
        <v>0</v>
      </c>
      <c r="Q865">
        <v>4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700</v>
      </c>
      <c r="AN865" t="str">
        <f t="shared" si="177"/>
        <v>9791190142502</v>
      </c>
      <c r="AP865" t="str">
        <f t="shared" si="178"/>
        <v>BL 웹소설 &gt; 역사/시대물</v>
      </c>
    </row>
    <row r="866" spans="1:42" x14ac:dyDescent="0.4">
      <c r="A866" t="s">
        <v>43</v>
      </c>
      <c r="B866">
        <v>3822000437</v>
      </c>
      <c r="C866">
        <v>3822000595</v>
      </c>
      <c r="D866" t="str">
        <f>T("[연재]저승꽃감관 136화")</f>
        <v>[연재]저승꽃감관 136화</v>
      </c>
      <c r="E866" t="str">
        <f>T("136")</f>
        <v>136</v>
      </c>
      <c r="F866" t="str">
        <f t="shared" si="175"/>
        <v>에복</v>
      </c>
      <c r="I866" t="str">
        <f t="shared" si="170"/>
        <v>딥블렌드</v>
      </c>
      <c r="J866" t="str">
        <f t="shared" si="176"/>
        <v>[연재]저승꽃감관</v>
      </c>
      <c r="K866">
        <v>100</v>
      </c>
      <c r="L866">
        <v>1000</v>
      </c>
      <c r="M866">
        <v>10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700</v>
      </c>
      <c r="AN866" t="str">
        <f t="shared" si="177"/>
        <v>9791190142502</v>
      </c>
      <c r="AP866" t="str">
        <f t="shared" si="178"/>
        <v>BL 웹소설 &gt; 역사/시대물</v>
      </c>
    </row>
    <row r="867" spans="1:42" x14ac:dyDescent="0.4">
      <c r="A867" t="s">
        <v>43</v>
      </c>
      <c r="B867">
        <v>3822000437</v>
      </c>
      <c r="C867">
        <v>3822000482</v>
      </c>
      <c r="D867" t="str">
        <f>T("[연재]저승꽃감관 46화")</f>
        <v>[연재]저승꽃감관 46화</v>
      </c>
      <c r="E867" t="str">
        <f>T("46")</f>
        <v>46</v>
      </c>
      <c r="F867" t="str">
        <f t="shared" si="175"/>
        <v>에복</v>
      </c>
      <c r="I867" t="str">
        <f t="shared" si="170"/>
        <v>딥블렌드</v>
      </c>
      <c r="J867" t="str">
        <f t="shared" si="176"/>
        <v>[연재]저승꽃감관</v>
      </c>
      <c r="K867">
        <v>100</v>
      </c>
      <c r="L867">
        <v>1000</v>
      </c>
      <c r="M867">
        <v>10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700</v>
      </c>
      <c r="AN867" t="str">
        <f t="shared" si="177"/>
        <v>9791190142502</v>
      </c>
      <c r="AP867" t="str">
        <f t="shared" si="178"/>
        <v>BL 웹소설 &gt; 역사/시대물</v>
      </c>
    </row>
    <row r="868" spans="1:42" x14ac:dyDescent="0.4">
      <c r="A868" t="s">
        <v>43</v>
      </c>
      <c r="B868">
        <v>3822000437</v>
      </c>
      <c r="C868">
        <v>3822000457</v>
      </c>
      <c r="D868" t="str">
        <f>T("[연재]저승꽃감관 21화")</f>
        <v>[연재]저승꽃감관 21화</v>
      </c>
      <c r="E868" t="str">
        <f>T("21")</f>
        <v>21</v>
      </c>
      <c r="F868" t="str">
        <f t="shared" si="175"/>
        <v>에복</v>
      </c>
      <c r="I868" t="str">
        <f t="shared" si="170"/>
        <v>딥블렌드</v>
      </c>
      <c r="J868" t="str">
        <f t="shared" si="176"/>
        <v>[연재]저승꽃감관</v>
      </c>
      <c r="K868">
        <v>100</v>
      </c>
      <c r="L868">
        <v>1000</v>
      </c>
      <c r="M868">
        <v>10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700</v>
      </c>
      <c r="AN868" t="str">
        <f t="shared" si="177"/>
        <v>9791190142502</v>
      </c>
      <c r="AP868" t="str">
        <f t="shared" si="178"/>
        <v>BL 웹소설 &gt; 역사/시대물</v>
      </c>
    </row>
    <row r="869" spans="1:42" x14ac:dyDescent="0.4">
      <c r="A869" t="s">
        <v>43</v>
      </c>
      <c r="B869">
        <v>3822000437</v>
      </c>
      <c r="C869">
        <v>3822000486</v>
      </c>
      <c r="D869" t="str">
        <f>T("[연재]저승꽃감관 50화")</f>
        <v>[연재]저승꽃감관 50화</v>
      </c>
      <c r="E869" t="str">
        <f>T("50")</f>
        <v>50</v>
      </c>
      <c r="F869" t="str">
        <f t="shared" si="175"/>
        <v>에복</v>
      </c>
      <c r="I869" t="str">
        <f t="shared" si="170"/>
        <v>딥블렌드</v>
      </c>
      <c r="J869" t="str">
        <f t="shared" si="176"/>
        <v>[연재]저승꽃감관</v>
      </c>
      <c r="K869">
        <v>100</v>
      </c>
      <c r="L869">
        <v>1000</v>
      </c>
      <c r="M869">
        <v>10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700</v>
      </c>
      <c r="AN869" t="str">
        <f t="shared" si="177"/>
        <v>9791190142502</v>
      </c>
      <c r="AP869" t="str">
        <f t="shared" si="178"/>
        <v>BL 웹소설 &gt; 역사/시대물</v>
      </c>
    </row>
    <row r="870" spans="1:42" x14ac:dyDescent="0.4">
      <c r="A870" t="s">
        <v>43</v>
      </c>
      <c r="B870">
        <v>3822000437</v>
      </c>
      <c r="C870">
        <v>3822000458</v>
      </c>
      <c r="D870" t="str">
        <f>T("[연재]저승꽃감관 22화")</f>
        <v>[연재]저승꽃감관 22화</v>
      </c>
      <c r="E870" t="str">
        <f>T("22")</f>
        <v>22</v>
      </c>
      <c r="F870" t="str">
        <f t="shared" si="175"/>
        <v>에복</v>
      </c>
      <c r="I870" t="str">
        <f t="shared" si="170"/>
        <v>딥블렌드</v>
      </c>
      <c r="J870" t="str">
        <f t="shared" si="176"/>
        <v>[연재]저승꽃감관</v>
      </c>
      <c r="K870">
        <v>100</v>
      </c>
      <c r="L870">
        <v>1000</v>
      </c>
      <c r="M870">
        <v>10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700</v>
      </c>
      <c r="AN870" t="str">
        <f t="shared" si="177"/>
        <v>9791190142502</v>
      </c>
      <c r="AP870" t="str">
        <f t="shared" si="178"/>
        <v>BL 웹소설 &gt; 역사/시대물</v>
      </c>
    </row>
    <row r="871" spans="1:42" x14ac:dyDescent="0.4">
      <c r="A871" t="s">
        <v>43</v>
      </c>
      <c r="B871">
        <v>3822000437</v>
      </c>
      <c r="C871">
        <v>3822000473</v>
      </c>
      <c r="D871" t="str">
        <f>T("[연재]저승꽃감관 37화")</f>
        <v>[연재]저승꽃감관 37화</v>
      </c>
      <c r="E871" t="str">
        <f>T("37")</f>
        <v>37</v>
      </c>
      <c r="F871" t="str">
        <f t="shared" si="175"/>
        <v>에복</v>
      </c>
      <c r="I871" t="str">
        <f t="shared" si="170"/>
        <v>딥블렌드</v>
      </c>
      <c r="J871" t="str">
        <f t="shared" si="176"/>
        <v>[연재]저승꽃감관</v>
      </c>
      <c r="K871">
        <v>100</v>
      </c>
      <c r="L871">
        <v>1000</v>
      </c>
      <c r="M871">
        <v>10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700</v>
      </c>
      <c r="AN871" t="str">
        <f t="shared" si="177"/>
        <v>9791190142502</v>
      </c>
      <c r="AP871" t="str">
        <f t="shared" si="178"/>
        <v>BL 웹소설 &gt; 역사/시대물</v>
      </c>
    </row>
    <row r="872" spans="1:42" x14ac:dyDescent="0.4">
      <c r="A872" t="s">
        <v>43</v>
      </c>
      <c r="B872">
        <v>3822000437</v>
      </c>
      <c r="C872">
        <v>3822000460</v>
      </c>
      <c r="D872" t="str">
        <f>T("[연재]저승꽃감관 24화")</f>
        <v>[연재]저승꽃감관 24화</v>
      </c>
      <c r="E872" t="str">
        <f>T("24")</f>
        <v>24</v>
      </c>
      <c r="F872" t="str">
        <f t="shared" si="175"/>
        <v>에복</v>
      </c>
      <c r="I872" t="str">
        <f t="shared" si="170"/>
        <v>딥블렌드</v>
      </c>
      <c r="J872" t="str">
        <f t="shared" si="176"/>
        <v>[연재]저승꽃감관</v>
      </c>
      <c r="K872">
        <v>100</v>
      </c>
      <c r="L872">
        <v>1000</v>
      </c>
      <c r="M872">
        <v>10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700</v>
      </c>
      <c r="AN872" t="str">
        <f t="shared" si="177"/>
        <v>9791190142502</v>
      </c>
      <c r="AP872" t="str">
        <f t="shared" si="178"/>
        <v>BL 웹소설 &gt; 역사/시대물</v>
      </c>
    </row>
    <row r="873" spans="1:42" x14ac:dyDescent="0.4">
      <c r="A873" t="s">
        <v>43</v>
      </c>
      <c r="B873">
        <v>3822000437</v>
      </c>
      <c r="C873">
        <v>3822000489</v>
      </c>
      <c r="D873" t="str">
        <f>T("[연재]저승꽃감관 53화")</f>
        <v>[연재]저승꽃감관 53화</v>
      </c>
      <c r="E873" t="str">
        <f>T("53")</f>
        <v>53</v>
      </c>
      <c r="F873" t="str">
        <f t="shared" si="175"/>
        <v>에복</v>
      </c>
      <c r="I873" t="str">
        <f t="shared" si="170"/>
        <v>딥블렌드</v>
      </c>
      <c r="J873" t="str">
        <f t="shared" si="176"/>
        <v>[연재]저승꽃감관</v>
      </c>
      <c r="K873">
        <v>100</v>
      </c>
      <c r="L873">
        <v>1000</v>
      </c>
      <c r="M873">
        <v>10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700</v>
      </c>
      <c r="AN873" t="str">
        <f t="shared" si="177"/>
        <v>9791190142502</v>
      </c>
      <c r="AP873" t="str">
        <f t="shared" si="178"/>
        <v>BL 웹소설 &gt; 역사/시대물</v>
      </c>
    </row>
    <row r="874" spans="1:42" x14ac:dyDescent="0.4">
      <c r="A874" t="s">
        <v>43</v>
      </c>
      <c r="B874">
        <v>3822000437</v>
      </c>
      <c r="C874">
        <v>3822000475</v>
      </c>
      <c r="D874" t="str">
        <f>T("[연재]저승꽃감관 39화")</f>
        <v>[연재]저승꽃감관 39화</v>
      </c>
      <c r="E874" t="str">
        <f>T("39")</f>
        <v>39</v>
      </c>
      <c r="F874" t="str">
        <f t="shared" si="175"/>
        <v>에복</v>
      </c>
      <c r="I874" t="str">
        <f t="shared" ref="I874:I937" si="179">T("딥블렌드")</f>
        <v>딥블렌드</v>
      </c>
      <c r="J874" t="str">
        <f t="shared" si="176"/>
        <v>[연재]저승꽃감관</v>
      </c>
      <c r="K874">
        <v>100</v>
      </c>
      <c r="L874">
        <v>1000</v>
      </c>
      <c r="M874">
        <v>10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700</v>
      </c>
      <c r="AN874" t="str">
        <f t="shared" si="177"/>
        <v>9791190142502</v>
      </c>
      <c r="AP874" t="str">
        <f t="shared" si="178"/>
        <v>BL 웹소설 &gt; 역사/시대물</v>
      </c>
    </row>
    <row r="875" spans="1:42" x14ac:dyDescent="0.4">
      <c r="A875" t="s">
        <v>43</v>
      </c>
      <c r="B875">
        <v>3822000437</v>
      </c>
      <c r="C875">
        <v>3822000461</v>
      </c>
      <c r="D875" t="str">
        <f>T("[연재]저승꽃감관 25화")</f>
        <v>[연재]저승꽃감관 25화</v>
      </c>
      <c r="E875" t="str">
        <f>T("25")</f>
        <v>25</v>
      </c>
      <c r="F875" t="str">
        <f t="shared" si="175"/>
        <v>에복</v>
      </c>
      <c r="I875" t="str">
        <f t="shared" si="179"/>
        <v>딥블렌드</v>
      </c>
      <c r="J875" t="str">
        <f t="shared" si="176"/>
        <v>[연재]저승꽃감관</v>
      </c>
      <c r="K875">
        <v>100</v>
      </c>
      <c r="L875">
        <v>1000</v>
      </c>
      <c r="M875">
        <v>10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700</v>
      </c>
      <c r="AN875" t="str">
        <f t="shared" si="177"/>
        <v>9791190142502</v>
      </c>
      <c r="AP875" t="str">
        <f t="shared" si="178"/>
        <v>BL 웹소설 &gt; 역사/시대물</v>
      </c>
    </row>
    <row r="876" spans="1:42" x14ac:dyDescent="0.4">
      <c r="A876" t="s">
        <v>43</v>
      </c>
      <c r="B876">
        <v>3822000437</v>
      </c>
      <c r="C876">
        <v>3822000490</v>
      </c>
      <c r="D876" t="str">
        <f>T("[연재]저승꽃감관 54화")</f>
        <v>[연재]저승꽃감관 54화</v>
      </c>
      <c r="E876" t="str">
        <f>T("54")</f>
        <v>54</v>
      </c>
      <c r="F876" t="str">
        <f t="shared" si="175"/>
        <v>에복</v>
      </c>
      <c r="I876" t="str">
        <f t="shared" si="179"/>
        <v>딥블렌드</v>
      </c>
      <c r="J876" t="str">
        <f t="shared" si="176"/>
        <v>[연재]저승꽃감관</v>
      </c>
      <c r="K876">
        <v>100</v>
      </c>
      <c r="L876">
        <v>1000</v>
      </c>
      <c r="M876">
        <v>10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700</v>
      </c>
      <c r="AN876" t="str">
        <f t="shared" si="177"/>
        <v>9791190142502</v>
      </c>
      <c r="AP876" t="str">
        <f t="shared" si="178"/>
        <v>BL 웹소설 &gt; 역사/시대물</v>
      </c>
    </row>
    <row r="877" spans="1:42" x14ac:dyDescent="0.4">
      <c r="A877" t="s">
        <v>43</v>
      </c>
      <c r="B877">
        <v>3822000437</v>
      </c>
      <c r="C877">
        <v>3822000491</v>
      </c>
      <c r="D877" t="str">
        <f>T("[연재]저승꽃감관 55화")</f>
        <v>[연재]저승꽃감관 55화</v>
      </c>
      <c r="E877" t="str">
        <f>T("55")</f>
        <v>55</v>
      </c>
      <c r="F877" t="str">
        <f t="shared" si="175"/>
        <v>에복</v>
      </c>
      <c r="I877" t="str">
        <f t="shared" si="179"/>
        <v>딥블렌드</v>
      </c>
      <c r="J877" t="str">
        <f t="shared" si="176"/>
        <v>[연재]저승꽃감관</v>
      </c>
      <c r="K877">
        <v>100</v>
      </c>
      <c r="L877">
        <v>1000</v>
      </c>
      <c r="M877">
        <v>10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700</v>
      </c>
      <c r="AN877" t="str">
        <f t="shared" si="177"/>
        <v>9791190142502</v>
      </c>
      <c r="AP877" t="str">
        <f t="shared" si="178"/>
        <v>BL 웹소설 &gt; 역사/시대물</v>
      </c>
    </row>
    <row r="878" spans="1:42" x14ac:dyDescent="0.4">
      <c r="A878" t="s">
        <v>43</v>
      </c>
      <c r="B878">
        <v>3822000437</v>
      </c>
      <c r="C878">
        <v>3822000477</v>
      </c>
      <c r="D878" t="str">
        <f>T("[연재]저승꽃감관 41화")</f>
        <v>[연재]저승꽃감관 41화</v>
      </c>
      <c r="E878" t="str">
        <f>T("41")</f>
        <v>41</v>
      </c>
      <c r="F878" t="str">
        <f t="shared" si="175"/>
        <v>에복</v>
      </c>
      <c r="I878" t="str">
        <f t="shared" si="179"/>
        <v>딥블렌드</v>
      </c>
      <c r="J878" t="str">
        <f t="shared" si="176"/>
        <v>[연재]저승꽃감관</v>
      </c>
      <c r="K878">
        <v>100</v>
      </c>
      <c r="L878">
        <v>1000</v>
      </c>
      <c r="M878">
        <v>10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700</v>
      </c>
      <c r="AN878" t="str">
        <f t="shared" si="177"/>
        <v>9791190142502</v>
      </c>
      <c r="AP878" t="str">
        <f t="shared" si="178"/>
        <v>BL 웹소설 &gt; 역사/시대물</v>
      </c>
    </row>
    <row r="879" spans="1:42" x14ac:dyDescent="0.4">
      <c r="A879" t="s">
        <v>43</v>
      </c>
      <c r="B879">
        <v>3822000437</v>
      </c>
      <c r="C879">
        <v>3822000700</v>
      </c>
      <c r="D879" t="str">
        <f>T("[연재]저승꽃감관 149화")</f>
        <v>[연재]저승꽃감관 149화</v>
      </c>
      <c r="E879" t="str">
        <f>T("149")</f>
        <v>149</v>
      </c>
      <c r="F879" t="str">
        <f t="shared" si="175"/>
        <v>에복</v>
      </c>
      <c r="I879" t="str">
        <f t="shared" si="179"/>
        <v>딥블렌드</v>
      </c>
      <c r="J879" t="str">
        <f t="shared" si="176"/>
        <v>[연재]저승꽃감관</v>
      </c>
      <c r="K879">
        <v>100</v>
      </c>
      <c r="L879">
        <v>1000</v>
      </c>
      <c r="M879">
        <v>10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700</v>
      </c>
      <c r="AN879" t="str">
        <f t="shared" si="177"/>
        <v>9791190142502</v>
      </c>
      <c r="AP879" t="str">
        <f t="shared" si="178"/>
        <v>BL 웹소설 &gt; 역사/시대물</v>
      </c>
    </row>
    <row r="880" spans="1:42" x14ac:dyDescent="0.4">
      <c r="A880" t="s">
        <v>43</v>
      </c>
      <c r="B880">
        <v>3822000437</v>
      </c>
      <c r="C880">
        <v>3822000464</v>
      </c>
      <c r="D880" t="str">
        <f>T("[연재]저승꽃감관 28화")</f>
        <v>[연재]저승꽃감관 28화</v>
      </c>
      <c r="E880" t="str">
        <f>T("28")</f>
        <v>28</v>
      </c>
      <c r="F880" t="str">
        <f t="shared" si="175"/>
        <v>에복</v>
      </c>
      <c r="I880" t="str">
        <f t="shared" si="179"/>
        <v>딥블렌드</v>
      </c>
      <c r="J880" t="str">
        <f t="shared" si="176"/>
        <v>[연재]저승꽃감관</v>
      </c>
      <c r="K880">
        <v>100</v>
      </c>
      <c r="L880">
        <v>1000</v>
      </c>
      <c r="M880">
        <v>10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700</v>
      </c>
      <c r="AN880" t="str">
        <f t="shared" si="177"/>
        <v>9791190142502</v>
      </c>
      <c r="AP880" t="str">
        <f t="shared" si="178"/>
        <v>BL 웹소설 &gt; 역사/시대물</v>
      </c>
    </row>
    <row r="881" spans="1:42" x14ac:dyDescent="0.4">
      <c r="A881" t="s">
        <v>43</v>
      </c>
      <c r="B881">
        <v>3822000437</v>
      </c>
      <c r="C881">
        <v>3822000592</v>
      </c>
      <c r="D881" t="str">
        <f>T("[연재]저승꽃감관 133화")</f>
        <v>[연재]저승꽃감관 133화</v>
      </c>
      <c r="E881" t="str">
        <f>T("133")</f>
        <v>133</v>
      </c>
      <c r="F881" t="str">
        <f t="shared" ref="F881:F912" si="180">T("에복")</f>
        <v>에복</v>
      </c>
      <c r="I881" t="str">
        <f t="shared" si="179"/>
        <v>딥블렌드</v>
      </c>
      <c r="J881" t="str">
        <f t="shared" ref="J881:J912" si="181">T("[연재]저승꽃감관")</f>
        <v>[연재]저승꽃감관</v>
      </c>
      <c r="K881">
        <v>100</v>
      </c>
      <c r="L881">
        <v>1000</v>
      </c>
      <c r="M881">
        <v>10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700</v>
      </c>
      <c r="AN881" t="str">
        <f t="shared" ref="AN881:AN912" si="182">T("9791190142502")</f>
        <v>9791190142502</v>
      </c>
      <c r="AP881" t="str">
        <f t="shared" ref="AP881:AP912" si="183">T("BL 웹소설 &gt; 역사/시대물")</f>
        <v>BL 웹소설 &gt; 역사/시대물</v>
      </c>
    </row>
    <row r="882" spans="1:42" x14ac:dyDescent="0.4">
      <c r="A882" t="s">
        <v>43</v>
      </c>
      <c r="B882">
        <v>3822000437</v>
      </c>
      <c r="C882">
        <v>3822000479</v>
      </c>
      <c r="D882" t="str">
        <f>T("[연재]저승꽃감관 43화")</f>
        <v>[연재]저승꽃감관 43화</v>
      </c>
      <c r="E882" t="str">
        <f>T("43")</f>
        <v>43</v>
      </c>
      <c r="F882" t="str">
        <f t="shared" si="180"/>
        <v>에복</v>
      </c>
      <c r="I882" t="str">
        <f t="shared" si="179"/>
        <v>딥블렌드</v>
      </c>
      <c r="J882" t="str">
        <f t="shared" si="181"/>
        <v>[연재]저승꽃감관</v>
      </c>
      <c r="K882">
        <v>100</v>
      </c>
      <c r="L882">
        <v>1000</v>
      </c>
      <c r="M882">
        <v>10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700</v>
      </c>
      <c r="AN882" t="str">
        <f t="shared" si="182"/>
        <v>9791190142502</v>
      </c>
      <c r="AP882" t="str">
        <f t="shared" si="183"/>
        <v>BL 웹소설 &gt; 역사/시대물</v>
      </c>
    </row>
    <row r="883" spans="1:42" x14ac:dyDescent="0.4">
      <c r="A883" t="s">
        <v>43</v>
      </c>
      <c r="B883">
        <v>3822000437</v>
      </c>
      <c r="C883">
        <v>3822000465</v>
      </c>
      <c r="D883" t="str">
        <f>T("[연재]저승꽃감관 29화")</f>
        <v>[연재]저승꽃감관 29화</v>
      </c>
      <c r="E883" t="str">
        <f>T("29")</f>
        <v>29</v>
      </c>
      <c r="F883" t="str">
        <f t="shared" si="180"/>
        <v>에복</v>
      </c>
      <c r="I883" t="str">
        <f t="shared" si="179"/>
        <v>딥블렌드</v>
      </c>
      <c r="J883" t="str">
        <f t="shared" si="181"/>
        <v>[연재]저승꽃감관</v>
      </c>
      <c r="K883">
        <v>100</v>
      </c>
      <c r="L883">
        <v>1000</v>
      </c>
      <c r="M883">
        <v>10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700</v>
      </c>
      <c r="AN883" t="str">
        <f t="shared" si="182"/>
        <v>9791190142502</v>
      </c>
      <c r="AP883" t="str">
        <f t="shared" si="183"/>
        <v>BL 웹소설 &gt; 역사/시대물</v>
      </c>
    </row>
    <row r="884" spans="1:42" x14ac:dyDescent="0.4">
      <c r="A884" t="s">
        <v>43</v>
      </c>
      <c r="B884">
        <v>3822000437</v>
      </c>
      <c r="C884">
        <v>3822000480</v>
      </c>
      <c r="D884" t="str">
        <f>T("[연재]저승꽃감관 44화")</f>
        <v>[연재]저승꽃감관 44화</v>
      </c>
      <c r="E884" t="str">
        <f>T("44")</f>
        <v>44</v>
      </c>
      <c r="F884" t="str">
        <f t="shared" si="180"/>
        <v>에복</v>
      </c>
      <c r="I884" t="str">
        <f t="shared" si="179"/>
        <v>딥블렌드</v>
      </c>
      <c r="J884" t="str">
        <f t="shared" si="181"/>
        <v>[연재]저승꽃감관</v>
      </c>
      <c r="K884">
        <v>100</v>
      </c>
      <c r="L884">
        <v>900</v>
      </c>
      <c r="M884">
        <v>9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630</v>
      </c>
      <c r="AN884" t="str">
        <f t="shared" si="182"/>
        <v>9791190142502</v>
      </c>
      <c r="AP884" t="str">
        <f t="shared" si="183"/>
        <v>BL 웹소설 &gt; 역사/시대물</v>
      </c>
    </row>
    <row r="885" spans="1:42" x14ac:dyDescent="0.4">
      <c r="A885" t="s">
        <v>43</v>
      </c>
      <c r="B885">
        <v>3822000437</v>
      </c>
      <c r="C885">
        <v>3822000496</v>
      </c>
      <c r="D885" t="str">
        <f>T("[연재]저승꽃감관 60화")</f>
        <v>[연재]저승꽃감관 60화</v>
      </c>
      <c r="E885" t="str">
        <f>T("60")</f>
        <v>60</v>
      </c>
      <c r="F885" t="str">
        <f t="shared" si="180"/>
        <v>에복</v>
      </c>
      <c r="I885" t="str">
        <f t="shared" si="179"/>
        <v>딥블렌드</v>
      </c>
      <c r="J885" t="str">
        <f t="shared" si="181"/>
        <v>[연재]저승꽃감관</v>
      </c>
      <c r="K885">
        <v>100</v>
      </c>
      <c r="L885">
        <v>900</v>
      </c>
      <c r="M885">
        <v>9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630</v>
      </c>
      <c r="AN885" t="str">
        <f t="shared" si="182"/>
        <v>9791190142502</v>
      </c>
      <c r="AP885" t="str">
        <f t="shared" si="183"/>
        <v>BL 웹소설 &gt; 역사/시대물</v>
      </c>
    </row>
    <row r="886" spans="1:42" x14ac:dyDescent="0.4">
      <c r="A886" t="s">
        <v>43</v>
      </c>
      <c r="B886">
        <v>3822000437</v>
      </c>
      <c r="C886">
        <v>3822000483</v>
      </c>
      <c r="D886" t="str">
        <f>T("[연재]저승꽃감관 47화")</f>
        <v>[연재]저승꽃감관 47화</v>
      </c>
      <c r="E886" t="str">
        <f>T("47")</f>
        <v>47</v>
      </c>
      <c r="F886" t="str">
        <f t="shared" si="180"/>
        <v>에복</v>
      </c>
      <c r="I886" t="str">
        <f t="shared" si="179"/>
        <v>딥블렌드</v>
      </c>
      <c r="J886" t="str">
        <f t="shared" si="181"/>
        <v>[연재]저승꽃감관</v>
      </c>
      <c r="K886">
        <v>100</v>
      </c>
      <c r="L886">
        <v>900</v>
      </c>
      <c r="M886">
        <v>9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630</v>
      </c>
      <c r="AN886" t="str">
        <f t="shared" si="182"/>
        <v>9791190142502</v>
      </c>
      <c r="AP886" t="str">
        <f t="shared" si="183"/>
        <v>BL 웹소설 &gt; 역사/시대물</v>
      </c>
    </row>
    <row r="887" spans="1:42" x14ac:dyDescent="0.4">
      <c r="A887" t="s">
        <v>43</v>
      </c>
      <c r="B887">
        <v>3822000437</v>
      </c>
      <c r="C887">
        <v>3822000554</v>
      </c>
      <c r="D887" t="str">
        <f>T("[연재]저승꽃감관 118화")</f>
        <v>[연재]저승꽃감관 118화</v>
      </c>
      <c r="E887" t="str">
        <f>T("118")</f>
        <v>118</v>
      </c>
      <c r="F887" t="str">
        <f t="shared" si="180"/>
        <v>에복</v>
      </c>
      <c r="I887" t="str">
        <f t="shared" si="179"/>
        <v>딥블렌드</v>
      </c>
      <c r="J887" t="str">
        <f t="shared" si="181"/>
        <v>[연재]저승꽃감관</v>
      </c>
      <c r="K887">
        <v>100</v>
      </c>
      <c r="L887">
        <v>900</v>
      </c>
      <c r="M887">
        <v>9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630</v>
      </c>
      <c r="AN887" t="str">
        <f t="shared" si="182"/>
        <v>9791190142502</v>
      </c>
      <c r="AP887" t="str">
        <f t="shared" si="183"/>
        <v>BL 웹소설 &gt; 역사/시대물</v>
      </c>
    </row>
    <row r="888" spans="1:42" x14ac:dyDescent="0.4">
      <c r="A888" t="s">
        <v>43</v>
      </c>
      <c r="B888">
        <v>3822000437</v>
      </c>
      <c r="C888">
        <v>3822000584</v>
      </c>
      <c r="D888" t="str">
        <f>T("[연재]저승꽃감관 125화")</f>
        <v>[연재]저승꽃감관 125화</v>
      </c>
      <c r="E888" t="str">
        <f>T("125")</f>
        <v>125</v>
      </c>
      <c r="F888" t="str">
        <f t="shared" si="180"/>
        <v>에복</v>
      </c>
      <c r="I888" t="str">
        <f t="shared" si="179"/>
        <v>딥블렌드</v>
      </c>
      <c r="J888" t="str">
        <f t="shared" si="181"/>
        <v>[연재]저승꽃감관</v>
      </c>
      <c r="K888">
        <v>100</v>
      </c>
      <c r="L888">
        <v>900</v>
      </c>
      <c r="M888">
        <v>9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630</v>
      </c>
      <c r="AN888" t="str">
        <f t="shared" si="182"/>
        <v>9791190142502</v>
      </c>
      <c r="AP888" t="str">
        <f t="shared" si="183"/>
        <v>BL 웹소설 &gt; 역사/시대물</v>
      </c>
    </row>
    <row r="889" spans="1:42" x14ac:dyDescent="0.4">
      <c r="A889" t="s">
        <v>43</v>
      </c>
      <c r="B889">
        <v>3822000437</v>
      </c>
      <c r="C889">
        <v>3822000556</v>
      </c>
      <c r="D889" t="str">
        <f>T("[연재]저승꽃감관 120화")</f>
        <v>[연재]저승꽃감관 120화</v>
      </c>
      <c r="E889" t="str">
        <f>T("120")</f>
        <v>120</v>
      </c>
      <c r="F889" t="str">
        <f t="shared" si="180"/>
        <v>에복</v>
      </c>
      <c r="I889" t="str">
        <f t="shared" si="179"/>
        <v>딥블렌드</v>
      </c>
      <c r="J889" t="str">
        <f t="shared" si="181"/>
        <v>[연재]저승꽃감관</v>
      </c>
      <c r="K889">
        <v>100</v>
      </c>
      <c r="L889">
        <v>900</v>
      </c>
      <c r="M889">
        <v>9</v>
      </c>
      <c r="N889">
        <v>0</v>
      </c>
      <c r="O889">
        <v>0</v>
      </c>
      <c r="P889">
        <v>0</v>
      </c>
      <c r="Q889">
        <v>1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630</v>
      </c>
      <c r="AN889" t="str">
        <f t="shared" si="182"/>
        <v>9791190142502</v>
      </c>
      <c r="AP889" t="str">
        <f t="shared" si="183"/>
        <v>BL 웹소설 &gt; 역사/시대물</v>
      </c>
    </row>
    <row r="890" spans="1:42" x14ac:dyDescent="0.4">
      <c r="A890" t="s">
        <v>43</v>
      </c>
      <c r="B890">
        <v>3822000437</v>
      </c>
      <c r="C890">
        <v>3822000586</v>
      </c>
      <c r="D890" t="str">
        <f>T("[연재]저승꽃감관 127화")</f>
        <v>[연재]저승꽃감관 127화</v>
      </c>
      <c r="E890" t="str">
        <f>T("127")</f>
        <v>127</v>
      </c>
      <c r="F890" t="str">
        <f t="shared" si="180"/>
        <v>에복</v>
      </c>
      <c r="I890" t="str">
        <f t="shared" si="179"/>
        <v>딥블렌드</v>
      </c>
      <c r="J890" t="str">
        <f t="shared" si="181"/>
        <v>[연재]저승꽃감관</v>
      </c>
      <c r="K890">
        <v>100</v>
      </c>
      <c r="L890">
        <v>900</v>
      </c>
      <c r="M890">
        <v>9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630</v>
      </c>
      <c r="AN890" t="str">
        <f t="shared" si="182"/>
        <v>9791190142502</v>
      </c>
      <c r="AP890" t="str">
        <f t="shared" si="183"/>
        <v>BL 웹소설 &gt; 역사/시대물</v>
      </c>
    </row>
    <row r="891" spans="1:42" x14ac:dyDescent="0.4">
      <c r="A891" t="s">
        <v>43</v>
      </c>
      <c r="B891">
        <v>3822000437</v>
      </c>
      <c r="C891">
        <v>3822000587</v>
      </c>
      <c r="D891" t="str">
        <f>T("[연재]저승꽃감관 128화")</f>
        <v>[연재]저승꽃감관 128화</v>
      </c>
      <c r="E891" t="str">
        <f>T("128")</f>
        <v>128</v>
      </c>
      <c r="F891" t="str">
        <f t="shared" si="180"/>
        <v>에복</v>
      </c>
      <c r="I891" t="str">
        <f t="shared" si="179"/>
        <v>딥블렌드</v>
      </c>
      <c r="J891" t="str">
        <f t="shared" si="181"/>
        <v>[연재]저승꽃감관</v>
      </c>
      <c r="K891">
        <v>100</v>
      </c>
      <c r="L891">
        <v>900</v>
      </c>
      <c r="M891">
        <v>9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630</v>
      </c>
      <c r="AN891" t="str">
        <f t="shared" si="182"/>
        <v>9791190142502</v>
      </c>
      <c r="AP891" t="str">
        <f t="shared" si="183"/>
        <v>BL 웹소설 &gt; 역사/시대물</v>
      </c>
    </row>
    <row r="892" spans="1:42" x14ac:dyDescent="0.4">
      <c r="A892" t="s">
        <v>43</v>
      </c>
      <c r="B892">
        <v>3822000437</v>
      </c>
      <c r="C892">
        <v>3822000588</v>
      </c>
      <c r="D892" t="str">
        <f>T("[연재]저승꽃감관 129화")</f>
        <v>[연재]저승꽃감관 129화</v>
      </c>
      <c r="E892" t="str">
        <f>T("129")</f>
        <v>129</v>
      </c>
      <c r="F892" t="str">
        <f t="shared" si="180"/>
        <v>에복</v>
      </c>
      <c r="I892" t="str">
        <f t="shared" si="179"/>
        <v>딥블렌드</v>
      </c>
      <c r="J892" t="str">
        <f t="shared" si="181"/>
        <v>[연재]저승꽃감관</v>
      </c>
      <c r="K892">
        <v>100</v>
      </c>
      <c r="L892">
        <v>900</v>
      </c>
      <c r="M892">
        <v>9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630</v>
      </c>
      <c r="AN892" t="str">
        <f t="shared" si="182"/>
        <v>9791190142502</v>
      </c>
      <c r="AP892" t="str">
        <f t="shared" si="183"/>
        <v>BL 웹소설 &gt; 역사/시대물</v>
      </c>
    </row>
    <row r="893" spans="1:42" x14ac:dyDescent="0.4">
      <c r="A893" t="s">
        <v>43</v>
      </c>
      <c r="B893">
        <v>3822000437</v>
      </c>
      <c r="C893">
        <v>3822000560</v>
      </c>
      <c r="D893" t="str">
        <f>T("[연재]저승꽃감관 124화")</f>
        <v>[연재]저승꽃감관 124화</v>
      </c>
      <c r="E893" t="str">
        <f>T("124")</f>
        <v>124</v>
      </c>
      <c r="F893" t="str">
        <f t="shared" si="180"/>
        <v>에복</v>
      </c>
      <c r="I893" t="str">
        <f t="shared" si="179"/>
        <v>딥블렌드</v>
      </c>
      <c r="J893" t="str">
        <f t="shared" si="181"/>
        <v>[연재]저승꽃감관</v>
      </c>
      <c r="K893">
        <v>100</v>
      </c>
      <c r="L893">
        <v>900</v>
      </c>
      <c r="M893">
        <v>9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630</v>
      </c>
      <c r="AN893" t="str">
        <f t="shared" si="182"/>
        <v>9791190142502</v>
      </c>
      <c r="AP893" t="str">
        <f t="shared" si="183"/>
        <v>BL 웹소설 &gt; 역사/시대물</v>
      </c>
    </row>
    <row r="894" spans="1:42" x14ac:dyDescent="0.4">
      <c r="A894" t="s">
        <v>43</v>
      </c>
      <c r="B894">
        <v>3822000437</v>
      </c>
      <c r="C894">
        <v>3822000476</v>
      </c>
      <c r="D894" t="str">
        <f>T("[연재]저승꽃감관 40화")</f>
        <v>[연재]저승꽃감관 40화</v>
      </c>
      <c r="E894" t="str">
        <f>T("40")</f>
        <v>40</v>
      </c>
      <c r="F894" t="str">
        <f t="shared" si="180"/>
        <v>에복</v>
      </c>
      <c r="I894" t="str">
        <f t="shared" si="179"/>
        <v>딥블렌드</v>
      </c>
      <c r="J894" t="str">
        <f t="shared" si="181"/>
        <v>[연재]저승꽃감관</v>
      </c>
      <c r="K894">
        <v>100</v>
      </c>
      <c r="L894">
        <v>900</v>
      </c>
      <c r="M894">
        <v>9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630</v>
      </c>
      <c r="AN894" t="str">
        <f t="shared" si="182"/>
        <v>9791190142502</v>
      </c>
      <c r="AP894" t="str">
        <f t="shared" si="183"/>
        <v>BL 웹소설 &gt; 역사/시대물</v>
      </c>
    </row>
    <row r="895" spans="1:42" x14ac:dyDescent="0.4">
      <c r="A895" t="s">
        <v>43</v>
      </c>
      <c r="B895">
        <v>3822000437</v>
      </c>
      <c r="C895">
        <v>3822000463</v>
      </c>
      <c r="D895" t="str">
        <f>T("[연재]저승꽃감관 27화")</f>
        <v>[연재]저승꽃감관 27화</v>
      </c>
      <c r="E895" t="str">
        <f>T("27")</f>
        <v>27</v>
      </c>
      <c r="F895" t="str">
        <f t="shared" si="180"/>
        <v>에복</v>
      </c>
      <c r="I895" t="str">
        <f t="shared" si="179"/>
        <v>딥블렌드</v>
      </c>
      <c r="J895" t="str">
        <f t="shared" si="181"/>
        <v>[연재]저승꽃감관</v>
      </c>
      <c r="K895">
        <v>100</v>
      </c>
      <c r="L895">
        <v>900</v>
      </c>
      <c r="M895">
        <v>9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630</v>
      </c>
      <c r="AN895" t="str">
        <f t="shared" si="182"/>
        <v>9791190142502</v>
      </c>
      <c r="AP895" t="str">
        <f t="shared" si="183"/>
        <v>BL 웹소설 &gt; 역사/시대물</v>
      </c>
    </row>
    <row r="896" spans="1:42" x14ac:dyDescent="0.4">
      <c r="A896" t="s">
        <v>43</v>
      </c>
      <c r="B896">
        <v>3822000437</v>
      </c>
      <c r="C896">
        <v>3822000478</v>
      </c>
      <c r="D896" t="str">
        <f>T("[연재]저승꽃감관 42화")</f>
        <v>[연재]저승꽃감관 42화</v>
      </c>
      <c r="E896" t="str">
        <f>T("42")</f>
        <v>42</v>
      </c>
      <c r="F896" t="str">
        <f t="shared" si="180"/>
        <v>에복</v>
      </c>
      <c r="I896" t="str">
        <f t="shared" si="179"/>
        <v>딥블렌드</v>
      </c>
      <c r="J896" t="str">
        <f t="shared" si="181"/>
        <v>[연재]저승꽃감관</v>
      </c>
      <c r="K896">
        <v>100</v>
      </c>
      <c r="L896">
        <v>900</v>
      </c>
      <c r="M896">
        <v>9</v>
      </c>
      <c r="N896">
        <v>0</v>
      </c>
      <c r="O896">
        <v>0</v>
      </c>
      <c r="P896">
        <v>0</v>
      </c>
      <c r="Q896">
        <v>1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630</v>
      </c>
      <c r="AN896" t="str">
        <f t="shared" si="182"/>
        <v>9791190142502</v>
      </c>
      <c r="AP896" t="str">
        <f t="shared" si="183"/>
        <v>BL 웹소설 &gt; 역사/시대물</v>
      </c>
    </row>
    <row r="897" spans="1:42" x14ac:dyDescent="0.4">
      <c r="A897" t="s">
        <v>43</v>
      </c>
      <c r="B897">
        <v>3822000437</v>
      </c>
      <c r="C897">
        <v>3822000492</v>
      </c>
      <c r="D897" t="str">
        <f>T("[연재]저승꽃감관 56화")</f>
        <v>[연재]저승꽃감관 56화</v>
      </c>
      <c r="E897" t="str">
        <f>T("56")</f>
        <v>56</v>
      </c>
      <c r="F897" t="str">
        <f t="shared" si="180"/>
        <v>에복</v>
      </c>
      <c r="I897" t="str">
        <f t="shared" si="179"/>
        <v>딥블렌드</v>
      </c>
      <c r="J897" t="str">
        <f t="shared" si="181"/>
        <v>[연재]저승꽃감관</v>
      </c>
      <c r="K897">
        <v>100</v>
      </c>
      <c r="L897">
        <v>900</v>
      </c>
      <c r="M897">
        <v>9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630</v>
      </c>
      <c r="AN897" t="str">
        <f t="shared" si="182"/>
        <v>9791190142502</v>
      </c>
      <c r="AP897" t="str">
        <f t="shared" si="183"/>
        <v>BL 웹소설 &gt; 역사/시대물</v>
      </c>
    </row>
    <row r="898" spans="1:42" x14ac:dyDescent="0.4">
      <c r="A898" t="s">
        <v>43</v>
      </c>
      <c r="B898">
        <v>3822000437</v>
      </c>
      <c r="C898">
        <v>3822000508</v>
      </c>
      <c r="D898" t="str">
        <f>T("[연재]저승꽃감관 72화")</f>
        <v>[연재]저승꽃감관 72화</v>
      </c>
      <c r="E898" t="str">
        <f>T("72")</f>
        <v>72</v>
      </c>
      <c r="F898" t="str">
        <f t="shared" si="180"/>
        <v>에복</v>
      </c>
      <c r="I898" t="str">
        <f t="shared" si="179"/>
        <v>딥블렌드</v>
      </c>
      <c r="J898" t="str">
        <f t="shared" si="181"/>
        <v>[연재]저승꽃감관</v>
      </c>
      <c r="K898">
        <v>100</v>
      </c>
      <c r="L898">
        <v>800</v>
      </c>
      <c r="M898">
        <v>8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560</v>
      </c>
      <c r="AN898" t="str">
        <f t="shared" si="182"/>
        <v>9791190142502</v>
      </c>
      <c r="AP898" t="str">
        <f t="shared" si="183"/>
        <v>BL 웹소설 &gt; 역사/시대물</v>
      </c>
    </row>
    <row r="899" spans="1:42" x14ac:dyDescent="0.4">
      <c r="A899" t="s">
        <v>43</v>
      </c>
      <c r="B899">
        <v>3822000437</v>
      </c>
      <c r="C899">
        <v>3822000551</v>
      </c>
      <c r="D899" t="str">
        <f>T("[연재]저승꽃감관 115화")</f>
        <v>[연재]저승꽃감관 115화</v>
      </c>
      <c r="E899" t="str">
        <f>T("115")</f>
        <v>115</v>
      </c>
      <c r="F899" t="str">
        <f t="shared" si="180"/>
        <v>에복</v>
      </c>
      <c r="I899" t="str">
        <f t="shared" si="179"/>
        <v>딥블렌드</v>
      </c>
      <c r="J899" t="str">
        <f t="shared" si="181"/>
        <v>[연재]저승꽃감관</v>
      </c>
      <c r="K899">
        <v>100</v>
      </c>
      <c r="L899">
        <v>800</v>
      </c>
      <c r="M899">
        <v>8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560</v>
      </c>
      <c r="AN899" t="str">
        <f t="shared" si="182"/>
        <v>9791190142502</v>
      </c>
      <c r="AP899" t="str">
        <f t="shared" si="183"/>
        <v>BL 웹소설 &gt; 역사/시대물</v>
      </c>
    </row>
    <row r="900" spans="1:42" x14ac:dyDescent="0.4">
      <c r="A900" t="s">
        <v>43</v>
      </c>
      <c r="B900">
        <v>3822000437</v>
      </c>
      <c r="C900">
        <v>3822000495</v>
      </c>
      <c r="D900" t="str">
        <f>T("[연재]저승꽃감관 59화")</f>
        <v>[연재]저승꽃감관 59화</v>
      </c>
      <c r="E900" t="str">
        <f>T("59")</f>
        <v>59</v>
      </c>
      <c r="F900" t="str">
        <f t="shared" si="180"/>
        <v>에복</v>
      </c>
      <c r="I900" t="str">
        <f t="shared" si="179"/>
        <v>딥블렌드</v>
      </c>
      <c r="J900" t="str">
        <f t="shared" si="181"/>
        <v>[연재]저승꽃감관</v>
      </c>
      <c r="K900">
        <v>100</v>
      </c>
      <c r="L900">
        <v>800</v>
      </c>
      <c r="M900">
        <v>8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560</v>
      </c>
      <c r="AN900" t="str">
        <f t="shared" si="182"/>
        <v>9791190142502</v>
      </c>
      <c r="AP900" t="str">
        <f t="shared" si="183"/>
        <v>BL 웹소설 &gt; 역사/시대물</v>
      </c>
    </row>
    <row r="901" spans="1:42" x14ac:dyDescent="0.4">
      <c r="A901" t="s">
        <v>43</v>
      </c>
      <c r="B901">
        <v>3822000437</v>
      </c>
      <c r="C901">
        <v>3822000454</v>
      </c>
      <c r="D901" t="str">
        <f>T("[연재]저승꽃감관 18화")</f>
        <v>[연재]저승꽃감관 18화</v>
      </c>
      <c r="E901" t="str">
        <f>T("18")</f>
        <v>18</v>
      </c>
      <c r="F901" t="str">
        <f t="shared" si="180"/>
        <v>에복</v>
      </c>
      <c r="I901" t="str">
        <f t="shared" si="179"/>
        <v>딥블렌드</v>
      </c>
      <c r="J901" t="str">
        <f t="shared" si="181"/>
        <v>[연재]저승꽃감관</v>
      </c>
      <c r="K901">
        <v>100</v>
      </c>
      <c r="L901">
        <v>800</v>
      </c>
      <c r="M901">
        <v>8</v>
      </c>
      <c r="N901">
        <v>0</v>
      </c>
      <c r="O901">
        <v>0</v>
      </c>
      <c r="P901">
        <v>0</v>
      </c>
      <c r="Q901">
        <v>3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560</v>
      </c>
      <c r="AN901" t="str">
        <f t="shared" si="182"/>
        <v>9791190142502</v>
      </c>
      <c r="AP901" t="str">
        <f t="shared" si="183"/>
        <v>BL 웹소설 &gt; 역사/시대물</v>
      </c>
    </row>
    <row r="902" spans="1:42" x14ac:dyDescent="0.4">
      <c r="A902" t="s">
        <v>43</v>
      </c>
      <c r="B902">
        <v>3822000437</v>
      </c>
      <c r="C902">
        <v>3822000553</v>
      </c>
      <c r="D902" t="str">
        <f>T("[연재]저승꽃감관 117화")</f>
        <v>[연재]저승꽃감관 117화</v>
      </c>
      <c r="E902" t="str">
        <f>T("117")</f>
        <v>117</v>
      </c>
      <c r="F902" t="str">
        <f t="shared" si="180"/>
        <v>에복</v>
      </c>
      <c r="I902" t="str">
        <f t="shared" si="179"/>
        <v>딥블렌드</v>
      </c>
      <c r="J902" t="str">
        <f t="shared" si="181"/>
        <v>[연재]저승꽃감관</v>
      </c>
      <c r="K902">
        <v>100</v>
      </c>
      <c r="L902">
        <v>800</v>
      </c>
      <c r="M902">
        <v>8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560</v>
      </c>
      <c r="AN902" t="str">
        <f t="shared" si="182"/>
        <v>9791190142502</v>
      </c>
      <c r="AP902" t="str">
        <f t="shared" si="183"/>
        <v>BL 웹소설 &gt; 역사/시대물</v>
      </c>
    </row>
    <row r="903" spans="1:42" x14ac:dyDescent="0.4">
      <c r="A903" t="s">
        <v>43</v>
      </c>
      <c r="B903">
        <v>3822000437</v>
      </c>
      <c r="C903">
        <v>3822000455</v>
      </c>
      <c r="D903" t="str">
        <f>T("[연재]저승꽃감관 19화")</f>
        <v>[연재]저승꽃감관 19화</v>
      </c>
      <c r="E903" t="str">
        <f>T("19")</f>
        <v>19</v>
      </c>
      <c r="F903" t="str">
        <f t="shared" si="180"/>
        <v>에복</v>
      </c>
      <c r="I903" t="str">
        <f t="shared" si="179"/>
        <v>딥블렌드</v>
      </c>
      <c r="J903" t="str">
        <f t="shared" si="181"/>
        <v>[연재]저승꽃감관</v>
      </c>
      <c r="K903">
        <v>100</v>
      </c>
      <c r="L903">
        <v>800</v>
      </c>
      <c r="M903">
        <v>8</v>
      </c>
      <c r="N903">
        <v>0</v>
      </c>
      <c r="O903">
        <v>0</v>
      </c>
      <c r="P903">
        <v>0</v>
      </c>
      <c r="Q903">
        <v>2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560</v>
      </c>
      <c r="AN903" t="str">
        <f t="shared" si="182"/>
        <v>9791190142502</v>
      </c>
      <c r="AP903" t="str">
        <f t="shared" si="183"/>
        <v>BL 웹소설 &gt; 역사/시대물</v>
      </c>
    </row>
    <row r="904" spans="1:42" x14ac:dyDescent="0.4">
      <c r="A904" t="s">
        <v>43</v>
      </c>
      <c r="B904">
        <v>3822000437</v>
      </c>
      <c r="C904">
        <v>3822000456</v>
      </c>
      <c r="D904" t="str">
        <f>T("[연재]저승꽃감관 20화")</f>
        <v>[연재]저승꽃감관 20화</v>
      </c>
      <c r="E904" t="str">
        <f>T("20")</f>
        <v>20</v>
      </c>
      <c r="F904" t="str">
        <f t="shared" si="180"/>
        <v>에복</v>
      </c>
      <c r="I904" t="str">
        <f t="shared" si="179"/>
        <v>딥블렌드</v>
      </c>
      <c r="J904" t="str">
        <f t="shared" si="181"/>
        <v>[연재]저승꽃감관</v>
      </c>
      <c r="K904">
        <v>100</v>
      </c>
      <c r="L904">
        <v>800</v>
      </c>
      <c r="M904">
        <v>8</v>
      </c>
      <c r="N904">
        <v>0</v>
      </c>
      <c r="O904">
        <v>0</v>
      </c>
      <c r="P904">
        <v>0</v>
      </c>
      <c r="Q904">
        <v>2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560</v>
      </c>
      <c r="AN904" t="str">
        <f t="shared" si="182"/>
        <v>9791190142502</v>
      </c>
      <c r="AP904" t="str">
        <f t="shared" si="183"/>
        <v>BL 웹소설 &gt; 역사/시대물</v>
      </c>
    </row>
    <row r="905" spans="1:42" x14ac:dyDescent="0.4">
      <c r="A905" t="s">
        <v>43</v>
      </c>
      <c r="B905">
        <v>3822000437</v>
      </c>
      <c r="C905">
        <v>3822000555</v>
      </c>
      <c r="D905" t="str">
        <f>T("[연재]저승꽃감관 119화")</f>
        <v>[연재]저승꽃감관 119화</v>
      </c>
      <c r="E905" t="str">
        <f>T("119")</f>
        <v>119</v>
      </c>
      <c r="F905" t="str">
        <f t="shared" si="180"/>
        <v>에복</v>
      </c>
      <c r="I905" t="str">
        <f t="shared" si="179"/>
        <v>딥블렌드</v>
      </c>
      <c r="J905" t="str">
        <f t="shared" si="181"/>
        <v>[연재]저승꽃감관</v>
      </c>
      <c r="K905">
        <v>100</v>
      </c>
      <c r="L905">
        <v>800</v>
      </c>
      <c r="M905">
        <v>8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560</v>
      </c>
      <c r="AN905" t="str">
        <f t="shared" si="182"/>
        <v>9791190142502</v>
      </c>
      <c r="AP905" t="str">
        <f t="shared" si="183"/>
        <v>BL 웹소설 &gt; 역사/시대물</v>
      </c>
    </row>
    <row r="906" spans="1:42" x14ac:dyDescent="0.4">
      <c r="A906" t="s">
        <v>43</v>
      </c>
      <c r="B906">
        <v>3822000437</v>
      </c>
      <c r="C906">
        <v>3822000499</v>
      </c>
      <c r="D906" t="str">
        <f>T("[연재]저승꽃감관 63화")</f>
        <v>[연재]저승꽃감관 63화</v>
      </c>
      <c r="E906" t="str">
        <f>T("63")</f>
        <v>63</v>
      </c>
      <c r="F906" t="str">
        <f t="shared" si="180"/>
        <v>에복</v>
      </c>
      <c r="I906" t="str">
        <f t="shared" si="179"/>
        <v>딥블렌드</v>
      </c>
      <c r="J906" t="str">
        <f t="shared" si="181"/>
        <v>[연재]저승꽃감관</v>
      </c>
      <c r="K906">
        <v>100</v>
      </c>
      <c r="L906">
        <v>800</v>
      </c>
      <c r="M906">
        <v>8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560</v>
      </c>
      <c r="AN906" t="str">
        <f t="shared" si="182"/>
        <v>9791190142502</v>
      </c>
      <c r="AP906" t="str">
        <f t="shared" si="183"/>
        <v>BL 웹소설 &gt; 역사/시대물</v>
      </c>
    </row>
    <row r="907" spans="1:42" x14ac:dyDescent="0.4">
      <c r="A907" t="s">
        <v>43</v>
      </c>
      <c r="B907">
        <v>3822000437</v>
      </c>
      <c r="C907">
        <v>3822000585</v>
      </c>
      <c r="D907" t="str">
        <f>T("[연재]저승꽃감관 126화")</f>
        <v>[연재]저승꽃감관 126화</v>
      </c>
      <c r="E907" t="str">
        <f>T("126")</f>
        <v>126</v>
      </c>
      <c r="F907" t="str">
        <f t="shared" si="180"/>
        <v>에복</v>
      </c>
      <c r="I907" t="str">
        <f t="shared" si="179"/>
        <v>딥블렌드</v>
      </c>
      <c r="J907" t="str">
        <f t="shared" si="181"/>
        <v>[연재]저승꽃감관</v>
      </c>
      <c r="K907">
        <v>100</v>
      </c>
      <c r="L907">
        <v>800</v>
      </c>
      <c r="M907">
        <v>8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560</v>
      </c>
      <c r="AN907" t="str">
        <f t="shared" si="182"/>
        <v>9791190142502</v>
      </c>
      <c r="AP907" t="str">
        <f t="shared" si="183"/>
        <v>BL 웹소설 &gt; 역사/시대물</v>
      </c>
    </row>
    <row r="908" spans="1:42" x14ac:dyDescent="0.4">
      <c r="A908" t="s">
        <v>43</v>
      </c>
      <c r="B908">
        <v>3822000437</v>
      </c>
      <c r="C908">
        <v>3822000557</v>
      </c>
      <c r="D908" t="str">
        <f>T("[연재]저승꽃감관 121화")</f>
        <v>[연재]저승꽃감관 121화</v>
      </c>
      <c r="E908" t="str">
        <f>T("121")</f>
        <v>121</v>
      </c>
      <c r="F908" t="str">
        <f t="shared" si="180"/>
        <v>에복</v>
      </c>
      <c r="I908" t="str">
        <f t="shared" si="179"/>
        <v>딥블렌드</v>
      </c>
      <c r="J908" t="str">
        <f t="shared" si="181"/>
        <v>[연재]저승꽃감관</v>
      </c>
      <c r="K908">
        <v>100</v>
      </c>
      <c r="L908">
        <v>800</v>
      </c>
      <c r="M908">
        <v>8</v>
      </c>
      <c r="N908">
        <v>0</v>
      </c>
      <c r="O908">
        <v>0</v>
      </c>
      <c r="P908">
        <v>0</v>
      </c>
      <c r="Q908">
        <v>1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560</v>
      </c>
      <c r="AN908" t="str">
        <f t="shared" si="182"/>
        <v>9791190142502</v>
      </c>
      <c r="AP908" t="str">
        <f t="shared" si="183"/>
        <v>BL 웹소설 &gt; 역사/시대물</v>
      </c>
    </row>
    <row r="909" spans="1:42" x14ac:dyDescent="0.4">
      <c r="A909" t="s">
        <v>43</v>
      </c>
      <c r="B909">
        <v>3822000437</v>
      </c>
      <c r="C909">
        <v>3822000558</v>
      </c>
      <c r="D909" t="str">
        <f>T("[연재]저승꽃감관 122화")</f>
        <v>[연재]저승꽃감관 122화</v>
      </c>
      <c r="E909" t="str">
        <f>T("122")</f>
        <v>122</v>
      </c>
      <c r="F909" t="str">
        <f t="shared" si="180"/>
        <v>에복</v>
      </c>
      <c r="I909" t="str">
        <f t="shared" si="179"/>
        <v>딥블렌드</v>
      </c>
      <c r="J909" t="str">
        <f t="shared" si="181"/>
        <v>[연재]저승꽃감관</v>
      </c>
      <c r="K909">
        <v>100</v>
      </c>
      <c r="L909">
        <v>800</v>
      </c>
      <c r="M909">
        <v>8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560</v>
      </c>
      <c r="AN909" t="str">
        <f t="shared" si="182"/>
        <v>9791190142502</v>
      </c>
      <c r="AP909" t="str">
        <f t="shared" si="183"/>
        <v>BL 웹소설 &gt; 역사/시대물</v>
      </c>
    </row>
    <row r="910" spans="1:42" x14ac:dyDescent="0.4">
      <c r="A910" t="s">
        <v>43</v>
      </c>
      <c r="B910">
        <v>3822000437</v>
      </c>
      <c r="C910">
        <v>3822000474</v>
      </c>
      <c r="D910" t="str">
        <f>T("[연재]저승꽃감관 38화")</f>
        <v>[연재]저승꽃감관 38화</v>
      </c>
      <c r="E910" t="str">
        <f>T("38")</f>
        <v>38</v>
      </c>
      <c r="F910" t="str">
        <f t="shared" si="180"/>
        <v>에복</v>
      </c>
      <c r="I910" t="str">
        <f t="shared" si="179"/>
        <v>딥블렌드</v>
      </c>
      <c r="J910" t="str">
        <f t="shared" si="181"/>
        <v>[연재]저승꽃감관</v>
      </c>
      <c r="K910">
        <v>100</v>
      </c>
      <c r="L910">
        <v>800</v>
      </c>
      <c r="M910">
        <v>8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560</v>
      </c>
      <c r="AN910" t="str">
        <f t="shared" si="182"/>
        <v>9791190142502</v>
      </c>
      <c r="AP910" t="str">
        <f t="shared" si="183"/>
        <v>BL 웹소설 &gt; 역사/시대물</v>
      </c>
    </row>
    <row r="911" spans="1:42" x14ac:dyDescent="0.4">
      <c r="A911" t="s">
        <v>43</v>
      </c>
      <c r="B911">
        <v>3822000437</v>
      </c>
      <c r="C911">
        <v>3822000559</v>
      </c>
      <c r="D911" t="str">
        <f>T("[연재]저승꽃감관 123화")</f>
        <v>[연재]저승꽃감관 123화</v>
      </c>
      <c r="E911" t="str">
        <f>T("123")</f>
        <v>123</v>
      </c>
      <c r="F911" t="str">
        <f t="shared" si="180"/>
        <v>에복</v>
      </c>
      <c r="I911" t="str">
        <f t="shared" si="179"/>
        <v>딥블렌드</v>
      </c>
      <c r="J911" t="str">
        <f t="shared" si="181"/>
        <v>[연재]저승꽃감관</v>
      </c>
      <c r="K911">
        <v>100</v>
      </c>
      <c r="L911">
        <v>800</v>
      </c>
      <c r="M911">
        <v>8</v>
      </c>
      <c r="N911">
        <v>0</v>
      </c>
      <c r="O911">
        <v>0</v>
      </c>
      <c r="P911">
        <v>0</v>
      </c>
      <c r="Q911">
        <v>1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560</v>
      </c>
      <c r="AN911" t="str">
        <f t="shared" si="182"/>
        <v>9791190142502</v>
      </c>
      <c r="AP911" t="str">
        <f t="shared" si="183"/>
        <v>BL 웹소설 &gt; 역사/시대물</v>
      </c>
    </row>
    <row r="912" spans="1:42" x14ac:dyDescent="0.4">
      <c r="A912" t="s">
        <v>43</v>
      </c>
      <c r="B912">
        <v>3822000437</v>
      </c>
      <c r="C912">
        <v>3822000446</v>
      </c>
      <c r="D912" t="str">
        <f>T("[연재]저승꽃감관 10화")</f>
        <v>[연재]저승꽃감관 10화</v>
      </c>
      <c r="E912" t="str">
        <f>T("10")</f>
        <v>10</v>
      </c>
      <c r="F912" t="str">
        <f t="shared" si="180"/>
        <v>에복</v>
      </c>
      <c r="I912" t="str">
        <f t="shared" si="179"/>
        <v>딥블렌드</v>
      </c>
      <c r="J912" t="str">
        <f t="shared" si="181"/>
        <v>[연재]저승꽃감관</v>
      </c>
      <c r="K912">
        <v>100</v>
      </c>
      <c r="L912">
        <v>800</v>
      </c>
      <c r="M912">
        <v>8</v>
      </c>
      <c r="N912">
        <v>0</v>
      </c>
      <c r="O912">
        <v>0</v>
      </c>
      <c r="P912">
        <v>0</v>
      </c>
      <c r="Q912">
        <v>46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560</v>
      </c>
      <c r="AN912" t="str">
        <f t="shared" si="182"/>
        <v>9791190142502</v>
      </c>
      <c r="AP912" t="str">
        <f t="shared" si="183"/>
        <v>BL 웹소설 &gt; 역사/시대물</v>
      </c>
    </row>
    <row r="913" spans="1:42" x14ac:dyDescent="0.4">
      <c r="A913" t="s">
        <v>43</v>
      </c>
      <c r="B913">
        <v>3822000437</v>
      </c>
      <c r="C913">
        <v>3822000589</v>
      </c>
      <c r="D913" t="str">
        <f>T("[연재]저승꽃감관 130화")</f>
        <v>[연재]저승꽃감관 130화</v>
      </c>
      <c r="E913" t="str">
        <f>T("130")</f>
        <v>130</v>
      </c>
      <c r="F913" t="str">
        <f t="shared" ref="F913:F944" si="184">T("에복")</f>
        <v>에복</v>
      </c>
      <c r="I913" t="str">
        <f t="shared" si="179"/>
        <v>딥블렌드</v>
      </c>
      <c r="J913" t="str">
        <f t="shared" ref="J913:J944" si="185">T("[연재]저승꽃감관")</f>
        <v>[연재]저승꽃감관</v>
      </c>
      <c r="K913">
        <v>100</v>
      </c>
      <c r="L913">
        <v>800</v>
      </c>
      <c r="M913">
        <v>8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560</v>
      </c>
      <c r="AN913" t="str">
        <f t="shared" ref="AN913:AN944" si="186">T("9791190142502")</f>
        <v>9791190142502</v>
      </c>
      <c r="AP913" t="str">
        <f t="shared" ref="AP913:AP944" si="187">T("BL 웹소설 &gt; 역사/시대물")</f>
        <v>BL 웹소설 &gt; 역사/시대물</v>
      </c>
    </row>
    <row r="914" spans="1:42" x14ac:dyDescent="0.4">
      <c r="A914" t="s">
        <v>43</v>
      </c>
      <c r="B914">
        <v>3822000437</v>
      </c>
      <c r="C914">
        <v>3822000504</v>
      </c>
      <c r="D914" t="str">
        <f>T("[연재]저승꽃감관 68화")</f>
        <v>[연재]저승꽃감관 68화</v>
      </c>
      <c r="E914" t="str">
        <f>T("68")</f>
        <v>68</v>
      </c>
      <c r="F914" t="str">
        <f t="shared" si="184"/>
        <v>에복</v>
      </c>
      <c r="I914" t="str">
        <f t="shared" si="179"/>
        <v>딥블렌드</v>
      </c>
      <c r="J914" t="str">
        <f t="shared" si="185"/>
        <v>[연재]저승꽃감관</v>
      </c>
      <c r="K914">
        <v>100</v>
      </c>
      <c r="L914">
        <v>800</v>
      </c>
      <c r="M914">
        <v>8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560</v>
      </c>
      <c r="AN914" t="str">
        <f t="shared" si="186"/>
        <v>9791190142502</v>
      </c>
      <c r="AP914" t="str">
        <f t="shared" si="187"/>
        <v>BL 웹소설 &gt; 역사/시대물</v>
      </c>
    </row>
    <row r="915" spans="1:42" x14ac:dyDescent="0.4">
      <c r="A915" t="s">
        <v>43</v>
      </c>
      <c r="B915">
        <v>3822000437</v>
      </c>
      <c r="C915">
        <v>3822000449</v>
      </c>
      <c r="D915" t="str">
        <f>T("[연재]저승꽃감관 13화")</f>
        <v>[연재]저승꽃감관 13화</v>
      </c>
      <c r="E915" t="str">
        <f>T("13")</f>
        <v>13</v>
      </c>
      <c r="F915" t="str">
        <f t="shared" si="184"/>
        <v>에복</v>
      </c>
      <c r="I915" t="str">
        <f t="shared" si="179"/>
        <v>딥블렌드</v>
      </c>
      <c r="J915" t="str">
        <f t="shared" si="185"/>
        <v>[연재]저승꽃감관</v>
      </c>
      <c r="K915">
        <v>100</v>
      </c>
      <c r="L915">
        <v>800</v>
      </c>
      <c r="M915">
        <v>8</v>
      </c>
      <c r="N915">
        <v>0</v>
      </c>
      <c r="O915">
        <v>0</v>
      </c>
      <c r="P915">
        <v>0</v>
      </c>
      <c r="Q915">
        <v>14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560</v>
      </c>
      <c r="AN915" t="str">
        <f t="shared" si="186"/>
        <v>9791190142502</v>
      </c>
      <c r="AP915" t="str">
        <f t="shared" si="187"/>
        <v>BL 웹소설 &gt; 역사/시대물</v>
      </c>
    </row>
    <row r="916" spans="1:42" x14ac:dyDescent="0.4">
      <c r="A916" t="s">
        <v>43</v>
      </c>
      <c r="B916">
        <v>3822000437</v>
      </c>
      <c r="C916">
        <v>3822000520</v>
      </c>
      <c r="D916" t="str">
        <f>T("[연재]저승꽃감관 84화")</f>
        <v>[연재]저승꽃감관 84화</v>
      </c>
      <c r="E916" t="str">
        <f>T("84")</f>
        <v>84</v>
      </c>
      <c r="F916" t="str">
        <f t="shared" si="184"/>
        <v>에복</v>
      </c>
      <c r="I916" t="str">
        <f t="shared" si="179"/>
        <v>딥블렌드</v>
      </c>
      <c r="J916" t="str">
        <f t="shared" si="185"/>
        <v>[연재]저승꽃감관</v>
      </c>
      <c r="K916">
        <v>100</v>
      </c>
      <c r="L916">
        <v>800</v>
      </c>
      <c r="M916">
        <v>8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560</v>
      </c>
      <c r="AN916" t="str">
        <f t="shared" si="186"/>
        <v>9791190142502</v>
      </c>
      <c r="AP916" t="str">
        <f t="shared" si="187"/>
        <v>BL 웹소설 &gt; 역사/시대물</v>
      </c>
    </row>
    <row r="917" spans="1:42" x14ac:dyDescent="0.4">
      <c r="A917" t="s">
        <v>43</v>
      </c>
      <c r="B917">
        <v>3822000437</v>
      </c>
      <c r="C917">
        <v>3822000450</v>
      </c>
      <c r="D917" t="str">
        <f>T("[연재]저승꽃감관 14화")</f>
        <v>[연재]저승꽃감관 14화</v>
      </c>
      <c r="E917" t="str">
        <f>T("14")</f>
        <v>14</v>
      </c>
      <c r="F917" t="str">
        <f t="shared" si="184"/>
        <v>에복</v>
      </c>
      <c r="I917" t="str">
        <f t="shared" si="179"/>
        <v>딥블렌드</v>
      </c>
      <c r="J917" t="str">
        <f t="shared" si="185"/>
        <v>[연재]저승꽃감관</v>
      </c>
      <c r="K917">
        <v>100</v>
      </c>
      <c r="L917">
        <v>800</v>
      </c>
      <c r="M917">
        <v>8</v>
      </c>
      <c r="N917">
        <v>0</v>
      </c>
      <c r="O917">
        <v>0</v>
      </c>
      <c r="P917">
        <v>0</v>
      </c>
      <c r="Q917">
        <v>13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560</v>
      </c>
      <c r="AN917" t="str">
        <f t="shared" si="186"/>
        <v>9791190142502</v>
      </c>
      <c r="AP917" t="str">
        <f t="shared" si="187"/>
        <v>BL 웹소설 &gt; 역사/시대물</v>
      </c>
    </row>
    <row r="918" spans="1:42" x14ac:dyDescent="0.4">
      <c r="A918" t="s">
        <v>43</v>
      </c>
      <c r="B918">
        <v>3822000437</v>
      </c>
      <c r="C918">
        <v>3822000521</v>
      </c>
      <c r="D918" t="str">
        <f>T("[연재]저승꽃감관 85화")</f>
        <v>[연재]저승꽃감관 85화</v>
      </c>
      <c r="E918" t="str">
        <f>T("85")</f>
        <v>85</v>
      </c>
      <c r="F918" t="str">
        <f t="shared" si="184"/>
        <v>에복</v>
      </c>
      <c r="I918" t="str">
        <f t="shared" si="179"/>
        <v>딥블렌드</v>
      </c>
      <c r="J918" t="str">
        <f t="shared" si="185"/>
        <v>[연재]저승꽃감관</v>
      </c>
      <c r="K918">
        <v>100</v>
      </c>
      <c r="L918">
        <v>800</v>
      </c>
      <c r="M918">
        <v>8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560</v>
      </c>
      <c r="AN918" t="str">
        <f t="shared" si="186"/>
        <v>9791190142502</v>
      </c>
      <c r="AP918" t="str">
        <f t="shared" si="187"/>
        <v>BL 웹소설 &gt; 역사/시대물</v>
      </c>
    </row>
    <row r="919" spans="1:42" x14ac:dyDescent="0.4">
      <c r="A919" t="s">
        <v>43</v>
      </c>
      <c r="B919">
        <v>3822000437</v>
      </c>
      <c r="C919">
        <v>3822000550</v>
      </c>
      <c r="D919" t="str">
        <f>T("[연재]저승꽃감관 114화")</f>
        <v>[연재]저승꽃감관 114화</v>
      </c>
      <c r="E919" t="str">
        <f>T("114")</f>
        <v>114</v>
      </c>
      <c r="F919" t="str">
        <f t="shared" si="184"/>
        <v>에복</v>
      </c>
      <c r="I919" t="str">
        <f t="shared" si="179"/>
        <v>딥블렌드</v>
      </c>
      <c r="J919" t="str">
        <f t="shared" si="185"/>
        <v>[연재]저승꽃감관</v>
      </c>
      <c r="K919">
        <v>100</v>
      </c>
      <c r="L919">
        <v>700</v>
      </c>
      <c r="M919">
        <v>7</v>
      </c>
      <c r="N919">
        <v>0</v>
      </c>
      <c r="O919">
        <v>0</v>
      </c>
      <c r="P919">
        <v>0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490</v>
      </c>
      <c r="AN919" t="str">
        <f t="shared" si="186"/>
        <v>9791190142502</v>
      </c>
      <c r="AP919" t="str">
        <f t="shared" si="187"/>
        <v>BL 웹소설 &gt; 역사/시대물</v>
      </c>
    </row>
    <row r="920" spans="1:42" x14ac:dyDescent="0.4">
      <c r="A920" t="s">
        <v>43</v>
      </c>
      <c r="B920">
        <v>3822000437</v>
      </c>
      <c r="C920">
        <v>3822000522</v>
      </c>
      <c r="D920" t="str">
        <f>T("[연재]저승꽃감관 86화")</f>
        <v>[연재]저승꽃감관 86화</v>
      </c>
      <c r="E920" t="str">
        <f>T("86")</f>
        <v>86</v>
      </c>
      <c r="F920" t="str">
        <f t="shared" si="184"/>
        <v>에복</v>
      </c>
      <c r="I920" t="str">
        <f t="shared" si="179"/>
        <v>딥블렌드</v>
      </c>
      <c r="J920" t="str">
        <f t="shared" si="185"/>
        <v>[연재]저승꽃감관</v>
      </c>
      <c r="K920">
        <v>100</v>
      </c>
      <c r="L920">
        <v>700</v>
      </c>
      <c r="M920">
        <v>7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490</v>
      </c>
      <c r="AN920" t="str">
        <f t="shared" si="186"/>
        <v>9791190142502</v>
      </c>
      <c r="AP920" t="str">
        <f t="shared" si="187"/>
        <v>BL 웹소설 &gt; 역사/시대물</v>
      </c>
    </row>
    <row r="921" spans="1:42" x14ac:dyDescent="0.4">
      <c r="A921" t="s">
        <v>43</v>
      </c>
      <c r="B921">
        <v>3822000437</v>
      </c>
      <c r="C921">
        <v>3822000509</v>
      </c>
      <c r="D921" t="str">
        <f>T("[연재]저승꽃감관 73화")</f>
        <v>[연재]저승꽃감관 73화</v>
      </c>
      <c r="E921" t="str">
        <f>T("73")</f>
        <v>73</v>
      </c>
      <c r="F921" t="str">
        <f t="shared" si="184"/>
        <v>에복</v>
      </c>
      <c r="I921" t="str">
        <f t="shared" si="179"/>
        <v>딥블렌드</v>
      </c>
      <c r="J921" t="str">
        <f t="shared" si="185"/>
        <v>[연재]저승꽃감관</v>
      </c>
      <c r="K921">
        <v>100</v>
      </c>
      <c r="L921">
        <v>700</v>
      </c>
      <c r="M921">
        <v>7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490</v>
      </c>
      <c r="AN921" t="str">
        <f t="shared" si="186"/>
        <v>9791190142502</v>
      </c>
      <c r="AP921" t="str">
        <f t="shared" si="187"/>
        <v>BL 웹소설 &gt; 역사/시대물</v>
      </c>
    </row>
    <row r="922" spans="1:42" x14ac:dyDescent="0.4">
      <c r="A922" t="s">
        <v>43</v>
      </c>
      <c r="B922">
        <v>3822000437</v>
      </c>
      <c r="C922">
        <v>3822000552</v>
      </c>
      <c r="D922" t="str">
        <f>T("[연재]저승꽃감관 116화")</f>
        <v>[연재]저승꽃감관 116화</v>
      </c>
      <c r="E922" t="str">
        <f>T("116")</f>
        <v>116</v>
      </c>
      <c r="F922" t="str">
        <f t="shared" si="184"/>
        <v>에복</v>
      </c>
      <c r="I922" t="str">
        <f t="shared" si="179"/>
        <v>딥블렌드</v>
      </c>
      <c r="J922" t="str">
        <f t="shared" si="185"/>
        <v>[연재]저승꽃감관</v>
      </c>
      <c r="K922">
        <v>100</v>
      </c>
      <c r="L922">
        <v>700</v>
      </c>
      <c r="M922">
        <v>7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490</v>
      </c>
      <c r="AN922" t="str">
        <f t="shared" si="186"/>
        <v>9791190142502</v>
      </c>
      <c r="AP922" t="str">
        <f t="shared" si="187"/>
        <v>BL 웹소설 &gt; 역사/시대물</v>
      </c>
    </row>
    <row r="923" spans="1:42" x14ac:dyDescent="0.4">
      <c r="A923" t="s">
        <v>43</v>
      </c>
      <c r="B923">
        <v>3822000437</v>
      </c>
      <c r="C923">
        <v>3822000524</v>
      </c>
      <c r="D923" t="str">
        <f>T("[연재]저승꽃감관 88화")</f>
        <v>[연재]저승꽃감관 88화</v>
      </c>
      <c r="E923" t="str">
        <f>T("88")</f>
        <v>88</v>
      </c>
      <c r="F923" t="str">
        <f t="shared" si="184"/>
        <v>에복</v>
      </c>
      <c r="I923" t="str">
        <f t="shared" si="179"/>
        <v>딥블렌드</v>
      </c>
      <c r="J923" t="str">
        <f t="shared" si="185"/>
        <v>[연재]저승꽃감관</v>
      </c>
      <c r="K923">
        <v>100</v>
      </c>
      <c r="L923">
        <v>700</v>
      </c>
      <c r="M923">
        <v>7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490</v>
      </c>
      <c r="AN923" t="str">
        <f t="shared" si="186"/>
        <v>9791190142502</v>
      </c>
      <c r="AP923" t="str">
        <f t="shared" si="187"/>
        <v>BL 웹소설 &gt; 역사/시대물</v>
      </c>
    </row>
    <row r="924" spans="1:42" x14ac:dyDescent="0.4">
      <c r="A924" t="s">
        <v>43</v>
      </c>
      <c r="B924">
        <v>3822000437</v>
      </c>
      <c r="C924">
        <v>3822000512</v>
      </c>
      <c r="D924" t="str">
        <f>T("[연재]저승꽃감관 76화")</f>
        <v>[연재]저승꽃감관 76화</v>
      </c>
      <c r="E924" t="str">
        <f>T("76")</f>
        <v>76</v>
      </c>
      <c r="F924" t="str">
        <f t="shared" si="184"/>
        <v>에복</v>
      </c>
      <c r="I924" t="str">
        <f t="shared" si="179"/>
        <v>딥블렌드</v>
      </c>
      <c r="J924" t="str">
        <f t="shared" si="185"/>
        <v>[연재]저승꽃감관</v>
      </c>
      <c r="K924">
        <v>100</v>
      </c>
      <c r="L924">
        <v>700</v>
      </c>
      <c r="M924">
        <v>7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490</v>
      </c>
      <c r="AN924" t="str">
        <f t="shared" si="186"/>
        <v>9791190142502</v>
      </c>
      <c r="AP924" t="str">
        <f t="shared" si="187"/>
        <v>BL 웹소설 &gt; 역사/시대물</v>
      </c>
    </row>
    <row r="925" spans="1:42" x14ac:dyDescent="0.4">
      <c r="A925" t="s">
        <v>43</v>
      </c>
      <c r="B925">
        <v>3822000437</v>
      </c>
      <c r="C925">
        <v>3822000514</v>
      </c>
      <c r="D925" t="str">
        <f>T("[연재]저승꽃감관 78화")</f>
        <v>[연재]저승꽃감관 78화</v>
      </c>
      <c r="E925" t="str">
        <f>T("78")</f>
        <v>78</v>
      </c>
      <c r="F925" t="str">
        <f t="shared" si="184"/>
        <v>에복</v>
      </c>
      <c r="I925" t="str">
        <f t="shared" si="179"/>
        <v>딥블렌드</v>
      </c>
      <c r="J925" t="str">
        <f t="shared" si="185"/>
        <v>[연재]저승꽃감관</v>
      </c>
      <c r="K925">
        <v>100</v>
      </c>
      <c r="L925">
        <v>700</v>
      </c>
      <c r="M925">
        <v>7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490</v>
      </c>
      <c r="AN925" t="str">
        <f t="shared" si="186"/>
        <v>9791190142502</v>
      </c>
      <c r="AP925" t="str">
        <f t="shared" si="187"/>
        <v>BL 웹소설 &gt; 역사/시대물</v>
      </c>
    </row>
    <row r="926" spans="1:42" x14ac:dyDescent="0.4">
      <c r="A926" t="s">
        <v>43</v>
      </c>
      <c r="B926">
        <v>3822000437</v>
      </c>
      <c r="C926">
        <v>3822000500</v>
      </c>
      <c r="D926" t="str">
        <f>T("[연재]저승꽃감관 64화")</f>
        <v>[연재]저승꽃감관 64화</v>
      </c>
      <c r="E926" t="str">
        <f>T("64")</f>
        <v>64</v>
      </c>
      <c r="F926" t="str">
        <f t="shared" si="184"/>
        <v>에복</v>
      </c>
      <c r="I926" t="str">
        <f t="shared" si="179"/>
        <v>딥블렌드</v>
      </c>
      <c r="J926" t="str">
        <f t="shared" si="185"/>
        <v>[연재]저승꽃감관</v>
      </c>
      <c r="K926">
        <v>100</v>
      </c>
      <c r="L926">
        <v>700</v>
      </c>
      <c r="M926">
        <v>7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490</v>
      </c>
      <c r="AN926" t="str">
        <f t="shared" si="186"/>
        <v>9791190142502</v>
      </c>
      <c r="AP926" t="str">
        <f t="shared" si="187"/>
        <v>BL 웹소설 &gt; 역사/시대물</v>
      </c>
    </row>
    <row r="927" spans="1:42" x14ac:dyDescent="0.4">
      <c r="A927" t="s">
        <v>43</v>
      </c>
      <c r="B927">
        <v>3822000437</v>
      </c>
      <c r="C927">
        <v>3822000444</v>
      </c>
      <c r="D927" t="str">
        <f>T("[연재]저승꽃감관 8화")</f>
        <v>[연재]저승꽃감관 8화</v>
      </c>
      <c r="E927" t="str">
        <f>T("8")</f>
        <v>8</v>
      </c>
      <c r="F927" t="str">
        <f t="shared" si="184"/>
        <v>에복</v>
      </c>
      <c r="I927" t="str">
        <f t="shared" si="179"/>
        <v>딥블렌드</v>
      </c>
      <c r="J927" t="str">
        <f t="shared" si="185"/>
        <v>[연재]저승꽃감관</v>
      </c>
      <c r="K927">
        <v>100</v>
      </c>
      <c r="L927">
        <v>700</v>
      </c>
      <c r="M927">
        <v>7</v>
      </c>
      <c r="N927">
        <v>0</v>
      </c>
      <c r="O927">
        <v>100</v>
      </c>
      <c r="P927">
        <v>1</v>
      </c>
      <c r="Q927">
        <v>47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560</v>
      </c>
      <c r="AN927" t="str">
        <f t="shared" si="186"/>
        <v>9791190142502</v>
      </c>
      <c r="AP927" t="str">
        <f t="shared" si="187"/>
        <v>BL 웹소설 &gt; 역사/시대물</v>
      </c>
    </row>
    <row r="928" spans="1:42" x14ac:dyDescent="0.4">
      <c r="A928" t="s">
        <v>43</v>
      </c>
      <c r="B928">
        <v>3822000437</v>
      </c>
      <c r="C928">
        <v>3822000515</v>
      </c>
      <c r="D928" t="str">
        <f>T("[연재]저승꽃감관 79화")</f>
        <v>[연재]저승꽃감관 79화</v>
      </c>
      <c r="E928" t="str">
        <f>T("79")</f>
        <v>79</v>
      </c>
      <c r="F928" t="str">
        <f t="shared" si="184"/>
        <v>에복</v>
      </c>
      <c r="I928" t="str">
        <f t="shared" si="179"/>
        <v>딥블렌드</v>
      </c>
      <c r="J928" t="str">
        <f t="shared" si="185"/>
        <v>[연재]저승꽃감관</v>
      </c>
      <c r="K928">
        <v>100</v>
      </c>
      <c r="L928">
        <v>700</v>
      </c>
      <c r="M928">
        <v>7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490</v>
      </c>
      <c r="AN928" t="str">
        <f t="shared" si="186"/>
        <v>9791190142502</v>
      </c>
      <c r="AP928" t="str">
        <f t="shared" si="187"/>
        <v>BL 웹소설 &gt; 역사/시대물</v>
      </c>
    </row>
    <row r="929" spans="1:42" x14ac:dyDescent="0.4">
      <c r="A929" t="s">
        <v>43</v>
      </c>
      <c r="B929">
        <v>3822000437</v>
      </c>
      <c r="C929">
        <v>3822000501</v>
      </c>
      <c r="D929" t="str">
        <f>T("[연재]저승꽃감관 65화")</f>
        <v>[연재]저승꽃감관 65화</v>
      </c>
      <c r="E929" t="str">
        <f>T("65")</f>
        <v>65</v>
      </c>
      <c r="F929" t="str">
        <f t="shared" si="184"/>
        <v>에복</v>
      </c>
      <c r="I929" t="str">
        <f t="shared" si="179"/>
        <v>딥블렌드</v>
      </c>
      <c r="J929" t="str">
        <f t="shared" si="185"/>
        <v>[연재]저승꽃감관</v>
      </c>
      <c r="K929">
        <v>100</v>
      </c>
      <c r="L929">
        <v>700</v>
      </c>
      <c r="M929">
        <v>7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490</v>
      </c>
      <c r="AN929" t="str">
        <f t="shared" si="186"/>
        <v>9791190142502</v>
      </c>
      <c r="AP929" t="str">
        <f t="shared" si="187"/>
        <v>BL 웹소설 &gt; 역사/시대물</v>
      </c>
    </row>
    <row r="930" spans="1:42" x14ac:dyDescent="0.4">
      <c r="A930" t="s">
        <v>43</v>
      </c>
      <c r="B930">
        <v>3822000437</v>
      </c>
      <c r="C930">
        <v>3822000445</v>
      </c>
      <c r="D930" t="str">
        <f>T("[연재]저승꽃감관 9화")</f>
        <v>[연재]저승꽃감관 9화</v>
      </c>
      <c r="E930" t="str">
        <f>T("9")</f>
        <v>9</v>
      </c>
      <c r="F930" t="str">
        <f t="shared" si="184"/>
        <v>에복</v>
      </c>
      <c r="I930" t="str">
        <f t="shared" si="179"/>
        <v>딥블렌드</v>
      </c>
      <c r="J930" t="str">
        <f t="shared" si="185"/>
        <v>[연재]저승꽃감관</v>
      </c>
      <c r="K930">
        <v>100</v>
      </c>
      <c r="L930">
        <v>700</v>
      </c>
      <c r="M930">
        <v>7</v>
      </c>
      <c r="N930">
        <v>0</v>
      </c>
      <c r="O930">
        <v>100</v>
      </c>
      <c r="P930">
        <v>1</v>
      </c>
      <c r="Q930">
        <v>44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560</v>
      </c>
      <c r="AN930" t="str">
        <f t="shared" si="186"/>
        <v>9791190142502</v>
      </c>
      <c r="AP930" t="str">
        <f t="shared" si="187"/>
        <v>BL 웹소설 &gt; 역사/시대물</v>
      </c>
    </row>
    <row r="931" spans="1:42" x14ac:dyDescent="0.4">
      <c r="A931" t="s">
        <v>43</v>
      </c>
      <c r="B931">
        <v>3822000437</v>
      </c>
      <c r="C931">
        <v>3822000516</v>
      </c>
      <c r="D931" t="str">
        <f>T("[연재]저승꽃감관 80화")</f>
        <v>[연재]저승꽃감관 80화</v>
      </c>
      <c r="E931" t="str">
        <f>T("80")</f>
        <v>80</v>
      </c>
      <c r="F931" t="str">
        <f t="shared" si="184"/>
        <v>에복</v>
      </c>
      <c r="I931" t="str">
        <f t="shared" si="179"/>
        <v>딥블렌드</v>
      </c>
      <c r="J931" t="str">
        <f t="shared" si="185"/>
        <v>[연재]저승꽃감관</v>
      </c>
      <c r="K931">
        <v>100</v>
      </c>
      <c r="L931">
        <v>700</v>
      </c>
      <c r="M931">
        <v>7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490</v>
      </c>
      <c r="AN931" t="str">
        <f t="shared" si="186"/>
        <v>9791190142502</v>
      </c>
      <c r="AP931" t="str">
        <f t="shared" si="187"/>
        <v>BL 웹소설 &gt; 역사/시대물</v>
      </c>
    </row>
    <row r="932" spans="1:42" x14ac:dyDescent="0.4">
      <c r="A932" t="s">
        <v>43</v>
      </c>
      <c r="B932">
        <v>3822000437</v>
      </c>
      <c r="C932">
        <v>3822000502</v>
      </c>
      <c r="D932" t="str">
        <f>T("[연재]저승꽃감관 66화")</f>
        <v>[연재]저승꽃감관 66화</v>
      </c>
      <c r="E932" t="str">
        <f>T("66")</f>
        <v>66</v>
      </c>
      <c r="F932" t="str">
        <f t="shared" si="184"/>
        <v>에복</v>
      </c>
      <c r="I932" t="str">
        <f t="shared" si="179"/>
        <v>딥블렌드</v>
      </c>
      <c r="J932" t="str">
        <f t="shared" si="185"/>
        <v>[연재]저승꽃감관</v>
      </c>
      <c r="K932">
        <v>100</v>
      </c>
      <c r="L932">
        <v>700</v>
      </c>
      <c r="M932">
        <v>7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490</v>
      </c>
      <c r="AN932" t="str">
        <f t="shared" si="186"/>
        <v>9791190142502</v>
      </c>
      <c r="AP932" t="str">
        <f t="shared" si="187"/>
        <v>BL 웹소설 &gt; 역사/시대물</v>
      </c>
    </row>
    <row r="933" spans="1:42" x14ac:dyDescent="0.4">
      <c r="A933" t="s">
        <v>43</v>
      </c>
      <c r="B933">
        <v>3822000437</v>
      </c>
      <c r="C933">
        <v>3822000517</v>
      </c>
      <c r="D933" t="str">
        <f>T("[연재]저승꽃감관 81화")</f>
        <v>[연재]저승꽃감관 81화</v>
      </c>
      <c r="E933" t="str">
        <f>T("81")</f>
        <v>81</v>
      </c>
      <c r="F933" t="str">
        <f t="shared" si="184"/>
        <v>에복</v>
      </c>
      <c r="I933" t="str">
        <f t="shared" si="179"/>
        <v>딥블렌드</v>
      </c>
      <c r="J933" t="str">
        <f t="shared" si="185"/>
        <v>[연재]저승꽃감관</v>
      </c>
      <c r="K933">
        <v>100</v>
      </c>
      <c r="L933">
        <v>700</v>
      </c>
      <c r="M933">
        <v>7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490</v>
      </c>
      <c r="AN933" t="str">
        <f t="shared" si="186"/>
        <v>9791190142502</v>
      </c>
      <c r="AP933" t="str">
        <f t="shared" si="187"/>
        <v>BL 웹소설 &gt; 역사/시대물</v>
      </c>
    </row>
    <row r="934" spans="1:42" x14ac:dyDescent="0.4">
      <c r="A934" t="s">
        <v>43</v>
      </c>
      <c r="B934">
        <v>3822000437</v>
      </c>
      <c r="C934">
        <v>3822000447</v>
      </c>
      <c r="D934" t="str">
        <f>T("[연재]저승꽃감관 11화")</f>
        <v>[연재]저승꽃감관 11화</v>
      </c>
      <c r="E934" t="str">
        <f>T("11")</f>
        <v>11</v>
      </c>
      <c r="F934" t="str">
        <f t="shared" si="184"/>
        <v>에복</v>
      </c>
      <c r="I934" t="str">
        <f t="shared" si="179"/>
        <v>딥블렌드</v>
      </c>
      <c r="J934" t="str">
        <f t="shared" si="185"/>
        <v>[연재]저승꽃감관</v>
      </c>
      <c r="K934">
        <v>100</v>
      </c>
      <c r="L934">
        <v>700</v>
      </c>
      <c r="M934">
        <v>7</v>
      </c>
      <c r="N934">
        <v>0</v>
      </c>
      <c r="O934">
        <v>0</v>
      </c>
      <c r="P934">
        <v>0</v>
      </c>
      <c r="Q934">
        <v>2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490</v>
      </c>
      <c r="AN934" t="str">
        <f t="shared" si="186"/>
        <v>9791190142502</v>
      </c>
      <c r="AP934" t="str">
        <f t="shared" si="187"/>
        <v>BL 웹소설 &gt; 역사/시대물</v>
      </c>
    </row>
    <row r="935" spans="1:42" x14ac:dyDescent="0.4">
      <c r="A935" t="s">
        <v>43</v>
      </c>
      <c r="B935">
        <v>3822000437</v>
      </c>
      <c r="C935">
        <v>3822000546</v>
      </c>
      <c r="D935" t="str">
        <f>T("[연재]저승꽃감관 110화")</f>
        <v>[연재]저승꽃감관 110화</v>
      </c>
      <c r="E935" t="str">
        <f>T("110")</f>
        <v>110</v>
      </c>
      <c r="F935" t="str">
        <f t="shared" si="184"/>
        <v>에복</v>
      </c>
      <c r="I935" t="str">
        <f t="shared" si="179"/>
        <v>딥블렌드</v>
      </c>
      <c r="J935" t="str">
        <f t="shared" si="185"/>
        <v>[연재]저승꽃감관</v>
      </c>
      <c r="K935">
        <v>100</v>
      </c>
      <c r="L935">
        <v>700</v>
      </c>
      <c r="M935">
        <v>7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490</v>
      </c>
      <c r="AN935" t="str">
        <f t="shared" si="186"/>
        <v>9791190142502</v>
      </c>
      <c r="AP935" t="str">
        <f t="shared" si="187"/>
        <v>BL 웹소설 &gt; 역사/시대물</v>
      </c>
    </row>
    <row r="936" spans="1:42" x14ac:dyDescent="0.4">
      <c r="A936" t="s">
        <v>43</v>
      </c>
      <c r="B936">
        <v>3822000437</v>
      </c>
      <c r="C936">
        <v>3822000518</v>
      </c>
      <c r="D936" t="str">
        <f>T("[연재]저승꽃감관 82화")</f>
        <v>[연재]저승꽃감관 82화</v>
      </c>
      <c r="E936" t="str">
        <f>T("82")</f>
        <v>82</v>
      </c>
      <c r="F936" t="str">
        <f t="shared" si="184"/>
        <v>에복</v>
      </c>
      <c r="I936" t="str">
        <f t="shared" si="179"/>
        <v>딥블렌드</v>
      </c>
      <c r="J936" t="str">
        <f t="shared" si="185"/>
        <v>[연재]저승꽃감관</v>
      </c>
      <c r="K936">
        <v>100</v>
      </c>
      <c r="L936">
        <v>700</v>
      </c>
      <c r="M936">
        <v>7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490</v>
      </c>
      <c r="AN936" t="str">
        <f t="shared" si="186"/>
        <v>9791190142502</v>
      </c>
      <c r="AP936" t="str">
        <f t="shared" si="187"/>
        <v>BL 웹소설 &gt; 역사/시대물</v>
      </c>
    </row>
    <row r="937" spans="1:42" x14ac:dyDescent="0.4">
      <c r="A937" t="s">
        <v>43</v>
      </c>
      <c r="B937">
        <v>3822000437</v>
      </c>
      <c r="C937">
        <v>3822000448</v>
      </c>
      <c r="D937" t="str">
        <f>T("[연재]저승꽃감관 12화")</f>
        <v>[연재]저승꽃감관 12화</v>
      </c>
      <c r="E937" t="str">
        <f>T("12")</f>
        <v>12</v>
      </c>
      <c r="F937" t="str">
        <f t="shared" si="184"/>
        <v>에복</v>
      </c>
      <c r="I937" t="str">
        <f t="shared" si="179"/>
        <v>딥블렌드</v>
      </c>
      <c r="J937" t="str">
        <f t="shared" si="185"/>
        <v>[연재]저승꽃감관</v>
      </c>
      <c r="K937">
        <v>100</v>
      </c>
      <c r="L937">
        <v>700</v>
      </c>
      <c r="M937">
        <v>7</v>
      </c>
      <c r="N937">
        <v>0</v>
      </c>
      <c r="O937">
        <v>0</v>
      </c>
      <c r="P937">
        <v>0</v>
      </c>
      <c r="Q937">
        <v>14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490</v>
      </c>
      <c r="AN937" t="str">
        <f t="shared" si="186"/>
        <v>9791190142502</v>
      </c>
      <c r="AP937" t="str">
        <f t="shared" si="187"/>
        <v>BL 웹소설 &gt; 역사/시대물</v>
      </c>
    </row>
    <row r="938" spans="1:42" x14ac:dyDescent="0.4">
      <c r="A938" t="s">
        <v>43</v>
      </c>
      <c r="B938">
        <v>3822000437</v>
      </c>
      <c r="C938">
        <v>3822000505</v>
      </c>
      <c r="D938" t="str">
        <f>T("[연재]저승꽃감관 69화")</f>
        <v>[연재]저승꽃감관 69화</v>
      </c>
      <c r="E938" t="str">
        <f>T("69")</f>
        <v>69</v>
      </c>
      <c r="F938" t="str">
        <f t="shared" si="184"/>
        <v>에복</v>
      </c>
      <c r="I938" t="str">
        <f t="shared" ref="I938:I975" si="188">T("딥블렌드")</f>
        <v>딥블렌드</v>
      </c>
      <c r="J938" t="str">
        <f t="shared" si="185"/>
        <v>[연재]저승꽃감관</v>
      </c>
      <c r="K938">
        <v>100</v>
      </c>
      <c r="L938">
        <v>700</v>
      </c>
      <c r="M938">
        <v>7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490</v>
      </c>
      <c r="AN938" t="str">
        <f t="shared" si="186"/>
        <v>9791190142502</v>
      </c>
      <c r="AP938" t="str">
        <f t="shared" si="187"/>
        <v>BL 웹소설 &gt; 역사/시대물</v>
      </c>
    </row>
    <row r="939" spans="1:42" x14ac:dyDescent="0.4">
      <c r="A939" t="s">
        <v>43</v>
      </c>
      <c r="B939">
        <v>3822000437</v>
      </c>
      <c r="C939">
        <v>3822000548</v>
      </c>
      <c r="D939" t="str">
        <f>T("[연재]저승꽃감관 112화")</f>
        <v>[연재]저승꽃감관 112화</v>
      </c>
      <c r="E939" t="str">
        <f>T("112")</f>
        <v>112</v>
      </c>
      <c r="F939" t="str">
        <f t="shared" si="184"/>
        <v>에복</v>
      </c>
      <c r="I939" t="str">
        <f t="shared" si="188"/>
        <v>딥블렌드</v>
      </c>
      <c r="J939" t="str">
        <f t="shared" si="185"/>
        <v>[연재]저승꽃감관</v>
      </c>
      <c r="K939">
        <v>100</v>
      </c>
      <c r="L939">
        <v>700</v>
      </c>
      <c r="M939">
        <v>7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490</v>
      </c>
      <c r="AN939" t="str">
        <f t="shared" si="186"/>
        <v>9791190142502</v>
      </c>
      <c r="AP939" t="str">
        <f t="shared" si="187"/>
        <v>BL 웹소설 &gt; 역사/시대물</v>
      </c>
    </row>
    <row r="940" spans="1:42" x14ac:dyDescent="0.4">
      <c r="A940" t="s">
        <v>43</v>
      </c>
      <c r="B940">
        <v>3822000437</v>
      </c>
      <c r="C940">
        <v>3822000549</v>
      </c>
      <c r="D940" t="str">
        <f>T("[연재]저승꽃감관 113화")</f>
        <v>[연재]저승꽃감관 113화</v>
      </c>
      <c r="E940" t="str">
        <f>T("113")</f>
        <v>113</v>
      </c>
      <c r="F940" t="str">
        <f t="shared" si="184"/>
        <v>에복</v>
      </c>
      <c r="I940" t="str">
        <f t="shared" si="188"/>
        <v>딥블렌드</v>
      </c>
      <c r="J940" t="str">
        <f t="shared" si="185"/>
        <v>[연재]저승꽃감관</v>
      </c>
      <c r="K940">
        <v>100</v>
      </c>
      <c r="L940">
        <v>700</v>
      </c>
      <c r="M940">
        <v>7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490</v>
      </c>
      <c r="AN940" t="str">
        <f t="shared" si="186"/>
        <v>9791190142502</v>
      </c>
      <c r="AP940" t="str">
        <f t="shared" si="187"/>
        <v>BL 웹소설 &gt; 역사/시대물</v>
      </c>
    </row>
    <row r="941" spans="1:42" x14ac:dyDescent="0.4">
      <c r="A941" t="s">
        <v>43</v>
      </c>
      <c r="B941">
        <v>3822000437</v>
      </c>
      <c r="C941">
        <v>3822000536</v>
      </c>
      <c r="D941" t="str">
        <f>T("[연재]저승꽃감관 100화")</f>
        <v>[연재]저승꽃감관 100화</v>
      </c>
      <c r="E941" t="str">
        <f>T("100")</f>
        <v>100</v>
      </c>
      <c r="F941" t="str">
        <f t="shared" si="184"/>
        <v>에복</v>
      </c>
      <c r="I941" t="str">
        <f t="shared" si="188"/>
        <v>딥블렌드</v>
      </c>
      <c r="J941" t="str">
        <f t="shared" si="185"/>
        <v>[연재]저승꽃감관</v>
      </c>
      <c r="K941">
        <v>100</v>
      </c>
      <c r="L941">
        <v>600</v>
      </c>
      <c r="M941">
        <v>6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420</v>
      </c>
      <c r="AN941" t="str">
        <f t="shared" si="186"/>
        <v>9791190142502</v>
      </c>
      <c r="AP941" t="str">
        <f t="shared" si="187"/>
        <v>BL 웹소설 &gt; 역사/시대물</v>
      </c>
    </row>
    <row r="942" spans="1:42" x14ac:dyDescent="0.4">
      <c r="A942" t="s">
        <v>43</v>
      </c>
      <c r="B942">
        <v>3822000437</v>
      </c>
      <c r="C942">
        <v>3822000537</v>
      </c>
      <c r="D942" t="str">
        <f>T("[연재]저승꽃감관 101화")</f>
        <v>[연재]저승꽃감관 101화</v>
      </c>
      <c r="E942" t="str">
        <f>T("101")</f>
        <v>101</v>
      </c>
      <c r="F942" t="str">
        <f t="shared" si="184"/>
        <v>에복</v>
      </c>
      <c r="I942" t="str">
        <f t="shared" si="188"/>
        <v>딥블렌드</v>
      </c>
      <c r="J942" t="str">
        <f t="shared" si="185"/>
        <v>[연재]저승꽃감관</v>
      </c>
      <c r="K942">
        <v>100</v>
      </c>
      <c r="L942">
        <v>600</v>
      </c>
      <c r="M942">
        <v>6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420</v>
      </c>
      <c r="AN942" t="str">
        <f t="shared" si="186"/>
        <v>9791190142502</v>
      </c>
      <c r="AP942" t="str">
        <f t="shared" si="187"/>
        <v>BL 웹소설 &gt; 역사/시대물</v>
      </c>
    </row>
    <row r="943" spans="1:42" x14ac:dyDescent="0.4">
      <c r="A943" t="s">
        <v>43</v>
      </c>
      <c r="B943">
        <v>3822000437</v>
      </c>
      <c r="C943">
        <v>3822000523</v>
      </c>
      <c r="D943" t="str">
        <f>T("[연재]저승꽃감관 87화")</f>
        <v>[연재]저승꽃감관 87화</v>
      </c>
      <c r="E943" t="str">
        <f>T("87")</f>
        <v>87</v>
      </c>
      <c r="F943" t="str">
        <f t="shared" si="184"/>
        <v>에복</v>
      </c>
      <c r="I943" t="str">
        <f t="shared" si="188"/>
        <v>딥블렌드</v>
      </c>
      <c r="J943" t="str">
        <f t="shared" si="185"/>
        <v>[연재]저승꽃감관</v>
      </c>
      <c r="K943">
        <v>100</v>
      </c>
      <c r="L943">
        <v>600</v>
      </c>
      <c r="M943">
        <v>6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420</v>
      </c>
      <c r="AN943" t="str">
        <f t="shared" si="186"/>
        <v>9791190142502</v>
      </c>
      <c r="AP943" t="str">
        <f t="shared" si="187"/>
        <v>BL 웹소설 &gt; 역사/시대물</v>
      </c>
    </row>
    <row r="944" spans="1:42" x14ac:dyDescent="0.4">
      <c r="A944" t="s">
        <v>43</v>
      </c>
      <c r="B944">
        <v>3822000437</v>
      </c>
      <c r="C944">
        <v>3822000538</v>
      </c>
      <c r="D944" t="str">
        <f>T("[연재]저승꽃감관 102화")</f>
        <v>[연재]저승꽃감관 102화</v>
      </c>
      <c r="E944" t="str">
        <f>T("102")</f>
        <v>102</v>
      </c>
      <c r="F944" t="str">
        <f t="shared" si="184"/>
        <v>에복</v>
      </c>
      <c r="I944" t="str">
        <f t="shared" si="188"/>
        <v>딥블렌드</v>
      </c>
      <c r="J944" t="str">
        <f t="shared" si="185"/>
        <v>[연재]저승꽃감관</v>
      </c>
      <c r="K944">
        <v>100</v>
      </c>
      <c r="L944">
        <v>600</v>
      </c>
      <c r="M944">
        <v>6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420</v>
      </c>
      <c r="AN944" t="str">
        <f t="shared" si="186"/>
        <v>9791190142502</v>
      </c>
      <c r="AP944" t="str">
        <f t="shared" si="187"/>
        <v>BL 웹소설 &gt; 역사/시대물</v>
      </c>
    </row>
    <row r="945" spans="1:42" x14ac:dyDescent="0.4">
      <c r="A945" t="s">
        <v>43</v>
      </c>
      <c r="B945">
        <v>3822000437</v>
      </c>
      <c r="C945">
        <v>3822000510</v>
      </c>
      <c r="D945" t="str">
        <f>T("[연재]저승꽃감관 74화")</f>
        <v>[연재]저승꽃감관 74화</v>
      </c>
      <c r="E945" t="str">
        <f>T("74")</f>
        <v>74</v>
      </c>
      <c r="F945" t="str">
        <f t="shared" ref="F945:F975" si="189">T("에복")</f>
        <v>에복</v>
      </c>
      <c r="I945" t="str">
        <f t="shared" si="188"/>
        <v>딥블렌드</v>
      </c>
      <c r="J945" t="str">
        <f t="shared" ref="J945:J975" si="190">T("[연재]저승꽃감관")</f>
        <v>[연재]저승꽃감관</v>
      </c>
      <c r="K945">
        <v>100</v>
      </c>
      <c r="L945">
        <v>600</v>
      </c>
      <c r="M945">
        <v>6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420</v>
      </c>
      <c r="AN945" t="str">
        <f t="shared" ref="AN945:AN975" si="191">T("9791190142502")</f>
        <v>9791190142502</v>
      </c>
      <c r="AP945" t="str">
        <f t="shared" ref="AP945:AP975" si="192">T("BL 웹소설 &gt; 역사/시대물")</f>
        <v>BL 웹소설 &gt; 역사/시대물</v>
      </c>
    </row>
    <row r="946" spans="1:42" x14ac:dyDescent="0.4">
      <c r="A946" t="s">
        <v>43</v>
      </c>
      <c r="B946">
        <v>3822000437</v>
      </c>
      <c r="C946">
        <v>3822000525</v>
      </c>
      <c r="D946" t="str">
        <f>T("[연재]저승꽃감관 89화")</f>
        <v>[연재]저승꽃감관 89화</v>
      </c>
      <c r="E946" t="str">
        <f>T("89")</f>
        <v>89</v>
      </c>
      <c r="F946" t="str">
        <f t="shared" si="189"/>
        <v>에복</v>
      </c>
      <c r="I946" t="str">
        <f t="shared" si="188"/>
        <v>딥블렌드</v>
      </c>
      <c r="J946" t="str">
        <f t="shared" si="190"/>
        <v>[연재]저승꽃감관</v>
      </c>
      <c r="K946">
        <v>100</v>
      </c>
      <c r="L946">
        <v>600</v>
      </c>
      <c r="M946">
        <v>6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420</v>
      </c>
      <c r="AN946" t="str">
        <f t="shared" si="191"/>
        <v>9791190142502</v>
      </c>
      <c r="AP946" t="str">
        <f t="shared" si="192"/>
        <v>BL 웹소설 &gt; 역사/시대물</v>
      </c>
    </row>
    <row r="947" spans="1:42" x14ac:dyDescent="0.4">
      <c r="A947" t="s">
        <v>43</v>
      </c>
      <c r="B947">
        <v>3822000437</v>
      </c>
      <c r="C947">
        <v>3822000511</v>
      </c>
      <c r="D947" t="str">
        <f>T("[연재]저승꽃감관 75화")</f>
        <v>[연재]저승꽃감관 75화</v>
      </c>
      <c r="E947" t="str">
        <f>T("75")</f>
        <v>75</v>
      </c>
      <c r="F947" t="str">
        <f t="shared" si="189"/>
        <v>에복</v>
      </c>
      <c r="I947" t="str">
        <f t="shared" si="188"/>
        <v>딥블렌드</v>
      </c>
      <c r="J947" t="str">
        <f t="shared" si="190"/>
        <v>[연재]저승꽃감관</v>
      </c>
      <c r="K947">
        <v>100</v>
      </c>
      <c r="L947">
        <v>600</v>
      </c>
      <c r="M947">
        <v>6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420</v>
      </c>
      <c r="AN947" t="str">
        <f t="shared" si="191"/>
        <v>9791190142502</v>
      </c>
      <c r="AP947" t="str">
        <f t="shared" si="192"/>
        <v>BL 웹소설 &gt; 역사/시대물</v>
      </c>
    </row>
    <row r="948" spans="1:42" x14ac:dyDescent="0.4">
      <c r="A948" t="s">
        <v>43</v>
      </c>
      <c r="B948">
        <v>3822000437</v>
      </c>
      <c r="C948">
        <v>3822000497</v>
      </c>
      <c r="D948" t="str">
        <f>T("[연재]저승꽃감관 61화")</f>
        <v>[연재]저승꽃감관 61화</v>
      </c>
      <c r="E948" t="str">
        <f>T("61")</f>
        <v>61</v>
      </c>
      <c r="F948" t="str">
        <f t="shared" si="189"/>
        <v>에복</v>
      </c>
      <c r="I948" t="str">
        <f t="shared" si="188"/>
        <v>딥블렌드</v>
      </c>
      <c r="J948" t="str">
        <f t="shared" si="190"/>
        <v>[연재]저승꽃감관</v>
      </c>
      <c r="K948">
        <v>100</v>
      </c>
      <c r="L948">
        <v>600</v>
      </c>
      <c r="M948">
        <v>6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420</v>
      </c>
      <c r="AN948" t="str">
        <f t="shared" si="191"/>
        <v>9791190142502</v>
      </c>
      <c r="AP948" t="str">
        <f t="shared" si="192"/>
        <v>BL 웹소설 &gt; 역사/시대물</v>
      </c>
    </row>
    <row r="949" spans="1:42" x14ac:dyDescent="0.4">
      <c r="A949" t="s">
        <v>43</v>
      </c>
      <c r="B949">
        <v>3822000437</v>
      </c>
      <c r="C949">
        <v>3822000540</v>
      </c>
      <c r="D949" t="str">
        <f>T("[연재]저승꽃감관 104화")</f>
        <v>[연재]저승꽃감관 104화</v>
      </c>
      <c r="E949" t="str">
        <f>T("104")</f>
        <v>104</v>
      </c>
      <c r="F949" t="str">
        <f t="shared" si="189"/>
        <v>에복</v>
      </c>
      <c r="I949" t="str">
        <f t="shared" si="188"/>
        <v>딥블렌드</v>
      </c>
      <c r="J949" t="str">
        <f t="shared" si="190"/>
        <v>[연재]저승꽃감관</v>
      </c>
      <c r="K949">
        <v>100</v>
      </c>
      <c r="L949">
        <v>600</v>
      </c>
      <c r="M949">
        <v>6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420</v>
      </c>
      <c r="AN949" t="str">
        <f t="shared" si="191"/>
        <v>9791190142502</v>
      </c>
      <c r="AP949" t="str">
        <f t="shared" si="192"/>
        <v>BL 웹소설 &gt; 역사/시대물</v>
      </c>
    </row>
    <row r="950" spans="1:42" x14ac:dyDescent="0.4">
      <c r="A950" t="s">
        <v>43</v>
      </c>
      <c r="B950">
        <v>3822000437</v>
      </c>
      <c r="C950">
        <v>3822000526</v>
      </c>
      <c r="D950" t="str">
        <f>T("[연재]저승꽃감관 90화")</f>
        <v>[연재]저승꽃감관 90화</v>
      </c>
      <c r="E950" t="str">
        <f>T("90")</f>
        <v>90</v>
      </c>
      <c r="F950" t="str">
        <f t="shared" si="189"/>
        <v>에복</v>
      </c>
      <c r="I950" t="str">
        <f t="shared" si="188"/>
        <v>딥블렌드</v>
      </c>
      <c r="J950" t="str">
        <f t="shared" si="190"/>
        <v>[연재]저승꽃감관</v>
      </c>
      <c r="K950">
        <v>100</v>
      </c>
      <c r="L950">
        <v>600</v>
      </c>
      <c r="M950">
        <v>6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420</v>
      </c>
      <c r="AN950" t="str">
        <f t="shared" si="191"/>
        <v>9791190142502</v>
      </c>
      <c r="AP950" t="str">
        <f t="shared" si="192"/>
        <v>BL 웹소설 &gt; 역사/시대물</v>
      </c>
    </row>
    <row r="951" spans="1:42" x14ac:dyDescent="0.4">
      <c r="A951" t="s">
        <v>43</v>
      </c>
      <c r="B951">
        <v>3822000437</v>
      </c>
      <c r="C951">
        <v>3822000498</v>
      </c>
      <c r="D951" t="str">
        <f>T("[연재]저승꽃감관 62화")</f>
        <v>[연재]저승꽃감관 62화</v>
      </c>
      <c r="E951" t="str">
        <f>T("62")</f>
        <v>62</v>
      </c>
      <c r="F951" t="str">
        <f t="shared" si="189"/>
        <v>에복</v>
      </c>
      <c r="I951" t="str">
        <f t="shared" si="188"/>
        <v>딥블렌드</v>
      </c>
      <c r="J951" t="str">
        <f t="shared" si="190"/>
        <v>[연재]저승꽃감관</v>
      </c>
      <c r="K951">
        <v>100</v>
      </c>
      <c r="L951">
        <v>600</v>
      </c>
      <c r="M951">
        <v>6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420</v>
      </c>
      <c r="AN951" t="str">
        <f t="shared" si="191"/>
        <v>9791190142502</v>
      </c>
      <c r="AP951" t="str">
        <f t="shared" si="192"/>
        <v>BL 웹소설 &gt; 역사/시대물</v>
      </c>
    </row>
    <row r="952" spans="1:42" x14ac:dyDescent="0.4">
      <c r="A952" t="s">
        <v>43</v>
      </c>
      <c r="B952">
        <v>3822000437</v>
      </c>
      <c r="C952">
        <v>3822000541</v>
      </c>
      <c r="D952" t="str">
        <f>T("[연재]저승꽃감관 105화")</f>
        <v>[연재]저승꽃감관 105화</v>
      </c>
      <c r="E952" t="str">
        <f>T("105")</f>
        <v>105</v>
      </c>
      <c r="F952" t="str">
        <f t="shared" si="189"/>
        <v>에복</v>
      </c>
      <c r="I952" t="str">
        <f t="shared" si="188"/>
        <v>딥블렌드</v>
      </c>
      <c r="J952" t="str">
        <f t="shared" si="190"/>
        <v>[연재]저승꽃감관</v>
      </c>
      <c r="K952">
        <v>100</v>
      </c>
      <c r="L952">
        <v>600</v>
      </c>
      <c r="M952">
        <v>6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420</v>
      </c>
      <c r="AN952" t="str">
        <f t="shared" si="191"/>
        <v>9791190142502</v>
      </c>
      <c r="AP952" t="str">
        <f t="shared" si="192"/>
        <v>BL 웹소설 &gt; 역사/시대물</v>
      </c>
    </row>
    <row r="953" spans="1:42" x14ac:dyDescent="0.4">
      <c r="A953" t="s">
        <v>43</v>
      </c>
      <c r="B953">
        <v>3822000437</v>
      </c>
      <c r="C953">
        <v>3822000527</v>
      </c>
      <c r="D953" t="str">
        <f>T("[연재]저승꽃감관 91화")</f>
        <v>[연재]저승꽃감관 91화</v>
      </c>
      <c r="E953" t="str">
        <f>T("91")</f>
        <v>91</v>
      </c>
      <c r="F953" t="str">
        <f t="shared" si="189"/>
        <v>에복</v>
      </c>
      <c r="I953" t="str">
        <f t="shared" si="188"/>
        <v>딥블렌드</v>
      </c>
      <c r="J953" t="str">
        <f t="shared" si="190"/>
        <v>[연재]저승꽃감관</v>
      </c>
      <c r="K953">
        <v>100</v>
      </c>
      <c r="L953">
        <v>600</v>
      </c>
      <c r="M953">
        <v>6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420</v>
      </c>
      <c r="AN953" t="str">
        <f t="shared" si="191"/>
        <v>9791190142502</v>
      </c>
      <c r="AP953" t="str">
        <f t="shared" si="192"/>
        <v>BL 웹소설 &gt; 역사/시대물</v>
      </c>
    </row>
    <row r="954" spans="1:42" x14ac:dyDescent="0.4">
      <c r="A954" t="s">
        <v>43</v>
      </c>
      <c r="B954">
        <v>3822000437</v>
      </c>
      <c r="C954">
        <v>3822000513</v>
      </c>
      <c r="D954" t="str">
        <f>T("[연재]저승꽃감관 77화")</f>
        <v>[연재]저승꽃감관 77화</v>
      </c>
      <c r="E954" t="str">
        <f>T("77")</f>
        <v>77</v>
      </c>
      <c r="F954" t="str">
        <f t="shared" si="189"/>
        <v>에복</v>
      </c>
      <c r="I954" t="str">
        <f t="shared" si="188"/>
        <v>딥블렌드</v>
      </c>
      <c r="J954" t="str">
        <f t="shared" si="190"/>
        <v>[연재]저승꽃감관</v>
      </c>
      <c r="K954">
        <v>100</v>
      </c>
      <c r="L954">
        <v>600</v>
      </c>
      <c r="M954">
        <v>6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420</v>
      </c>
      <c r="AN954" t="str">
        <f t="shared" si="191"/>
        <v>9791190142502</v>
      </c>
      <c r="AP954" t="str">
        <f t="shared" si="192"/>
        <v>BL 웹소설 &gt; 역사/시대물</v>
      </c>
    </row>
    <row r="955" spans="1:42" x14ac:dyDescent="0.4">
      <c r="A955" t="s">
        <v>43</v>
      </c>
      <c r="B955">
        <v>3822000437</v>
      </c>
      <c r="C955">
        <v>3822000542</v>
      </c>
      <c r="D955" t="str">
        <f>T("[연재]저승꽃감관 106화")</f>
        <v>[연재]저승꽃감관 106화</v>
      </c>
      <c r="E955" t="str">
        <f>T("106")</f>
        <v>106</v>
      </c>
      <c r="F955" t="str">
        <f t="shared" si="189"/>
        <v>에복</v>
      </c>
      <c r="I955" t="str">
        <f t="shared" si="188"/>
        <v>딥블렌드</v>
      </c>
      <c r="J955" t="str">
        <f t="shared" si="190"/>
        <v>[연재]저승꽃감관</v>
      </c>
      <c r="K955">
        <v>100</v>
      </c>
      <c r="L955">
        <v>600</v>
      </c>
      <c r="M955">
        <v>6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420</v>
      </c>
      <c r="AN955" t="str">
        <f t="shared" si="191"/>
        <v>9791190142502</v>
      </c>
      <c r="AP955" t="str">
        <f t="shared" si="192"/>
        <v>BL 웹소설 &gt; 역사/시대물</v>
      </c>
    </row>
    <row r="956" spans="1:42" x14ac:dyDescent="0.4">
      <c r="A956" t="s">
        <v>43</v>
      </c>
      <c r="B956">
        <v>3822000437</v>
      </c>
      <c r="C956">
        <v>3822000528</v>
      </c>
      <c r="D956" t="str">
        <f>T("[연재]저승꽃감관 92화")</f>
        <v>[연재]저승꽃감관 92화</v>
      </c>
      <c r="E956" t="str">
        <f>T("92")</f>
        <v>92</v>
      </c>
      <c r="F956" t="str">
        <f t="shared" si="189"/>
        <v>에복</v>
      </c>
      <c r="I956" t="str">
        <f t="shared" si="188"/>
        <v>딥블렌드</v>
      </c>
      <c r="J956" t="str">
        <f t="shared" si="190"/>
        <v>[연재]저승꽃감관</v>
      </c>
      <c r="K956">
        <v>100</v>
      </c>
      <c r="L956">
        <v>600</v>
      </c>
      <c r="M956">
        <v>6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420</v>
      </c>
      <c r="AN956" t="str">
        <f t="shared" si="191"/>
        <v>9791190142502</v>
      </c>
      <c r="AP956" t="str">
        <f t="shared" si="192"/>
        <v>BL 웹소설 &gt; 역사/시대물</v>
      </c>
    </row>
    <row r="957" spans="1:42" x14ac:dyDescent="0.4">
      <c r="A957" t="s">
        <v>43</v>
      </c>
      <c r="B957">
        <v>3822000437</v>
      </c>
      <c r="C957">
        <v>3822000543</v>
      </c>
      <c r="D957" t="str">
        <f>T("[연재]저승꽃감관 107화")</f>
        <v>[연재]저승꽃감관 107화</v>
      </c>
      <c r="E957" t="str">
        <f>T("107")</f>
        <v>107</v>
      </c>
      <c r="F957" t="str">
        <f t="shared" si="189"/>
        <v>에복</v>
      </c>
      <c r="I957" t="str">
        <f t="shared" si="188"/>
        <v>딥블렌드</v>
      </c>
      <c r="J957" t="str">
        <f t="shared" si="190"/>
        <v>[연재]저승꽃감관</v>
      </c>
      <c r="K957">
        <v>100</v>
      </c>
      <c r="L957">
        <v>600</v>
      </c>
      <c r="M957">
        <v>6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420</v>
      </c>
      <c r="AN957" t="str">
        <f t="shared" si="191"/>
        <v>9791190142502</v>
      </c>
      <c r="AP957" t="str">
        <f t="shared" si="192"/>
        <v>BL 웹소설 &gt; 역사/시대물</v>
      </c>
    </row>
    <row r="958" spans="1:42" x14ac:dyDescent="0.4">
      <c r="A958" t="s">
        <v>43</v>
      </c>
      <c r="B958">
        <v>3822000437</v>
      </c>
      <c r="C958">
        <v>3822000529</v>
      </c>
      <c r="D958" t="str">
        <f>T("[연재]저승꽃감관 93화")</f>
        <v>[연재]저승꽃감관 93화</v>
      </c>
      <c r="E958" t="str">
        <f>T("93")</f>
        <v>93</v>
      </c>
      <c r="F958" t="str">
        <f t="shared" si="189"/>
        <v>에복</v>
      </c>
      <c r="I958" t="str">
        <f t="shared" si="188"/>
        <v>딥블렌드</v>
      </c>
      <c r="J958" t="str">
        <f t="shared" si="190"/>
        <v>[연재]저승꽃감관</v>
      </c>
      <c r="K958">
        <v>100</v>
      </c>
      <c r="L958">
        <v>600</v>
      </c>
      <c r="M958">
        <v>6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420</v>
      </c>
      <c r="AN958" t="str">
        <f t="shared" si="191"/>
        <v>9791190142502</v>
      </c>
      <c r="AP958" t="str">
        <f t="shared" si="192"/>
        <v>BL 웹소설 &gt; 역사/시대물</v>
      </c>
    </row>
    <row r="959" spans="1:42" x14ac:dyDescent="0.4">
      <c r="A959" t="s">
        <v>43</v>
      </c>
      <c r="B959">
        <v>3822000437</v>
      </c>
      <c r="C959">
        <v>3822000544</v>
      </c>
      <c r="D959" t="str">
        <f>T("[연재]저승꽃감관 108화")</f>
        <v>[연재]저승꽃감관 108화</v>
      </c>
      <c r="E959" t="str">
        <f>T("108")</f>
        <v>108</v>
      </c>
      <c r="F959" t="str">
        <f t="shared" si="189"/>
        <v>에복</v>
      </c>
      <c r="I959" t="str">
        <f t="shared" si="188"/>
        <v>딥블렌드</v>
      </c>
      <c r="J959" t="str">
        <f t="shared" si="190"/>
        <v>[연재]저승꽃감관</v>
      </c>
      <c r="K959">
        <v>100</v>
      </c>
      <c r="L959">
        <v>600</v>
      </c>
      <c r="M959">
        <v>6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420</v>
      </c>
      <c r="AN959" t="str">
        <f t="shared" si="191"/>
        <v>9791190142502</v>
      </c>
      <c r="AP959" t="str">
        <f t="shared" si="192"/>
        <v>BL 웹소설 &gt; 역사/시대물</v>
      </c>
    </row>
    <row r="960" spans="1:42" x14ac:dyDescent="0.4">
      <c r="A960" t="s">
        <v>43</v>
      </c>
      <c r="B960">
        <v>3822000437</v>
      </c>
      <c r="C960">
        <v>3822000530</v>
      </c>
      <c r="D960" t="str">
        <f>T("[연재]저승꽃감관 94화")</f>
        <v>[연재]저승꽃감관 94화</v>
      </c>
      <c r="E960" t="str">
        <f>T("94")</f>
        <v>94</v>
      </c>
      <c r="F960" t="str">
        <f t="shared" si="189"/>
        <v>에복</v>
      </c>
      <c r="I960" t="str">
        <f t="shared" si="188"/>
        <v>딥블렌드</v>
      </c>
      <c r="J960" t="str">
        <f t="shared" si="190"/>
        <v>[연재]저승꽃감관</v>
      </c>
      <c r="K960">
        <v>100</v>
      </c>
      <c r="L960">
        <v>600</v>
      </c>
      <c r="M960">
        <v>6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420</v>
      </c>
      <c r="AN960" t="str">
        <f t="shared" si="191"/>
        <v>9791190142502</v>
      </c>
      <c r="AP960" t="str">
        <f t="shared" si="192"/>
        <v>BL 웹소설 &gt; 역사/시대물</v>
      </c>
    </row>
    <row r="961" spans="1:42" x14ac:dyDescent="0.4">
      <c r="A961" t="s">
        <v>43</v>
      </c>
      <c r="B961">
        <v>3822000437</v>
      </c>
      <c r="C961">
        <v>3822000545</v>
      </c>
      <c r="D961" t="str">
        <f>T("[연재]저승꽃감관 109화")</f>
        <v>[연재]저승꽃감관 109화</v>
      </c>
      <c r="E961" t="str">
        <f>T("109")</f>
        <v>109</v>
      </c>
      <c r="F961" t="str">
        <f t="shared" si="189"/>
        <v>에복</v>
      </c>
      <c r="I961" t="str">
        <f t="shared" si="188"/>
        <v>딥블렌드</v>
      </c>
      <c r="J961" t="str">
        <f t="shared" si="190"/>
        <v>[연재]저승꽃감관</v>
      </c>
      <c r="K961">
        <v>100</v>
      </c>
      <c r="L961">
        <v>600</v>
      </c>
      <c r="M961">
        <v>6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420</v>
      </c>
      <c r="AN961" t="str">
        <f t="shared" si="191"/>
        <v>9791190142502</v>
      </c>
      <c r="AP961" t="str">
        <f t="shared" si="192"/>
        <v>BL 웹소설 &gt; 역사/시대물</v>
      </c>
    </row>
    <row r="962" spans="1:42" x14ac:dyDescent="0.4">
      <c r="A962" t="s">
        <v>43</v>
      </c>
      <c r="B962">
        <v>3822000437</v>
      </c>
      <c r="C962">
        <v>3822000531</v>
      </c>
      <c r="D962" t="str">
        <f>T("[연재]저승꽃감관 95화")</f>
        <v>[연재]저승꽃감관 95화</v>
      </c>
      <c r="E962" t="str">
        <f>T("95")</f>
        <v>95</v>
      </c>
      <c r="F962" t="str">
        <f t="shared" si="189"/>
        <v>에복</v>
      </c>
      <c r="I962" t="str">
        <f t="shared" si="188"/>
        <v>딥블렌드</v>
      </c>
      <c r="J962" t="str">
        <f t="shared" si="190"/>
        <v>[연재]저승꽃감관</v>
      </c>
      <c r="K962">
        <v>100</v>
      </c>
      <c r="L962">
        <v>600</v>
      </c>
      <c r="M962">
        <v>6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420</v>
      </c>
      <c r="AN962" t="str">
        <f t="shared" si="191"/>
        <v>9791190142502</v>
      </c>
      <c r="AP962" t="str">
        <f t="shared" si="192"/>
        <v>BL 웹소설 &gt; 역사/시대물</v>
      </c>
    </row>
    <row r="963" spans="1:42" x14ac:dyDescent="0.4">
      <c r="A963" t="s">
        <v>43</v>
      </c>
      <c r="B963">
        <v>3822000437</v>
      </c>
      <c r="C963">
        <v>3822000503</v>
      </c>
      <c r="D963" t="str">
        <f>T("[연재]저승꽃감관 67화")</f>
        <v>[연재]저승꽃감관 67화</v>
      </c>
      <c r="E963" t="str">
        <f>T("67")</f>
        <v>67</v>
      </c>
      <c r="F963" t="str">
        <f t="shared" si="189"/>
        <v>에복</v>
      </c>
      <c r="I963" t="str">
        <f t="shared" si="188"/>
        <v>딥블렌드</v>
      </c>
      <c r="J963" t="str">
        <f t="shared" si="190"/>
        <v>[연재]저승꽃감관</v>
      </c>
      <c r="K963">
        <v>100</v>
      </c>
      <c r="L963">
        <v>600</v>
      </c>
      <c r="M963">
        <v>6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420</v>
      </c>
      <c r="AN963" t="str">
        <f t="shared" si="191"/>
        <v>9791190142502</v>
      </c>
      <c r="AP963" t="str">
        <f t="shared" si="192"/>
        <v>BL 웹소설 &gt; 역사/시대물</v>
      </c>
    </row>
    <row r="964" spans="1:42" x14ac:dyDescent="0.4">
      <c r="A964" t="s">
        <v>43</v>
      </c>
      <c r="B964">
        <v>3822000437</v>
      </c>
      <c r="C964">
        <v>3822000532</v>
      </c>
      <c r="D964" t="str">
        <f>T("[연재]저승꽃감관 96화")</f>
        <v>[연재]저승꽃감관 96화</v>
      </c>
      <c r="E964" t="str">
        <f>T("96")</f>
        <v>96</v>
      </c>
      <c r="F964" t="str">
        <f t="shared" si="189"/>
        <v>에복</v>
      </c>
      <c r="I964" t="str">
        <f t="shared" si="188"/>
        <v>딥블렌드</v>
      </c>
      <c r="J964" t="str">
        <f t="shared" si="190"/>
        <v>[연재]저승꽃감관</v>
      </c>
      <c r="K964">
        <v>100</v>
      </c>
      <c r="L964">
        <v>600</v>
      </c>
      <c r="M964">
        <v>6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420</v>
      </c>
      <c r="AN964" t="str">
        <f t="shared" si="191"/>
        <v>9791190142502</v>
      </c>
      <c r="AP964" t="str">
        <f t="shared" si="192"/>
        <v>BL 웹소설 &gt; 역사/시대물</v>
      </c>
    </row>
    <row r="965" spans="1:42" x14ac:dyDescent="0.4">
      <c r="A965" t="s">
        <v>43</v>
      </c>
      <c r="B965">
        <v>3822000437</v>
      </c>
      <c r="C965">
        <v>3822000547</v>
      </c>
      <c r="D965" t="str">
        <f>T("[연재]저승꽃감관 111화")</f>
        <v>[연재]저승꽃감관 111화</v>
      </c>
      <c r="E965" t="str">
        <f>T("111")</f>
        <v>111</v>
      </c>
      <c r="F965" t="str">
        <f t="shared" si="189"/>
        <v>에복</v>
      </c>
      <c r="I965" t="str">
        <f t="shared" si="188"/>
        <v>딥블렌드</v>
      </c>
      <c r="J965" t="str">
        <f t="shared" si="190"/>
        <v>[연재]저승꽃감관</v>
      </c>
      <c r="K965">
        <v>100</v>
      </c>
      <c r="L965">
        <v>600</v>
      </c>
      <c r="M965">
        <v>6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420</v>
      </c>
      <c r="AN965" t="str">
        <f t="shared" si="191"/>
        <v>9791190142502</v>
      </c>
      <c r="AP965" t="str">
        <f t="shared" si="192"/>
        <v>BL 웹소설 &gt; 역사/시대물</v>
      </c>
    </row>
    <row r="966" spans="1:42" x14ac:dyDescent="0.4">
      <c r="A966" t="s">
        <v>43</v>
      </c>
      <c r="B966">
        <v>3822000437</v>
      </c>
      <c r="C966">
        <v>3822000533</v>
      </c>
      <c r="D966" t="str">
        <f>T("[연재]저승꽃감관 97화")</f>
        <v>[연재]저승꽃감관 97화</v>
      </c>
      <c r="E966" t="str">
        <f>T("97")</f>
        <v>97</v>
      </c>
      <c r="F966" t="str">
        <f t="shared" si="189"/>
        <v>에복</v>
      </c>
      <c r="I966" t="str">
        <f t="shared" si="188"/>
        <v>딥블렌드</v>
      </c>
      <c r="J966" t="str">
        <f t="shared" si="190"/>
        <v>[연재]저승꽃감관</v>
      </c>
      <c r="K966">
        <v>100</v>
      </c>
      <c r="L966">
        <v>600</v>
      </c>
      <c r="M966">
        <v>6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420</v>
      </c>
      <c r="AN966" t="str">
        <f t="shared" si="191"/>
        <v>9791190142502</v>
      </c>
      <c r="AP966" t="str">
        <f t="shared" si="192"/>
        <v>BL 웹소설 &gt; 역사/시대물</v>
      </c>
    </row>
    <row r="967" spans="1:42" x14ac:dyDescent="0.4">
      <c r="A967" t="s">
        <v>43</v>
      </c>
      <c r="B967">
        <v>3822000437</v>
      </c>
      <c r="C967">
        <v>3822000519</v>
      </c>
      <c r="D967" t="str">
        <f>T("[연재]저승꽃감관 83화")</f>
        <v>[연재]저승꽃감관 83화</v>
      </c>
      <c r="E967" t="str">
        <f>T("83")</f>
        <v>83</v>
      </c>
      <c r="F967" t="str">
        <f t="shared" si="189"/>
        <v>에복</v>
      </c>
      <c r="I967" t="str">
        <f t="shared" si="188"/>
        <v>딥블렌드</v>
      </c>
      <c r="J967" t="str">
        <f t="shared" si="190"/>
        <v>[연재]저승꽃감관</v>
      </c>
      <c r="K967">
        <v>100</v>
      </c>
      <c r="L967">
        <v>600</v>
      </c>
      <c r="M967">
        <v>6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420</v>
      </c>
      <c r="AN967" t="str">
        <f t="shared" si="191"/>
        <v>9791190142502</v>
      </c>
      <c r="AP967" t="str">
        <f t="shared" si="192"/>
        <v>BL 웹소설 &gt; 역사/시대물</v>
      </c>
    </row>
    <row r="968" spans="1:42" x14ac:dyDescent="0.4">
      <c r="A968" t="s">
        <v>43</v>
      </c>
      <c r="B968">
        <v>3822000437</v>
      </c>
      <c r="C968">
        <v>3822000534</v>
      </c>
      <c r="D968" t="str">
        <f>T("[연재]저승꽃감관 98화")</f>
        <v>[연재]저승꽃감관 98화</v>
      </c>
      <c r="E968" t="str">
        <f>T("98")</f>
        <v>98</v>
      </c>
      <c r="F968" t="str">
        <f t="shared" si="189"/>
        <v>에복</v>
      </c>
      <c r="I968" t="str">
        <f t="shared" si="188"/>
        <v>딥블렌드</v>
      </c>
      <c r="J968" t="str">
        <f t="shared" si="190"/>
        <v>[연재]저승꽃감관</v>
      </c>
      <c r="K968">
        <v>100</v>
      </c>
      <c r="L968">
        <v>600</v>
      </c>
      <c r="M968">
        <v>6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420</v>
      </c>
      <c r="AN968" t="str">
        <f t="shared" si="191"/>
        <v>9791190142502</v>
      </c>
      <c r="AP968" t="str">
        <f t="shared" si="192"/>
        <v>BL 웹소설 &gt; 역사/시대물</v>
      </c>
    </row>
    <row r="969" spans="1:42" x14ac:dyDescent="0.4">
      <c r="A969" t="s">
        <v>43</v>
      </c>
      <c r="B969">
        <v>3822000437</v>
      </c>
      <c r="C969">
        <v>3822000506</v>
      </c>
      <c r="D969" t="str">
        <f>T("[연재]저승꽃감관 70화")</f>
        <v>[연재]저승꽃감관 70화</v>
      </c>
      <c r="E969" t="str">
        <f>T("70")</f>
        <v>70</v>
      </c>
      <c r="F969" t="str">
        <f t="shared" si="189"/>
        <v>에복</v>
      </c>
      <c r="I969" t="str">
        <f t="shared" si="188"/>
        <v>딥블렌드</v>
      </c>
      <c r="J969" t="str">
        <f t="shared" si="190"/>
        <v>[연재]저승꽃감관</v>
      </c>
      <c r="K969">
        <v>100</v>
      </c>
      <c r="L969">
        <v>600</v>
      </c>
      <c r="M969">
        <v>6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420</v>
      </c>
      <c r="AN969" t="str">
        <f t="shared" si="191"/>
        <v>9791190142502</v>
      </c>
      <c r="AP969" t="str">
        <f t="shared" si="192"/>
        <v>BL 웹소설 &gt; 역사/시대물</v>
      </c>
    </row>
    <row r="970" spans="1:42" x14ac:dyDescent="0.4">
      <c r="A970" t="s">
        <v>43</v>
      </c>
      <c r="B970">
        <v>3822000437</v>
      </c>
      <c r="C970">
        <v>3822000535</v>
      </c>
      <c r="D970" t="str">
        <f>T("[연재]저승꽃감관 99화")</f>
        <v>[연재]저승꽃감관 99화</v>
      </c>
      <c r="E970" t="str">
        <f>T("99")</f>
        <v>99</v>
      </c>
      <c r="F970" t="str">
        <f t="shared" si="189"/>
        <v>에복</v>
      </c>
      <c r="I970" t="str">
        <f t="shared" si="188"/>
        <v>딥블렌드</v>
      </c>
      <c r="J970" t="str">
        <f t="shared" si="190"/>
        <v>[연재]저승꽃감관</v>
      </c>
      <c r="K970">
        <v>100</v>
      </c>
      <c r="L970">
        <v>600</v>
      </c>
      <c r="M970">
        <v>6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420</v>
      </c>
      <c r="AN970" t="str">
        <f t="shared" si="191"/>
        <v>9791190142502</v>
      </c>
      <c r="AP970" t="str">
        <f t="shared" si="192"/>
        <v>BL 웹소설 &gt; 역사/시대물</v>
      </c>
    </row>
    <row r="971" spans="1:42" x14ac:dyDescent="0.4">
      <c r="A971" t="s">
        <v>43</v>
      </c>
      <c r="B971">
        <v>3822000437</v>
      </c>
      <c r="C971">
        <v>3822000507</v>
      </c>
      <c r="D971" t="str">
        <f>T("[연재]저승꽃감관 71화")</f>
        <v>[연재]저승꽃감관 71화</v>
      </c>
      <c r="E971" t="str">
        <f>T("71")</f>
        <v>71</v>
      </c>
      <c r="F971" t="str">
        <f t="shared" si="189"/>
        <v>에복</v>
      </c>
      <c r="I971" t="str">
        <f t="shared" si="188"/>
        <v>딥블렌드</v>
      </c>
      <c r="J971" t="str">
        <f t="shared" si="190"/>
        <v>[연재]저승꽃감관</v>
      </c>
      <c r="K971">
        <v>100</v>
      </c>
      <c r="L971">
        <v>600</v>
      </c>
      <c r="M971">
        <v>6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420</v>
      </c>
      <c r="AN971" t="str">
        <f t="shared" si="191"/>
        <v>9791190142502</v>
      </c>
      <c r="AP971" t="str">
        <f t="shared" si="192"/>
        <v>BL 웹소설 &gt; 역사/시대물</v>
      </c>
    </row>
    <row r="972" spans="1:42" x14ac:dyDescent="0.4">
      <c r="A972" t="s">
        <v>43</v>
      </c>
      <c r="B972">
        <v>3822000437</v>
      </c>
      <c r="C972">
        <v>3822000539</v>
      </c>
      <c r="D972" t="str">
        <f>T("[연재]저승꽃감관 103화")</f>
        <v>[연재]저승꽃감관 103화</v>
      </c>
      <c r="E972" t="str">
        <f>T("103")</f>
        <v>103</v>
      </c>
      <c r="F972" t="str">
        <f t="shared" si="189"/>
        <v>에복</v>
      </c>
      <c r="I972" t="str">
        <f t="shared" si="188"/>
        <v>딥블렌드</v>
      </c>
      <c r="J972" t="str">
        <f t="shared" si="190"/>
        <v>[연재]저승꽃감관</v>
      </c>
      <c r="K972">
        <v>100</v>
      </c>
      <c r="L972">
        <v>400</v>
      </c>
      <c r="M972">
        <v>4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280</v>
      </c>
      <c r="AN972" t="str">
        <f t="shared" si="191"/>
        <v>9791190142502</v>
      </c>
      <c r="AP972" t="str">
        <f t="shared" si="192"/>
        <v>BL 웹소설 &gt; 역사/시대물</v>
      </c>
    </row>
    <row r="973" spans="1:42" x14ac:dyDescent="0.4">
      <c r="A973" t="s">
        <v>43</v>
      </c>
      <c r="B973">
        <v>3822000437</v>
      </c>
      <c r="C973">
        <v>3822000441</v>
      </c>
      <c r="D973" t="str">
        <f>T("[연재]저승꽃감관 5화")</f>
        <v>[연재]저승꽃감관 5화</v>
      </c>
      <c r="E973" t="str">
        <f>T("5")</f>
        <v>5</v>
      </c>
      <c r="F973" t="str">
        <f t="shared" si="189"/>
        <v>에복</v>
      </c>
      <c r="I973" t="str">
        <f t="shared" si="188"/>
        <v>딥블렌드</v>
      </c>
      <c r="J973" t="str">
        <f t="shared" si="190"/>
        <v>[연재]저승꽃감관</v>
      </c>
      <c r="K973">
        <v>100</v>
      </c>
      <c r="L973">
        <v>400</v>
      </c>
      <c r="M973">
        <v>4</v>
      </c>
      <c r="N973">
        <v>0</v>
      </c>
      <c r="O973">
        <v>0</v>
      </c>
      <c r="P973">
        <v>0</v>
      </c>
      <c r="Q973">
        <v>58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280</v>
      </c>
      <c r="AN973" t="str">
        <f t="shared" si="191"/>
        <v>9791190142502</v>
      </c>
      <c r="AP973" t="str">
        <f t="shared" si="192"/>
        <v>BL 웹소설 &gt; 역사/시대물</v>
      </c>
    </row>
    <row r="974" spans="1:42" x14ac:dyDescent="0.4">
      <c r="A974" t="s">
        <v>43</v>
      </c>
      <c r="B974">
        <v>3822000437</v>
      </c>
      <c r="C974">
        <v>3822000442</v>
      </c>
      <c r="D974" t="str">
        <f>T("[연재]저승꽃감관 6화")</f>
        <v>[연재]저승꽃감관 6화</v>
      </c>
      <c r="E974" t="str">
        <f>T("6")</f>
        <v>6</v>
      </c>
      <c r="F974" t="str">
        <f t="shared" si="189"/>
        <v>에복</v>
      </c>
      <c r="I974" t="str">
        <f t="shared" si="188"/>
        <v>딥블렌드</v>
      </c>
      <c r="J974" t="str">
        <f t="shared" si="190"/>
        <v>[연재]저승꽃감관</v>
      </c>
      <c r="K974">
        <v>100</v>
      </c>
      <c r="L974">
        <v>400</v>
      </c>
      <c r="M974">
        <v>4</v>
      </c>
      <c r="N974">
        <v>0</v>
      </c>
      <c r="O974">
        <v>0</v>
      </c>
      <c r="P974">
        <v>0</v>
      </c>
      <c r="Q974">
        <v>58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280</v>
      </c>
      <c r="AN974" t="str">
        <f t="shared" si="191"/>
        <v>9791190142502</v>
      </c>
      <c r="AP974" t="str">
        <f t="shared" si="192"/>
        <v>BL 웹소설 &gt; 역사/시대물</v>
      </c>
    </row>
    <row r="975" spans="1:42" x14ac:dyDescent="0.4">
      <c r="A975" t="s">
        <v>43</v>
      </c>
      <c r="B975">
        <v>3822000437</v>
      </c>
      <c r="C975">
        <v>3822000443</v>
      </c>
      <c r="D975" t="str">
        <f>T("[연재]저승꽃감관 7화")</f>
        <v>[연재]저승꽃감관 7화</v>
      </c>
      <c r="E975" t="str">
        <f>T("7")</f>
        <v>7</v>
      </c>
      <c r="F975" t="str">
        <f t="shared" si="189"/>
        <v>에복</v>
      </c>
      <c r="I975" t="str">
        <f t="shared" si="188"/>
        <v>딥블렌드</v>
      </c>
      <c r="J975" t="str">
        <f t="shared" si="190"/>
        <v>[연재]저승꽃감관</v>
      </c>
      <c r="K975">
        <v>100</v>
      </c>
      <c r="L975">
        <v>400</v>
      </c>
      <c r="M975">
        <v>4</v>
      </c>
      <c r="N975">
        <v>0</v>
      </c>
      <c r="O975">
        <v>100</v>
      </c>
      <c r="P975">
        <v>1</v>
      </c>
      <c r="Q975">
        <v>55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350</v>
      </c>
      <c r="AN975" t="str">
        <f t="shared" si="191"/>
        <v>9791190142502</v>
      </c>
      <c r="AP975" t="str">
        <f t="shared" si="192"/>
        <v>BL 웹소설 &gt; 역사/시대물</v>
      </c>
    </row>
    <row r="976" spans="1:42" x14ac:dyDescent="0.4">
      <c r="A976" t="s">
        <v>43</v>
      </c>
      <c r="B976">
        <v>3822000060</v>
      </c>
      <c r="C976">
        <v>3822000086</v>
      </c>
      <c r="D976" t="str">
        <f>T("[연재]화산신마 완전판 27화")</f>
        <v>[연재]화산신마 완전판 27화</v>
      </c>
      <c r="E976" t="str">
        <f>T("27")</f>
        <v>27</v>
      </c>
      <c r="F976" t="str">
        <f>T("월영신")</f>
        <v>월영신</v>
      </c>
      <c r="I976" t="str">
        <f>T("레벨플러스")</f>
        <v>레벨플러스</v>
      </c>
      <c r="J976" t="str">
        <f>T("[연재]화산신마 완전판")</f>
        <v>[연재]화산신마 완전판</v>
      </c>
      <c r="K976">
        <v>100</v>
      </c>
      <c r="L976">
        <v>200</v>
      </c>
      <c r="M976">
        <v>2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140</v>
      </c>
      <c r="AN976" t="str">
        <f>T("9791190142168")</f>
        <v>9791190142168</v>
      </c>
      <c r="AP976" t="str">
        <f>T("판타지 웹소설 &gt; 무협 소설")</f>
        <v>판타지 웹소설 &gt; 무협 소설</v>
      </c>
    </row>
    <row r="977" spans="1:42" x14ac:dyDescent="0.4">
      <c r="A977" t="s">
        <v>43</v>
      </c>
      <c r="B977">
        <v>3822000060</v>
      </c>
      <c r="C977">
        <v>3822000087</v>
      </c>
      <c r="D977" t="str">
        <f>T("[연재]화산신마 완전판 28화")</f>
        <v>[연재]화산신마 완전판 28화</v>
      </c>
      <c r="E977" t="str">
        <f>T("28")</f>
        <v>28</v>
      </c>
      <c r="F977" t="str">
        <f>T("월영신")</f>
        <v>월영신</v>
      </c>
      <c r="I977" t="str">
        <f>T("레벨플러스")</f>
        <v>레벨플러스</v>
      </c>
      <c r="J977" t="str">
        <f>T("[연재]화산신마 완전판")</f>
        <v>[연재]화산신마 완전판</v>
      </c>
      <c r="K977">
        <v>100</v>
      </c>
      <c r="L977">
        <v>200</v>
      </c>
      <c r="M977">
        <v>2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140</v>
      </c>
      <c r="AN977" t="str">
        <f>T("9791190142168")</f>
        <v>9791190142168</v>
      </c>
      <c r="AP977" t="str">
        <f>T("판타지 웹소설 &gt; 무협 소설")</f>
        <v>판타지 웹소설 &gt; 무협 소설</v>
      </c>
    </row>
    <row r="978" spans="1:42" x14ac:dyDescent="0.4">
      <c r="A978" t="s">
        <v>43</v>
      </c>
      <c r="B978">
        <v>3822000060</v>
      </c>
      <c r="C978">
        <v>3822000088</v>
      </c>
      <c r="D978" t="str">
        <f>T("[연재]화산신마 완전판 29화")</f>
        <v>[연재]화산신마 완전판 29화</v>
      </c>
      <c r="E978" t="str">
        <f>T("29")</f>
        <v>29</v>
      </c>
      <c r="F978" t="str">
        <f>T("월영신")</f>
        <v>월영신</v>
      </c>
      <c r="I978" t="str">
        <f>T("레벨플러스")</f>
        <v>레벨플러스</v>
      </c>
      <c r="J978" t="str">
        <f>T("[연재]화산신마 완전판")</f>
        <v>[연재]화산신마 완전판</v>
      </c>
      <c r="K978">
        <v>100</v>
      </c>
      <c r="L978">
        <v>200</v>
      </c>
      <c r="M978">
        <v>2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140</v>
      </c>
      <c r="AN978" t="str">
        <f>T("9791190142168")</f>
        <v>9791190142168</v>
      </c>
      <c r="AP978" t="str">
        <f>T("판타지 웹소설 &gt; 무협 소설")</f>
        <v>판타지 웹소설 &gt; 무협 소설</v>
      </c>
    </row>
    <row r="979" spans="1:42" x14ac:dyDescent="0.4">
      <c r="A979" t="s">
        <v>43</v>
      </c>
      <c r="B979">
        <v>3822000437</v>
      </c>
      <c r="C979">
        <v>3822000440</v>
      </c>
      <c r="D979" t="str">
        <f>T("[연재]저승꽃감관 4화")</f>
        <v>[연재]저승꽃감관 4화</v>
      </c>
      <c r="E979" t="str">
        <f>T("4")</f>
        <v>4</v>
      </c>
      <c r="F979" t="str">
        <f>T("에복")</f>
        <v>에복</v>
      </c>
      <c r="I979" t="str">
        <f>T("딥블렌드")</f>
        <v>딥블렌드</v>
      </c>
      <c r="J979" t="str">
        <f>T("[연재]저승꽃감관")</f>
        <v>[연재]저승꽃감관</v>
      </c>
      <c r="K979">
        <v>100</v>
      </c>
      <c r="L979">
        <v>200</v>
      </c>
      <c r="M979">
        <v>2</v>
      </c>
      <c r="N979">
        <v>0</v>
      </c>
      <c r="O979">
        <v>0</v>
      </c>
      <c r="P979">
        <v>0</v>
      </c>
      <c r="Q979">
        <v>52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140</v>
      </c>
      <c r="AN979" t="str">
        <f>T("9791190142502")</f>
        <v>9791190142502</v>
      </c>
      <c r="AP979" t="str">
        <f>T("BL 웹소설 &gt; 역사/시대물")</f>
        <v>BL 웹소설 &gt; 역사/시대물</v>
      </c>
    </row>
    <row r="980" spans="1:42" x14ac:dyDescent="0.4">
      <c r="A980" t="s">
        <v>43</v>
      </c>
      <c r="B980">
        <v>3822000060</v>
      </c>
      <c r="C980">
        <v>3822000089</v>
      </c>
      <c r="D980" t="str">
        <f>T("[연재]화산신마 완전판 30화")</f>
        <v>[연재]화산신마 완전판 30화</v>
      </c>
      <c r="E980" t="str">
        <f>T("30")</f>
        <v>30</v>
      </c>
      <c r="F980" t="str">
        <f t="shared" ref="F980:F1001" si="193">T("월영신")</f>
        <v>월영신</v>
      </c>
      <c r="I980" t="str">
        <f t="shared" ref="I980:I1001" si="194">T("레벨플러스")</f>
        <v>레벨플러스</v>
      </c>
      <c r="J980" t="str">
        <f t="shared" ref="J980:J1001" si="195">T("[연재]화산신마 완전판")</f>
        <v>[연재]화산신마 완전판</v>
      </c>
      <c r="K980">
        <v>100</v>
      </c>
      <c r="L980">
        <v>200</v>
      </c>
      <c r="M980">
        <v>2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140</v>
      </c>
      <c r="AN980" t="str">
        <f t="shared" ref="AN980:AN1001" si="196">T("9791190142168")</f>
        <v>9791190142168</v>
      </c>
      <c r="AP980" t="str">
        <f t="shared" ref="AP980:AP1001" si="197">T("판타지 웹소설 &gt; 무협 소설")</f>
        <v>판타지 웹소설 &gt; 무협 소설</v>
      </c>
    </row>
    <row r="981" spans="1:42" x14ac:dyDescent="0.4">
      <c r="A981" t="s">
        <v>43</v>
      </c>
      <c r="B981">
        <v>3822000060</v>
      </c>
      <c r="C981">
        <v>3822000090</v>
      </c>
      <c r="D981" t="str">
        <f>T("[연재]화산신마 완전판 31화")</f>
        <v>[연재]화산신마 완전판 31화</v>
      </c>
      <c r="E981" t="str">
        <f>T("31")</f>
        <v>31</v>
      </c>
      <c r="F981" t="str">
        <f t="shared" si="193"/>
        <v>월영신</v>
      </c>
      <c r="I981" t="str">
        <f t="shared" si="194"/>
        <v>레벨플러스</v>
      </c>
      <c r="J981" t="str">
        <f t="shared" si="195"/>
        <v>[연재]화산신마 완전판</v>
      </c>
      <c r="K981">
        <v>100</v>
      </c>
      <c r="L981">
        <v>200</v>
      </c>
      <c r="M981">
        <v>2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140</v>
      </c>
      <c r="AN981" t="str">
        <f t="shared" si="196"/>
        <v>9791190142168</v>
      </c>
      <c r="AP981" t="str">
        <f t="shared" si="197"/>
        <v>판타지 웹소설 &gt; 무협 소설</v>
      </c>
    </row>
    <row r="982" spans="1:42" x14ac:dyDescent="0.4">
      <c r="A982" t="s">
        <v>43</v>
      </c>
      <c r="B982">
        <v>3822000060</v>
      </c>
      <c r="C982">
        <v>3822000091</v>
      </c>
      <c r="D982" t="str">
        <f>T("[연재]화산신마 완전판 32화")</f>
        <v>[연재]화산신마 완전판 32화</v>
      </c>
      <c r="E982" t="str">
        <f>T("32")</f>
        <v>32</v>
      </c>
      <c r="F982" t="str">
        <f t="shared" si="193"/>
        <v>월영신</v>
      </c>
      <c r="I982" t="str">
        <f t="shared" si="194"/>
        <v>레벨플러스</v>
      </c>
      <c r="J982" t="str">
        <f t="shared" si="195"/>
        <v>[연재]화산신마 완전판</v>
      </c>
      <c r="K982">
        <v>100</v>
      </c>
      <c r="L982">
        <v>200</v>
      </c>
      <c r="M982">
        <v>2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140</v>
      </c>
      <c r="AN982" t="str">
        <f t="shared" si="196"/>
        <v>9791190142168</v>
      </c>
      <c r="AP982" t="str">
        <f t="shared" si="197"/>
        <v>판타지 웹소설 &gt; 무협 소설</v>
      </c>
    </row>
    <row r="983" spans="1:42" x14ac:dyDescent="0.4">
      <c r="A983" t="s">
        <v>43</v>
      </c>
      <c r="B983">
        <v>3822000060</v>
      </c>
      <c r="C983">
        <v>3822000092</v>
      </c>
      <c r="D983" t="str">
        <f>T("[연재]화산신마 완전판 33화")</f>
        <v>[연재]화산신마 완전판 33화</v>
      </c>
      <c r="E983" t="str">
        <f>T("33")</f>
        <v>33</v>
      </c>
      <c r="F983" t="str">
        <f t="shared" si="193"/>
        <v>월영신</v>
      </c>
      <c r="I983" t="str">
        <f t="shared" si="194"/>
        <v>레벨플러스</v>
      </c>
      <c r="J983" t="str">
        <f t="shared" si="195"/>
        <v>[연재]화산신마 완전판</v>
      </c>
      <c r="K983">
        <v>100</v>
      </c>
      <c r="L983">
        <v>200</v>
      </c>
      <c r="M983">
        <v>2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140</v>
      </c>
      <c r="AN983" t="str">
        <f t="shared" si="196"/>
        <v>9791190142168</v>
      </c>
      <c r="AP983" t="str">
        <f t="shared" si="197"/>
        <v>판타지 웹소설 &gt; 무협 소설</v>
      </c>
    </row>
    <row r="984" spans="1:42" x14ac:dyDescent="0.4">
      <c r="A984" t="s">
        <v>43</v>
      </c>
      <c r="B984">
        <v>3822000060</v>
      </c>
      <c r="C984">
        <v>3822000093</v>
      </c>
      <c r="D984" t="str">
        <f>T("[연재]화산신마 완전판 34화")</f>
        <v>[연재]화산신마 완전판 34화</v>
      </c>
      <c r="E984" t="str">
        <f>T("34")</f>
        <v>34</v>
      </c>
      <c r="F984" t="str">
        <f t="shared" si="193"/>
        <v>월영신</v>
      </c>
      <c r="I984" t="str">
        <f t="shared" si="194"/>
        <v>레벨플러스</v>
      </c>
      <c r="J984" t="str">
        <f t="shared" si="195"/>
        <v>[연재]화산신마 완전판</v>
      </c>
      <c r="K984">
        <v>100</v>
      </c>
      <c r="L984">
        <v>200</v>
      </c>
      <c r="M984">
        <v>2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140</v>
      </c>
      <c r="AN984" t="str">
        <f t="shared" si="196"/>
        <v>9791190142168</v>
      </c>
      <c r="AP984" t="str">
        <f t="shared" si="197"/>
        <v>판타지 웹소설 &gt; 무협 소설</v>
      </c>
    </row>
    <row r="985" spans="1:42" x14ac:dyDescent="0.4">
      <c r="A985" t="s">
        <v>43</v>
      </c>
      <c r="B985">
        <v>3822000060</v>
      </c>
      <c r="C985">
        <v>3822000094</v>
      </c>
      <c r="D985" t="str">
        <f>T("[연재]화산신마 완전판 35화")</f>
        <v>[연재]화산신마 완전판 35화</v>
      </c>
      <c r="E985" t="str">
        <f>T("35")</f>
        <v>35</v>
      </c>
      <c r="F985" t="str">
        <f t="shared" si="193"/>
        <v>월영신</v>
      </c>
      <c r="I985" t="str">
        <f t="shared" si="194"/>
        <v>레벨플러스</v>
      </c>
      <c r="J985" t="str">
        <f t="shared" si="195"/>
        <v>[연재]화산신마 완전판</v>
      </c>
      <c r="K985">
        <v>100</v>
      </c>
      <c r="L985">
        <v>200</v>
      </c>
      <c r="M985">
        <v>2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140</v>
      </c>
      <c r="AN985" t="str">
        <f t="shared" si="196"/>
        <v>9791190142168</v>
      </c>
      <c r="AP985" t="str">
        <f t="shared" si="197"/>
        <v>판타지 웹소설 &gt; 무협 소설</v>
      </c>
    </row>
    <row r="986" spans="1:42" x14ac:dyDescent="0.4">
      <c r="A986" t="s">
        <v>43</v>
      </c>
      <c r="B986">
        <v>3822000060</v>
      </c>
      <c r="C986">
        <v>3822000095</v>
      </c>
      <c r="D986" t="str">
        <f>T("[연재]화산신마 완전판 36화")</f>
        <v>[연재]화산신마 완전판 36화</v>
      </c>
      <c r="E986" t="str">
        <f>T("36")</f>
        <v>36</v>
      </c>
      <c r="F986" t="str">
        <f t="shared" si="193"/>
        <v>월영신</v>
      </c>
      <c r="I986" t="str">
        <f t="shared" si="194"/>
        <v>레벨플러스</v>
      </c>
      <c r="J986" t="str">
        <f t="shared" si="195"/>
        <v>[연재]화산신마 완전판</v>
      </c>
      <c r="K986">
        <v>100</v>
      </c>
      <c r="L986">
        <v>200</v>
      </c>
      <c r="M986">
        <v>2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140</v>
      </c>
      <c r="AN986" t="str">
        <f t="shared" si="196"/>
        <v>9791190142168</v>
      </c>
      <c r="AP986" t="str">
        <f t="shared" si="197"/>
        <v>판타지 웹소설 &gt; 무협 소설</v>
      </c>
    </row>
    <row r="987" spans="1:42" x14ac:dyDescent="0.4">
      <c r="A987" t="s">
        <v>43</v>
      </c>
      <c r="B987">
        <v>3822000060</v>
      </c>
      <c r="C987">
        <v>3822000085</v>
      </c>
      <c r="D987" t="str">
        <f>T("[연재]화산신마 완전판 26화")</f>
        <v>[연재]화산신마 완전판 26화</v>
      </c>
      <c r="E987" t="str">
        <f>T("26")</f>
        <v>26</v>
      </c>
      <c r="F987" t="str">
        <f t="shared" si="193"/>
        <v>월영신</v>
      </c>
      <c r="I987" t="str">
        <f t="shared" si="194"/>
        <v>레벨플러스</v>
      </c>
      <c r="J987" t="str">
        <f t="shared" si="195"/>
        <v>[연재]화산신마 완전판</v>
      </c>
      <c r="K987">
        <v>100</v>
      </c>
      <c r="L987">
        <v>200</v>
      </c>
      <c r="M987">
        <v>2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140</v>
      </c>
      <c r="AN987" t="str">
        <f t="shared" si="196"/>
        <v>9791190142168</v>
      </c>
      <c r="AP987" t="str">
        <f t="shared" si="197"/>
        <v>판타지 웹소설 &gt; 무협 소설</v>
      </c>
    </row>
    <row r="988" spans="1:42" x14ac:dyDescent="0.4">
      <c r="A988" t="s">
        <v>43</v>
      </c>
      <c r="B988">
        <v>3822000060</v>
      </c>
      <c r="C988">
        <v>3822000100</v>
      </c>
      <c r="D988" t="str">
        <f>T("[연재]화산신마 완전판 41화")</f>
        <v>[연재]화산신마 완전판 41화</v>
      </c>
      <c r="E988" t="str">
        <f>T("41")</f>
        <v>41</v>
      </c>
      <c r="F988" t="str">
        <f t="shared" si="193"/>
        <v>월영신</v>
      </c>
      <c r="I988" t="str">
        <f t="shared" si="194"/>
        <v>레벨플러스</v>
      </c>
      <c r="J988" t="str">
        <f t="shared" si="195"/>
        <v>[연재]화산신마 완전판</v>
      </c>
      <c r="K988">
        <v>100</v>
      </c>
      <c r="L988">
        <v>100</v>
      </c>
      <c r="M988">
        <v>1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70</v>
      </c>
      <c r="AN988" t="str">
        <f t="shared" si="196"/>
        <v>9791190142168</v>
      </c>
      <c r="AP988" t="str">
        <f t="shared" si="197"/>
        <v>판타지 웹소설 &gt; 무협 소설</v>
      </c>
    </row>
    <row r="989" spans="1:42" x14ac:dyDescent="0.4">
      <c r="A989" t="s">
        <v>43</v>
      </c>
      <c r="B989">
        <v>3822000060</v>
      </c>
      <c r="C989">
        <v>3822000101</v>
      </c>
      <c r="D989" t="str">
        <f>T("[연재]화산신마 완전판 42화")</f>
        <v>[연재]화산신마 완전판 42화</v>
      </c>
      <c r="E989" t="str">
        <f>T("42")</f>
        <v>42</v>
      </c>
      <c r="F989" t="str">
        <f t="shared" si="193"/>
        <v>월영신</v>
      </c>
      <c r="I989" t="str">
        <f t="shared" si="194"/>
        <v>레벨플러스</v>
      </c>
      <c r="J989" t="str">
        <f t="shared" si="195"/>
        <v>[연재]화산신마 완전판</v>
      </c>
      <c r="K989">
        <v>100</v>
      </c>
      <c r="L989">
        <v>100</v>
      </c>
      <c r="M989">
        <v>1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70</v>
      </c>
      <c r="AN989" t="str">
        <f t="shared" si="196"/>
        <v>9791190142168</v>
      </c>
      <c r="AP989" t="str">
        <f t="shared" si="197"/>
        <v>판타지 웹소설 &gt; 무협 소설</v>
      </c>
    </row>
    <row r="990" spans="1:42" x14ac:dyDescent="0.4">
      <c r="A990" t="s">
        <v>43</v>
      </c>
      <c r="B990">
        <v>3822000060</v>
      </c>
      <c r="C990">
        <v>3822000102</v>
      </c>
      <c r="D990" t="str">
        <f>T("[연재]화산신마 완전판 43화")</f>
        <v>[연재]화산신마 완전판 43화</v>
      </c>
      <c r="E990" t="str">
        <f>T("43")</f>
        <v>43</v>
      </c>
      <c r="F990" t="str">
        <f t="shared" si="193"/>
        <v>월영신</v>
      </c>
      <c r="I990" t="str">
        <f t="shared" si="194"/>
        <v>레벨플러스</v>
      </c>
      <c r="J990" t="str">
        <f t="shared" si="195"/>
        <v>[연재]화산신마 완전판</v>
      </c>
      <c r="K990">
        <v>100</v>
      </c>
      <c r="L990">
        <v>100</v>
      </c>
      <c r="M990">
        <v>1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70</v>
      </c>
      <c r="AN990" t="str">
        <f t="shared" si="196"/>
        <v>9791190142168</v>
      </c>
      <c r="AP990" t="str">
        <f t="shared" si="197"/>
        <v>판타지 웹소설 &gt; 무협 소설</v>
      </c>
    </row>
    <row r="991" spans="1:42" x14ac:dyDescent="0.4">
      <c r="A991" t="s">
        <v>43</v>
      </c>
      <c r="B991">
        <v>3822000060</v>
      </c>
      <c r="C991">
        <v>3822000103</v>
      </c>
      <c r="D991" t="str">
        <f>T("[연재]화산신마 완전판 44화")</f>
        <v>[연재]화산신마 완전판 44화</v>
      </c>
      <c r="E991" t="str">
        <f>T("44")</f>
        <v>44</v>
      </c>
      <c r="F991" t="str">
        <f t="shared" si="193"/>
        <v>월영신</v>
      </c>
      <c r="I991" t="str">
        <f t="shared" si="194"/>
        <v>레벨플러스</v>
      </c>
      <c r="J991" t="str">
        <f t="shared" si="195"/>
        <v>[연재]화산신마 완전판</v>
      </c>
      <c r="K991">
        <v>100</v>
      </c>
      <c r="L991">
        <v>100</v>
      </c>
      <c r="M991">
        <v>1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70</v>
      </c>
      <c r="AN991" t="str">
        <f t="shared" si="196"/>
        <v>9791190142168</v>
      </c>
      <c r="AP991" t="str">
        <f t="shared" si="197"/>
        <v>판타지 웹소설 &gt; 무협 소설</v>
      </c>
    </row>
    <row r="992" spans="1:42" x14ac:dyDescent="0.4">
      <c r="A992" t="s">
        <v>43</v>
      </c>
      <c r="B992">
        <v>3822000060</v>
      </c>
      <c r="C992">
        <v>3822000104</v>
      </c>
      <c r="D992" t="str">
        <f>T("[연재]화산신마 완전판 45화")</f>
        <v>[연재]화산신마 완전판 45화</v>
      </c>
      <c r="E992" t="str">
        <f>T("45")</f>
        <v>45</v>
      </c>
      <c r="F992" t="str">
        <f t="shared" si="193"/>
        <v>월영신</v>
      </c>
      <c r="I992" t="str">
        <f t="shared" si="194"/>
        <v>레벨플러스</v>
      </c>
      <c r="J992" t="str">
        <f t="shared" si="195"/>
        <v>[연재]화산신마 완전판</v>
      </c>
      <c r="K992">
        <v>100</v>
      </c>
      <c r="L992">
        <v>100</v>
      </c>
      <c r="M992">
        <v>1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70</v>
      </c>
      <c r="AN992" t="str">
        <f t="shared" si="196"/>
        <v>9791190142168</v>
      </c>
      <c r="AP992" t="str">
        <f t="shared" si="197"/>
        <v>판타지 웹소설 &gt; 무협 소설</v>
      </c>
    </row>
    <row r="993" spans="1:43" x14ac:dyDescent="0.4">
      <c r="A993" t="s">
        <v>43</v>
      </c>
      <c r="B993">
        <v>3822000060</v>
      </c>
      <c r="C993">
        <v>3822000105</v>
      </c>
      <c r="D993" t="str">
        <f>T("[연재]화산신마 완전판 46화")</f>
        <v>[연재]화산신마 완전판 46화</v>
      </c>
      <c r="E993" t="str">
        <f>T("46")</f>
        <v>46</v>
      </c>
      <c r="F993" t="str">
        <f t="shared" si="193"/>
        <v>월영신</v>
      </c>
      <c r="I993" t="str">
        <f t="shared" si="194"/>
        <v>레벨플러스</v>
      </c>
      <c r="J993" t="str">
        <f t="shared" si="195"/>
        <v>[연재]화산신마 완전판</v>
      </c>
      <c r="K993">
        <v>100</v>
      </c>
      <c r="L993">
        <v>100</v>
      </c>
      <c r="M993">
        <v>1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70</v>
      </c>
      <c r="AN993" t="str">
        <f t="shared" si="196"/>
        <v>9791190142168</v>
      </c>
      <c r="AP993" t="str">
        <f t="shared" si="197"/>
        <v>판타지 웹소설 &gt; 무협 소설</v>
      </c>
    </row>
    <row r="994" spans="1:43" x14ac:dyDescent="0.4">
      <c r="A994" t="s">
        <v>43</v>
      </c>
      <c r="B994">
        <v>3822000060</v>
      </c>
      <c r="C994">
        <v>3822000106</v>
      </c>
      <c r="D994" t="str">
        <f>T("[연재]화산신마 완전판 47화")</f>
        <v>[연재]화산신마 완전판 47화</v>
      </c>
      <c r="E994" t="str">
        <f>T("47")</f>
        <v>47</v>
      </c>
      <c r="F994" t="str">
        <f t="shared" si="193"/>
        <v>월영신</v>
      </c>
      <c r="I994" t="str">
        <f t="shared" si="194"/>
        <v>레벨플러스</v>
      </c>
      <c r="J994" t="str">
        <f t="shared" si="195"/>
        <v>[연재]화산신마 완전판</v>
      </c>
      <c r="K994">
        <v>100</v>
      </c>
      <c r="L994">
        <v>100</v>
      </c>
      <c r="M994">
        <v>1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70</v>
      </c>
      <c r="AN994" t="str">
        <f t="shared" si="196"/>
        <v>9791190142168</v>
      </c>
      <c r="AP994" t="str">
        <f t="shared" si="197"/>
        <v>판타지 웹소설 &gt; 무협 소설</v>
      </c>
    </row>
    <row r="995" spans="1:43" x14ac:dyDescent="0.4">
      <c r="A995" t="s">
        <v>43</v>
      </c>
      <c r="B995">
        <v>3822000060</v>
      </c>
      <c r="C995">
        <v>3822000107</v>
      </c>
      <c r="D995" t="str">
        <f>T("[연재]화산신마 완전판 48화")</f>
        <v>[연재]화산신마 완전판 48화</v>
      </c>
      <c r="E995" t="str">
        <f>T("48")</f>
        <v>48</v>
      </c>
      <c r="F995" t="str">
        <f t="shared" si="193"/>
        <v>월영신</v>
      </c>
      <c r="I995" t="str">
        <f t="shared" si="194"/>
        <v>레벨플러스</v>
      </c>
      <c r="J995" t="str">
        <f t="shared" si="195"/>
        <v>[연재]화산신마 완전판</v>
      </c>
      <c r="K995">
        <v>100</v>
      </c>
      <c r="L995">
        <v>100</v>
      </c>
      <c r="M995">
        <v>1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70</v>
      </c>
      <c r="AN995" t="str">
        <f t="shared" si="196"/>
        <v>9791190142168</v>
      </c>
      <c r="AP995" t="str">
        <f t="shared" si="197"/>
        <v>판타지 웹소설 &gt; 무협 소설</v>
      </c>
    </row>
    <row r="996" spans="1:43" x14ac:dyDescent="0.4">
      <c r="A996" t="s">
        <v>43</v>
      </c>
      <c r="B996">
        <v>3822000060</v>
      </c>
      <c r="C996">
        <v>3822000108</v>
      </c>
      <c r="D996" t="str">
        <f>T("[연재]화산신마 완전판 49화")</f>
        <v>[연재]화산신마 완전판 49화</v>
      </c>
      <c r="E996" t="str">
        <f>T("49")</f>
        <v>49</v>
      </c>
      <c r="F996" t="str">
        <f t="shared" si="193"/>
        <v>월영신</v>
      </c>
      <c r="I996" t="str">
        <f t="shared" si="194"/>
        <v>레벨플러스</v>
      </c>
      <c r="J996" t="str">
        <f t="shared" si="195"/>
        <v>[연재]화산신마 완전판</v>
      </c>
      <c r="K996">
        <v>100</v>
      </c>
      <c r="L996">
        <v>100</v>
      </c>
      <c r="M996">
        <v>1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70</v>
      </c>
      <c r="AN996" t="str">
        <f t="shared" si="196"/>
        <v>9791190142168</v>
      </c>
      <c r="AP996" t="str">
        <f t="shared" si="197"/>
        <v>판타지 웹소설 &gt; 무협 소설</v>
      </c>
    </row>
    <row r="997" spans="1:43" x14ac:dyDescent="0.4">
      <c r="A997" t="s">
        <v>43</v>
      </c>
      <c r="B997">
        <v>3822000060</v>
      </c>
      <c r="C997">
        <v>3822000109</v>
      </c>
      <c r="D997" t="str">
        <f>T("[연재]화산신마 완전판 50화")</f>
        <v>[연재]화산신마 완전판 50화</v>
      </c>
      <c r="E997" t="str">
        <f>T("50")</f>
        <v>50</v>
      </c>
      <c r="F997" t="str">
        <f t="shared" si="193"/>
        <v>월영신</v>
      </c>
      <c r="I997" t="str">
        <f t="shared" si="194"/>
        <v>레벨플러스</v>
      </c>
      <c r="J997" t="str">
        <f t="shared" si="195"/>
        <v>[연재]화산신마 완전판</v>
      </c>
      <c r="K997">
        <v>100</v>
      </c>
      <c r="L997">
        <v>100</v>
      </c>
      <c r="M997">
        <v>1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70</v>
      </c>
      <c r="AN997" t="str">
        <f t="shared" si="196"/>
        <v>9791190142168</v>
      </c>
      <c r="AP997" t="str">
        <f t="shared" si="197"/>
        <v>판타지 웹소설 &gt; 무협 소설</v>
      </c>
    </row>
    <row r="998" spans="1:43" x14ac:dyDescent="0.4">
      <c r="A998" t="s">
        <v>43</v>
      </c>
      <c r="B998">
        <v>3822000060</v>
      </c>
      <c r="C998">
        <v>3822000096</v>
      </c>
      <c r="D998" t="str">
        <f>T("[연재]화산신마 완전판 37화")</f>
        <v>[연재]화산신마 완전판 37화</v>
      </c>
      <c r="E998" t="str">
        <f>T("37")</f>
        <v>37</v>
      </c>
      <c r="F998" t="str">
        <f t="shared" si="193"/>
        <v>월영신</v>
      </c>
      <c r="I998" t="str">
        <f t="shared" si="194"/>
        <v>레벨플러스</v>
      </c>
      <c r="J998" t="str">
        <f t="shared" si="195"/>
        <v>[연재]화산신마 완전판</v>
      </c>
      <c r="K998">
        <v>100</v>
      </c>
      <c r="L998">
        <v>100</v>
      </c>
      <c r="M998">
        <v>1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70</v>
      </c>
      <c r="AN998" t="str">
        <f t="shared" si="196"/>
        <v>9791190142168</v>
      </c>
      <c r="AP998" t="str">
        <f t="shared" si="197"/>
        <v>판타지 웹소설 &gt; 무협 소설</v>
      </c>
    </row>
    <row r="999" spans="1:43" x14ac:dyDescent="0.4">
      <c r="A999" t="s">
        <v>43</v>
      </c>
      <c r="B999">
        <v>3822000060</v>
      </c>
      <c r="C999">
        <v>3822000097</v>
      </c>
      <c r="D999" t="str">
        <f>T("[연재]화산신마 완전판 38화")</f>
        <v>[연재]화산신마 완전판 38화</v>
      </c>
      <c r="E999" t="str">
        <f>T("38")</f>
        <v>38</v>
      </c>
      <c r="F999" t="str">
        <f t="shared" si="193"/>
        <v>월영신</v>
      </c>
      <c r="I999" t="str">
        <f t="shared" si="194"/>
        <v>레벨플러스</v>
      </c>
      <c r="J999" t="str">
        <f t="shared" si="195"/>
        <v>[연재]화산신마 완전판</v>
      </c>
      <c r="K999">
        <v>100</v>
      </c>
      <c r="L999">
        <v>100</v>
      </c>
      <c r="M999">
        <v>1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70</v>
      </c>
      <c r="AN999" t="str">
        <f t="shared" si="196"/>
        <v>9791190142168</v>
      </c>
      <c r="AP999" t="str">
        <f t="shared" si="197"/>
        <v>판타지 웹소설 &gt; 무협 소설</v>
      </c>
    </row>
    <row r="1000" spans="1:43" x14ac:dyDescent="0.4">
      <c r="A1000" t="s">
        <v>43</v>
      </c>
      <c r="B1000">
        <v>3822000060</v>
      </c>
      <c r="C1000">
        <v>3822000098</v>
      </c>
      <c r="D1000" t="str">
        <f>T("[연재]화산신마 완전판 39화")</f>
        <v>[연재]화산신마 완전판 39화</v>
      </c>
      <c r="E1000" t="str">
        <f>T("39")</f>
        <v>39</v>
      </c>
      <c r="F1000" t="str">
        <f t="shared" si="193"/>
        <v>월영신</v>
      </c>
      <c r="I1000" t="str">
        <f t="shared" si="194"/>
        <v>레벨플러스</v>
      </c>
      <c r="J1000" t="str">
        <f t="shared" si="195"/>
        <v>[연재]화산신마 완전판</v>
      </c>
      <c r="K1000">
        <v>100</v>
      </c>
      <c r="L1000">
        <v>100</v>
      </c>
      <c r="M1000">
        <v>1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70</v>
      </c>
      <c r="AN1000" t="str">
        <f t="shared" si="196"/>
        <v>9791190142168</v>
      </c>
      <c r="AP1000" t="str">
        <f t="shared" si="197"/>
        <v>판타지 웹소설 &gt; 무협 소설</v>
      </c>
    </row>
    <row r="1001" spans="1:43" x14ac:dyDescent="0.4">
      <c r="A1001" t="s">
        <v>43</v>
      </c>
      <c r="B1001">
        <v>3822000060</v>
      </c>
      <c r="C1001">
        <v>3822000099</v>
      </c>
      <c r="D1001" t="str">
        <f>T("[연재]화산신마 완전판 40화")</f>
        <v>[연재]화산신마 완전판 40화</v>
      </c>
      <c r="E1001" t="str">
        <f>T("40")</f>
        <v>40</v>
      </c>
      <c r="F1001" t="str">
        <f t="shared" si="193"/>
        <v>월영신</v>
      </c>
      <c r="I1001" t="str">
        <f t="shared" si="194"/>
        <v>레벨플러스</v>
      </c>
      <c r="J1001" t="str">
        <f t="shared" si="195"/>
        <v>[연재]화산신마 완전판</v>
      </c>
      <c r="K1001">
        <v>100</v>
      </c>
      <c r="L1001">
        <v>100</v>
      </c>
      <c r="M1001">
        <v>1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70</v>
      </c>
      <c r="AN1001" t="str">
        <f t="shared" si="196"/>
        <v>9791190142168</v>
      </c>
      <c r="AP1001" t="str">
        <f t="shared" si="197"/>
        <v>판타지 웹소설 &gt; 무협 소설</v>
      </c>
    </row>
    <row r="1002" spans="1:43" x14ac:dyDescent="0.4">
      <c r="A1002" t="s">
        <v>43</v>
      </c>
      <c r="B1002">
        <v>3822000437</v>
      </c>
      <c r="C1002">
        <v>3822000437</v>
      </c>
      <c r="D1002" t="str">
        <f>T("[연재]저승꽃감관 1화")</f>
        <v>[연재]저승꽃감관 1화</v>
      </c>
      <c r="E1002" t="str">
        <f>T("1")</f>
        <v>1</v>
      </c>
      <c r="F1002" t="str">
        <f>T("에복")</f>
        <v>에복</v>
      </c>
      <c r="I1002" t="str">
        <f>T("딥블렌드")</f>
        <v>딥블렌드</v>
      </c>
      <c r="J1002" t="str">
        <f>T("[연재]저승꽃감관")</f>
        <v>[연재]저승꽃감관</v>
      </c>
      <c r="K1002">
        <v>0</v>
      </c>
      <c r="L1002">
        <v>0</v>
      </c>
      <c r="M1002">
        <v>0</v>
      </c>
      <c r="N1002">
        <v>67</v>
      </c>
      <c r="O1002">
        <v>0</v>
      </c>
      <c r="P1002">
        <v>0</v>
      </c>
      <c r="Q1002">
        <v>7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N1002" t="str">
        <f>T("9791190142502")</f>
        <v>9791190142502</v>
      </c>
      <c r="AP1002" t="str">
        <f>T("BL 웹소설 &gt; 역사/시대물")</f>
        <v>BL 웹소설 &gt; 역사/시대물</v>
      </c>
    </row>
    <row r="1003" spans="1:43" x14ac:dyDescent="0.4">
      <c r="A1003" t="s">
        <v>43</v>
      </c>
      <c r="B1003">
        <v>3822000060</v>
      </c>
      <c r="C1003">
        <v>3822000061</v>
      </c>
      <c r="D1003" t="str">
        <f>T("[연재]화산신마 완전판 2화")</f>
        <v>[연재]화산신마 완전판 2화</v>
      </c>
      <c r="E1003" t="str">
        <f>T("2")</f>
        <v>2</v>
      </c>
      <c r="F1003" t="str">
        <f>T("월영신")</f>
        <v>월영신</v>
      </c>
      <c r="I1003" t="str">
        <f>T("레벨플러스")</f>
        <v>레벨플러스</v>
      </c>
      <c r="J1003" t="str">
        <f>T("[연재]화산신마 완전판")</f>
        <v>[연재]화산신마 완전판</v>
      </c>
      <c r="K1003">
        <v>0</v>
      </c>
      <c r="L1003">
        <v>0</v>
      </c>
      <c r="M1003">
        <v>0</v>
      </c>
      <c r="N1003">
        <v>5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N1003" t="str">
        <f>T("9791190142168")</f>
        <v>9791190142168</v>
      </c>
      <c r="AP1003" t="str">
        <f>T("판타지 웹소설 &gt; 무협 소설")</f>
        <v>판타지 웹소설 &gt; 무협 소설</v>
      </c>
    </row>
    <row r="1004" spans="1:43" x14ac:dyDescent="0.4">
      <c r="A1004" t="s">
        <v>43</v>
      </c>
      <c r="B1004">
        <v>3822000645</v>
      </c>
      <c r="C1004">
        <v>3822000646</v>
      </c>
      <c r="D1004" t="str">
        <f>T("[연재]방송 켜셔야죠 2화")</f>
        <v>[연재]방송 켜셔야죠 2화</v>
      </c>
      <c r="E1004" t="str">
        <f>T("2")</f>
        <v>2</v>
      </c>
      <c r="F1004" t="str">
        <f>T("파란비")</f>
        <v>파란비</v>
      </c>
      <c r="I1004" t="str">
        <f>T("딥블렌드")</f>
        <v>딥블렌드</v>
      </c>
      <c r="J1004" t="str">
        <f>T("[연재]방송 켜셔야죠")</f>
        <v>[연재]방송 켜셔야죠</v>
      </c>
      <c r="K1004">
        <v>0</v>
      </c>
      <c r="L1004">
        <v>0</v>
      </c>
      <c r="M1004">
        <v>0</v>
      </c>
      <c r="N1004">
        <v>250</v>
      </c>
      <c r="O1004">
        <v>0</v>
      </c>
      <c r="P1004">
        <v>0</v>
      </c>
      <c r="Q1004">
        <v>14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N1004" t="str">
        <f>T("9791190142717")</f>
        <v>9791190142717</v>
      </c>
      <c r="AP1004" t="str">
        <f>T("BL 웹소설 &gt; 현대물")</f>
        <v>BL 웹소설 &gt; 현대물</v>
      </c>
    </row>
    <row r="1005" spans="1:43" x14ac:dyDescent="0.4">
      <c r="A1005" t="s">
        <v>43</v>
      </c>
      <c r="B1005">
        <v>3822000060</v>
      </c>
      <c r="C1005">
        <v>3822000072</v>
      </c>
      <c r="D1005" t="str">
        <f>T("[연재]화산신마 완전판 13화")</f>
        <v>[연재]화산신마 완전판 13화</v>
      </c>
      <c r="E1005" t="str">
        <f>T("13")</f>
        <v>13</v>
      </c>
      <c r="F1005" t="str">
        <f>T("월영신")</f>
        <v>월영신</v>
      </c>
      <c r="I1005" t="str">
        <f>T("레벨플러스")</f>
        <v>레벨플러스</v>
      </c>
      <c r="J1005" t="str">
        <f>T("[연재]화산신마 완전판")</f>
        <v>[연재]화산신마 완전판</v>
      </c>
      <c r="K1005">
        <v>0</v>
      </c>
      <c r="L1005">
        <v>0</v>
      </c>
      <c r="M1005">
        <v>0</v>
      </c>
      <c r="N1005">
        <v>4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N1005" t="str">
        <f>T("9791190142168")</f>
        <v>9791190142168</v>
      </c>
      <c r="AP1005" t="str">
        <f>T("판타지 웹소설 &gt; 무협 소설")</f>
        <v>판타지 웹소설 &gt; 무협 소설</v>
      </c>
    </row>
    <row r="1006" spans="1:43" x14ac:dyDescent="0.4">
      <c r="A1006" t="s">
        <v>43</v>
      </c>
      <c r="B1006">
        <v>3822000437</v>
      </c>
      <c r="C1006">
        <v>3822000438</v>
      </c>
      <c r="D1006" t="str">
        <f>T("[연재]저승꽃감관 2화")</f>
        <v>[연재]저승꽃감관 2화</v>
      </c>
      <c r="E1006" t="str">
        <f>T("2")</f>
        <v>2</v>
      </c>
      <c r="F1006" t="str">
        <f>T("에복")</f>
        <v>에복</v>
      </c>
      <c r="I1006" t="str">
        <f>T("딥블렌드")</f>
        <v>딥블렌드</v>
      </c>
      <c r="J1006" t="str">
        <f>T("[연재]저승꽃감관")</f>
        <v>[연재]저승꽃감관</v>
      </c>
      <c r="K1006">
        <v>0</v>
      </c>
      <c r="L1006">
        <v>0</v>
      </c>
      <c r="M1006">
        <v>0</v>
      </c>
      <c r="N1006">
        <v>49</v>
      </c>
      <c r="O1006">
        <v>0</v>
      </c>
      <c r="P1006">
        <v>0</v>
      </c>
      <c r="Q1006">
        <v>8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N1006" t="str">
        <f>T("9791190142502")</f>
        <v>9791190142502</v>
      </c>
      <c r="AP1006" t="str">
        <f>T("BL 웹소설 &gt; 역사/시대물")</f>
        <v>BL 웹소설 &gt; 역사/시대물</v>
      </c>
    </row>
    <row r="1007" spans="1:43" x14ac:dyDescent="0.4">
      <c r="A1007" t="s">
        <v>43</v>
      </c>
      <c r="B1007">
        <v>3822000060</v>
      </c>
      <c r="C1007">
        <v>3822000062</v>
      </c>
      <c r="D1007" t="str">
        <f>T("[연재]화산신마 완전판 3화")</f>
        <v>[연재]화산신마 완전판 3화</v>
      </c>
      <c r="E1007" t="str">
        <f>T("3")</f>
        <v>3</v>
      </c>
      <c r="F1007" t="str">
        <f>T("월영신")</f>
        <v>월영신</v>
      </c>
      <c r="I1007" t="str">
        <f>T("레벨플러스")</f>
        <v>레벨플러스</v>
      </c>
      <c r="J1007" t="str">
        <f>T("[연재]화산신마 완전판")</f>
        <v>[연재]화산신마 완전판</v>
      </c>
      <c r="K1007">
        <v>0</v>
      </c>
      <c r="L1007">
        <v>0</v>
      </c>
      <c r="M1007">
        <v>0</v>
      </c>
      <c r="N1007">
        <v>5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N1007" t="str">
        <f>T("9791190142168")</f>
        <v>9791190142168</v>
      </c>
      <c r="AP1007" t="str">
        <f>T("판타지 웹소설 &gt; 무협 소설")</f>
        <v>판타지 웹소설 &gt; 무협 소설</v>
      </c>
    </row>
    <row r="1008" spans="1:43" x14ac:dyDescent="0.4">
      <c r="A1008" t="s">
        <v>43</v>
      </c>
      <c r="B1008">
        <v>3822000323</v>
      </c>
      <c r="C1008">
        <v>3822000325</v>
      </c>
      <c r="D1008" t="str">
        <f>T("[연재]네크로맨서 생존기 2화")</f>
        <v>[연재]네크로맨서 생존기 2화</v>
      </c>
      <c r="E1008" t="str">
        <f>T("2")</f>
        <v>2</v>
      </c>
      <c r="F1008" t="str">
        <f>T("키마님")</f>
        <v>키마님</v>
      </c>
      <c r="I1008" t="str">
        <f>T("딥블렌드")</f>
        <v>딥블렌드</v>
      </c>
      <c r="J1008" t="str">
        <f>T("[연재]네크로맨서 생존기")</f>
        <v>[연재]네크로맨서 생존기</v>
      </c>
      <c r="K1008">
        <v>0</v>
      </c>
      <c r="L1008">
        <v>0</v>
      </c>
      <c r="M1008">
        <v>0</v>
      </c>
      <c r="N1008">
        <v>529</v>
      </c>
      <c r="O1008">
        <v>0</v>
      </c>
      <c r="P1008">
        <v>0</v>
      </c>
      <c r="Q1008">
        <v>47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L1008" t="str">
        <f>T("0000000000000")</f>
        <v>0000000000000</v>
      </c>
      <c r="AN1008" t="str">
        <f>T("9791190142359")</f>
        <v>9791190142359</v>
      </c>
      <c r="AP1008" t="str">
        <f>T("BL 웹소설 &gt; 현대물")</f>
        <v>BL 웹소설 &gt; 현대물</v>
      </c>
      <c r="AQ1008" t="str">
        <f>T("BL 웹소설 &gt; 판타지물")</f>
        <v>BL 웹소설 &gt; 판타지물</v>
      </c>
    </row>
    <row r="1009" spans="1:43" x14ac:dyDescent="0.4">
      <c r="A1009" t="s">
        <v>43</v>
      </c>
      <c r="B1009">
        <v>3822000645</v>
      </c>
      <c r="C1009">
        <v>3822000647</v>
      </c>
      <c r="D1009" t="str">
        <f>T("[연재]방송 켜셔야죠 3화")</f>
        <v>[연재]방송 켜셔야죠 3화</v>
      </c>
      <c r="E1009" t="str">
        <f>T("3")</f>
        <v>3</v>
      </c>
      <c r="F1009" t="str">
        <f>T("파란비")</f>
        <v>파란비</v>
      </c>
      <c r="I1009" t="str">
        <f>T("딥블렌드")</f>
        <v>딥블렌드</v>
      </c>
      <c r="J1009" t="str">
        <f>T("[연재]방송 켜셔야죠")</f>
        <v>[연재]방송 켜셔야죠</v>
      </c>
      <c r="K1009">
        <v>0</v>
      </c>
      <c r="L1009">
        <v>0</v>
      </c>
      <c r="M1009">
        <v>0</v>
      </c>
      <c r="N1009">
        <v>242</v>
      </c>
      <c r="O1009">
        <v>0</v>
      </c>
      <c r="P1009">
        <v>0</v>
      </c>
      <c r="Q1009">
        <v>14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N1009" t="str">
        <f>T("9791190142717")</f>
        <v>9791190142717</v>
      </c>
      <c r="AP1009" t="str">
        <f>T("BL 웹소설 &gt; 현대물")</f>
        <v>BL 웹소설 &gt; 현대물</v>
      </c>
    </row>
    <row r="1010" spans="1:43" x14ac:dyDescent="0.4">
      <c r="A1010" t="s">
        <v>43</v>
      </c>
      <c r="B1010">
        <v>3822000060</v>
      </c>
      <c r="C1010">
        <v>3822000073</v>
      </c>
      <c r="D1010" t="str">
        <f>T("[연재]화산신마 완전판 14화")</f>
        <v>[연재]화산신마 완전판 14화</v>
      </c>
      <c r="E1010" t="str">
        <f>T("14")</f>
        <v>14</v>
      </c>
      <c r="F1010" t="str">
        <f>T("월영신")</f>
        <v>월영신</v>
      </c>
      <c r="I1010" t="str">
        <f>T("레벨플러스")</f>
        <v>레벨플러스</v>
      </c>
      <c r="J1010" t="str">
        <f>T("[연재]화산신마 완전판")</f>
        <v>[연재]화산신마 완전판</v>
      </c>
      <c r="K1010">
        <v>0</v>
      </c>
      <c r="L1010">
        <v>0</v>
      </c>
      <c r="M1010">
        <v>0</v>
      </c>
      <c r="N1010">
        <v>4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N1010" t="str">
        <f>T("9791190142168")</f>
        <v>9791190142168</v>
      </c>
      <c r="AP1010" t="str">
        <f>T("판타지 웹소설 &gt; 무협 소설")</f>
        <v>판타지 웹소설 &gt; 무협 소설</v>
      </c>
    </row>
    <row r="1011" spans="1:43" x14ac:dyDescent="0.4">
      <c r="A1011" t="s">
        <v>43</v>
      </c>
      <c r="B1011">
        <v>3822000437</v>
      </c>
      <c r="C1011">
        <v>3822000439</v>
      </c>
      <c r="D1011" t="str">
        <f>T("[연재]저승꽃감관 3화")</f>
        <v>[연재]저승꽃감관 3화</v>
      </c>
      <c r="E1011" t="str">
        <f>T("3")</f>
        <v>3</v>
      </c>
      <c r="F1011" t="str">
        <f>T("에복")</f>
        <v>에복</v>
      </c>
      <c r="I1011" t="str">
        <f>T("딥블렌드")</f>
        <v>딥블렌드</v>
      </c>
      <c r="J1011" t="str">
        <f>T("[연재]저승꽃감관")</f>
        <v>[연재]저승꽃감관</v>
      </c>
      <c r="K1011">
        <v>0</v>
      </c>
      <c r="L1011">
        <v>0</v>
      </c>
      <c r="M1011">
        <v>0</v>
      </c>
      <c r="N1011">
        <v>51</v>
      </c>
      <c r="O1011">
        <v>0</v>
      </c>
      <c r="P1011">
        <v>0</v>
      </c>
      <c r="Q1011">
        <v>8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N1011" t="str">
        <f>T("9791190142502")</f>
        <v>9791190142502</v>
      </c>
      <c r="AP1011" t="str">
        <f>T("BL 웹소설 &gt; 역사/시대물")</f>
        <v>BL 웹소설 &gt; 역사/시대물</v>
      </c>
    </row>
    <row r="1012" spans="1:43" x14ac:dyDescent="0.4">
      <c r="A1012" t="s">
        <v>43</v>
      </c>
      <c r="B1012">
        <v>3822000060</v>
      </c>
      <c r="C1012">
        <v>3822000063</v>
      </c>
      <c r="D1012" t="str">
        <f>T("[연재]화산신마 완전판 4화")</f>
        <v>[연재]화산신마 완전판 4화</v>
      </c>
      <c r="E1012" t="str">
        <f>T("4")</f>
        <v>4</v>
      </c>
      <c r="F1012" t="str">
        <f>T("월영신")</f>
        <v>월영신</v>
      </c>
      <c r="I1012" t="str">
        <f>T("레벨플러스")</f>
        <v>레벨플러스</v>
      </c>
      <c r="J1012" t="str">
        <f>T("[연재]화산신마 완전판")</f>
        <v>[연재]화산신마 완전판</v>
      </c>
      <c r="K1012">
        <v>0</v>
      </c>
      <c r="L1012">
        <v>0</v>
      </c>
      <c r="M1012">
        <v>0</v>
      </c>
      <c r="N1012">
        <v>5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N1012" t="str">
        <f>T("9791190142168")</f>
        <v>9791190142168</v>
      </c>
      <c r="AP1012" t="str">
        <f>T("판타지 웹소설 &gt; 무협 소설")</f>
        <v>판타지 웹소설 &gt; 무협 소설</v>
      </c>
    </row>
    <row r="1013" spans="1:43" x14ac:dyDescent="0.4">
      <c r="A1013" t="s">
        <v>43</v>
      </c>
      <c r="B1013">
        <v>3822000323</v>
      </c>
      <c r="C1013">
        <v>3822000326</v>
      </c>
      <c r="D1013" t="str">
        <f>T("[연재]네크로맨서 생존기 3화")</f>
        <v>[연재]네크로맨서 생존기 3화</v>
      </c>
      <c r="E1013" t="str">
        <f>T("3")</f>
        <v>3</v>
      </c>
      <c r="F1013" t="str">
        <f>T("키마님")</f>
        <v>키마님</v>
      </c>
      <c r="I1013" t="str">
        <f>T("딥블렌드")</f>
        <v>딥블렌드</v>
      </c>
      <c r="J1013" t="str">
        <f>T("[연재]네크로맨서 생존기")</f>
        <v>[연재]네크로맨서 생존기</v>
      </c>
      <c r="K1013">
        <v>0</v>
      </c>
      <c r="L1013">
        <v>0</v>
      </c>
      <c r="M1013">
        <v>0</v>
      </c>
      <c r="N1013">
        <v>527</v>
      </c>
      <c r="O1013">
        <v>0</v>
      </c>
      <c r="P1013">
        <v>0</v>
      </c>
      <c r="Q1013">
        <v>47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L1013" t="str">
        <f>T("0000000000000")</f>
        <v>0000000000000</v>
      </c>
      <c r="AN1013" t="str">
        <f>T("9791190142359")</f>
        <v>9791190142359</v>
      </c>
      <c r="AP1013" t="str">
        <f>T("BL 웹소설 &gt; 현대물")</f>
        <v>BL 웹소설 &gt; 현대물</v>
      </c>
      <c r="AQ1013" t="str">
        <f>T("BL 웹소설 &gt; 판타지물")</f>
        <v>BL 웹소설 &gt; 판타지물</v>
      </c>
    </row>
    <row r="1014" spans="1:43" x14ac:dyDescent="0.4">
      <c r="A1014" t="s">
        <v>43</v>
      </c>
      <c r="B1014">
        <v>3822000060</v>
      </c>
      <c r="C1014">
        <v>3822000074</v>
      </c>
      <c r="D1014" t="str">
        <f>T("[연재]화산신마 완전판 15화")</f>
        <v>[연재]화산신마 완전판 15화</v>
      </c>
      <c r="E1014" t="str">
        <f>T("15")</f>
        <v>15</v>
      </c>
      <c r="F1014" t="str">
        <f>T("월영신")</f>
        <v>월영신</v>
      </c>
      <c r="I1014" t="str">
        <f>T("레벨플러스")</f>
        <v>레벨플러스</v>
      </c>
      <c r="J1014" t="str">
        <f>T("[연재]화산신마 완전판")</f>
        <v>[연재]화산신마 완전판</v>
      </c>
      <c r="K1014">
        <v>0</v>
      </c>
      <c r="L1014">
        <v>0</v>
      </c>
      <c r="M1014">
        <v>0</v>
      </c>
      <c r="N1014">
        <v>4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N1014" t="str">
        <f>T("9791190142168")</f>
        <v>9791190142168</v>
      </c>
      <c r="AP1014" t="str">
        <f>T("판타지 웹소설 &gt; 무협 소설")</f>
        <v>판타지 웹소설 &gt; 무협 소설</v>
      </c>
    </row>
    <row r="1015" spans="1:43" x14ac:dyDescent="0.4">
      <c r="A1015" t="s">
        <v>43</v>
      </c>
      <c r="B1015">
        <v>3822000035</v>
      </c>
      <c r="C1015">
        <v>3822000035</v>
      </c>
      <c r="D1015" t="str">
        <f>T("[연재]어비스(Abyss) 1화")</f>
        <v>[연재]어비스(Abyss) 1화</v>
      </c>
      <c r="E1015" t="str">
        <f>T("1")</f>
        <v>1</v>
      </c>
      <c r="F1015" t="str">
        <f>T("퀸에이")</f>
        <v>퀸에이</v>
      </c>
      <c r="I1015" t="str">
        <f>T("딥블렌드")</f>
        <v>딥블렌드</v>
      </c>
      <c r="J1015" t="str">
        <f>T("[연재]어비스(Abyss)")</f>
        <v>[연재]어비스(Abyss)</v>
      </c>
      <c r="K1015">
        <v>0</v>
      </c>
      <c r="L1015">
        <v>0</v>
      </c>
      <c r="M1015">
        <v>0</v>
      </c>
      <c r="N1015">
        <v>88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N1015" t="str">
        <f>T("9791190142366")</f>
        <v>9791190142366</v>
      </c>
      <c r="AP1015" t="str">
        <f>T("BL 웹소설 &gt; 현대물")</f>
        <v>BL 웹소설 &gt; 현대물</v>
      </c>
      <c r="AQ1015" t="str">
        <f>T("BL 웹소설 &gt; 판타지물")</f>
        <v>BL 웹소설 &gt; 판타지물</v>
      </c>
    </row>
    <row r="1016" spans="1:43" x14ac:dyDescent="0.4">
      <c r="A1016" t="s">
        <v>43</v>
      </c>
      <c r="B1016">
        <v>3822000437</v>
      </c>
      <c r="C1016">
        <v>3822000623</v>
      </c>
      <c r="D1016" t="str">
        <f>T("[연재]저승꽃감관 0화 프롤로그 웹툰")</f>
        <v>[연재]저승꽃감관 0화 프롤로그 웹툰</v>
      </c>
      <c r="E1016" t="str">
        <f>T("1")</f>
        <v>1</v>
      </c>
      <c r="F1016" t="str">
        <f>T("에복")</f>
        <v>에복</v>
      </c>
      <c r="I1016" t="str">
        <f>T("딥블렌드")</f>
        <v>딥블렌드</v>
      </c>
      <c r="J1016" t="str">
        <f>T("[연재]저승꽃감관")</f>
        <v>[연재]저승꽃감관</v>
      </c>
      <c r="K1016">
        <v>0</v>
      </c>
      <c r="L1016">
        <v>0</v>
      </c>
      <c r="M1016">
        <v>0</v>
      </c>
      <c r="N1016">
        <v>61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N1016" t="str">
        <f>T("9791190142502")</f>
        <v>9791190142502</v>
      </c>
      <c r="AP1016" t="str">
        <f>T("BL 웹소설 &gt; 역사/시대물")</f>
        <v>BL 웹소설 &gt; 역사/시대물</v>
      </c>
    </row>
    <row r="1017" spans="1:43" x14ac:dyDescent="0.4">
      <c r="A1017" t="s">
        <v>43</v>
      </c>
      <c r="B1017">
        <v>3822000060</v>
      </c>
      <c r="C1017">
        <v>3822000064</v>
      </c>
      <c r="D1017" t="str">
        <f>T("[연재]화산신마 완전판 5화")</f>
        <v>[연재]화산신마 완전판 5화</v>
      </c>
      <c r="E1017" t="str">
        <f>T("5")</f>
        <v>5</v>
      </c>
      <c r="F1017" t="str">
        <f>T("월영신")</f>
        <v>월영신</v>
      </c>
      <c r="I1017" t="str">
        <f>T("레벨플러스")</f>
        <v>레벨플러스</v>
      </c>
      <c r="J1017" t="str">
        <f>T("[연재]화산신마 완전판")</f>
        <v>[연재]화산신마 완전판</v>
      </c>
      <c r="K1017">
        <v>0</v>
      </c>
      <c r="L1017">
        <v>0</v>
      </c>
      <c r="M1017">
        <v>0</v>
      </c>
      <c r="N1017">
        <v>5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N1017" t="str">
        <f>T("9791190142168")</f>
        <v>9791190142168</v>
      </c>
      <c r="AP1017" t="str">
        <f>T("판타지 웹소설 &gt; 무협 소설")</f>
        <v>판타지 웹소설 &gt; 무협 소설</v>
      </c>
    </row>
    <row r="1018" spans="1:43" x14ac:dyDescent="0.4">
      <c r="A1018" t="s">
        <v>43</v>
      </c>
      <c r="B1018">
        <v>3822000060</v>
      </c>
      <c r="C1018">
        <v>3822000075</v>
      </c>
      <c r="D1018" t="str">
        <f>T("[연재]화산신마 완전판 16화")</f>
        <v>[연재]화산신마 완전판 16화</v>
      </c>
      <c r="E1018" t="str">
        <f>T("16")</f>
        <v>16</v>
      </c>
      <c r="F1018" t="str">
        <f>T("월영신")</f>
        <v>월영신</v>
      </c>
      <c r="I1018" t="str">
        <f>T("레벨플러스")</f>
        <v>레벨플러스</v>
      </c>
      <c r="J1018" t="str">
        <f>T("[연재]화산신마 완전판")</f>
        <v>[연재]화산신마 완전판</v>
      </c>
      <c r="K1018">
        <v>0</v>
      </c>
      <c r="L1018">
        <v>0</v>
      </c>
      <c r="M1018">
        <v>0</v>
      </c>
      <c r="N1018">
        <v>4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N1018" t="str">
        <f>T("9791190142168")</f>
        <v>9791190142168</v>
      </c>
      <c r="AP1018" t="str">
        <f>T("판타지 웹소설 &gt; 무협 소설")</f>
        <v>판타지 웹소설 &gt; 무협 소설</v>
      </c>
    </row>
    <row r="1019" spans="1:43" x14ac:dyDescent="0.4">
      <c r="A1019" t="s">
        <v>43</v>
      </c>
      <c r="B1019">
        <v>3822000035</v>
      </c>
      <c r="C1019">
        <v>3822000036</v>
      </c>
      <c r="D1019" t="str">
        <f>T("[연재]어비스(Abyss) 2화")</f>
        <v>[연재]어비스(Abyss) 2화</v>
      </c>
      <c r="E1019" t="str">
        <f>T("2")</f>
        <v>2</v>
      </c>
      <c r="F1019" t="str">
        <f>T("퀸에이")</f>
        <v>퀸에이</v>
      </c>
      <c r="I1019" t="str">
        <f>T("딥블렌드")</f>
        <v>딥블렌드</v>
      </c>
      <c r="J1019" t="str">
        <f>T("[연재]어비스(Abyss)")</f>
        <v>[연재]어비스(Abyss)</v>
      </c>
      <c r="K1019">
        <v>0</v>
      </c>
      <c r="L1019">
        <v>0</v>
      </c>
      <c r="M1019">
        <v>0</v>
      </c>
      <c r="N1019">
        <v>62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N1019" t="str">
        <f>T("9791190142366")</f>
        <v>9791190142366</v>
      </c>
      <c r="AP1019" t="str">
        <f>T("BL 웹소설 &gt; 현대물")</f>
        <v>BL 웹소설 &gt; 현대물</v>
      </c>
      <c r="AQ1019" t="str">
        <f>T("BL 웹소설 &gt; 판타지물")</f>
        <v>BL 웹소설 &gt; 판타지물</v>
      </c>
    </row>
    <row r="1020" spans="1:43" x14ac:dyDescent="0.4">
      <c r="A1020" t="s">
        <v>43</v>
      </c>
      <c r="B1020">
        <v>3822000323</v>
      </c>
      <c r="C1020">
        <v>3822000356</v>
      </c>
      <c r="D1020" t="str">
        <f>T("[연재]네크로맨서 생존기 0화 프롤로그 웹툰")</f>
        <v>[연재]네크로맨서 생존기 0화 프롤로그 웹툰</v>
      </c>
      <c r="E1020" t="str">
        <f>T("1")</f>
        <v>1</v>
      </c>
      <c r="F1020" t="str">
        <f>T("키마님")</f>
        <v>키마님</v>
      </c>
      <c r="I1020" t="str">
        <f>T("딥블렌드")</f>
        <v>딥블렌드</v>
      </c>
      <c r="J1020" t="str">
        <f>T("[연재]네크로맨서 생존기")</f>
        <v>[연재]네크로맨서 생존기</v>
      </c>
      <c r="K1020">
        <v>0</v>
      </c>
      <c r="L1020">
        <v>0</v>
      </c>
      <c r="M1020">
        <v>0</v>
      </c>
      <c r="N1020">
        <v>699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L1020" t="str">
        <f>T("0000000000000")</f>
        <v>0000000000000</v>
      </c>
      <c r="AN1020" t="str">
        <f>T("9791190142359")</f>
        <v>9791190142359</v>
      </c>
      <c r="AP1020" t="str">
        <f>T("BL 웹소설 &gt; 현대물")</f>
        <v>BL 웹소설 &gt; 현대물</v>
      </c>
      <c r="AQ1020" t="str">
        <f>T("BL 웹소설 &gt; 판타지물")</f>
        <v>BL 웹소설 &gt; 판타지물</v>
      </c>
    </row>
    <row r="1021" spans="1:43" x14ac:dyDescent="0.4">
      <c r="A1021" t="s">
        <v>43</v>
      </c>
      <c r="B1021">
        <v>3822000060</v>
      </c>
      <c r="C1021">
        <v>3822000065</v>
      </c>
      <c r="D1021" t="str">
        <f>T("[연재]화산신마 완전판 6화")</f>
        <v>[연재]화산신마 완전판 6화</v>
      </c>
      <c r="E1021" t="str">
        <f>T("6")</f>
        <v>6</v>
      </c>
      <c r="F1021" t="str">
        <f>T("월영신")</f>
        <v>월영신</v>
      </c>
      <c r="I1021" t="str">
        <f>T("레벨플러스")</f>
        <v>레벨플러스</v>
      </c>
      <c r="J1021" t="str">
        <f>T("[연재]화산신마 완전판")</f>
        <v>[연재]화산신마 완전판</v>
      </c>
      <c r="K1021">
        <v>0</v>
      </c>
      <c r="L1021">
        <v>0</v>
      </c>
      <c r="M1021">
        <v>0</v>
      </c>
      <c r="N1021">
        <v>5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N1021" t="str">
        <f>T("9791190142168")</f>
        <v>9791190142168</v>
      </c>
      <c r="AP1021" t="str">
        <f>T("판타지 웹소설 &gt; 무협 소설")</f>
        <v>판타지 웹소설 &gt; 무협 소설</v>
      </c>
    </row>
    <row r="1022" spans="1:43" x14ac:dyDescent="0.4">
      <c r="A1022" t="s">
        <v>43</v>
      </c>
      <c r="B1022">
        <v>3822000748</v>
      </c>
      <c r="C1022">
        <v>3822000748</v>
      </c>
      <c r="D1022" t="str">
        <f>T("[연재]왓에버 유 두(whatever you do) 1화")</f>
        <v>[연재]왓에버 유 두(whatever you do) 1화</v>
      </c>
      <c r="E1022" t="str">
        <f>T("1")</f>
        <v>1</v>
      </c>
      <c r="F1022" t="str">
        <f>T("원믹")</f>
        <v>원믹</v>
      </c>
      <c r="I1022" t="str">
        <f>T("딥블렌드")</f>
        <v>딥블렌드</v>
      </c>
      <c r="J1022" t="str">
        <f>T("[연재]왓에버 유 두(whatever you do)")</f>
        <v>[연재]왓에버 유 두(whatever you do)</v>
      </c>
      <c r="K1022">
        <v>0</v>
      </c>
      <c r="L1022">
        <v>0</v>
      </c>
      <c r="M1022">
        <v>0</v>
      </c>
      <c r="N1022">
        <v>150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N1022" t="str">
        <f>T("9791190142793")</f>
        <v>9791190142793</v>
      </c>
      <c r="AP1022" t="str">
        <f>T("BL 웹소설 &gt; 현대물")</f>
        <v>BL 웹소설 &gt; 현대물</v>
      </c>
    </row>
    <row r="1023" spans="1:43" x14ac:dyDescent="0.4">
      <c r="A1023" t="s">
        <v>43</v>
      </c>
      <c r="B1023">
        <v>3822000060</v>
      </c>
      <c r="C1023">
        <v>3822000076</v>
      </c>
      <c r="D1023" t="str">
        <f>T("[연재]화산신마 완전판 17화")</f>
        <v>[연재]화산신마 완전판 17화</v>
      </c>
      <c r="E1023" t="str">
        <f>T("17")</f>
        <v>17</v>
      </c>
      <c r="F1023" t="str">
        <f>T("월영신")</f>
        <v>월영신</v>
      </c>
      <c r="I1023" t="str">
        <f>T("레벨플러스")</f>
        <v>레벨플러스</v>
      </c>
      <c r="J1023" t="str">
        <f>T("[연재]화산신마 완전판")</f>
        <v>[연재]화산신마 완전판</v>
      </c>
      <c r="K1023">
        <v>0</v>
      </c>
      <c r="L1023">
        <v>0</v>
      </c>
      <c r="M1023">
        <v>0</v>
      </c>
      <c r="N1023">
        <v>4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N1023" t="str">
        <f>T("9791190142168")</f>
        <v>9791190142168</v>
      </c>
      <c r="AP1023" t="str">
        <f>T("판타지 웹소설 &gt; 무협 소설")</f>
        <v>판타지 웹소설 &gt; 무협 소설</v>
      </c>
    </row>
    <row r="1024" spans="1:43" x14ac:dyDescent="0.4">
      <c r="A1024" t="s">
        <v>43</v>
      </c>
      <c r="B1024">
        <v>3822000035</v>
      </c>
      <c r="C1024">
        <v>3822000037</v>
      </c>
      <c r="D1024" t="str">
        <f>T("[연재]어비스(Abyss) 3화")</f>
        <v>[연재]어비스(Abyss) 3화</v>
      </c>
      <c r="E1024" t="str">
        <f>T("3")</f>
        <v>3</v>
      </c>
      <c r="F1024" t="str">
        <f>T("퀸에이")</f>
        <v>퀸에이</v>
      </c>
      <c r="I1024" t="str">
        <f>T("딥블렌드")</f>
        <v>딥블렌드</v>
      </c>
      <c r="J1024" t="str">
        <f>T("[연재]어비스(Abyss)")</f>
        <v>[연재]어비스(Abyss)</v>
      </c>
      <c r="K1024">
        <v>0</v>
      </c>
      <c r="L1024">
        <v>0</v>
      </c>
      <c r="M1024">
        <v>0</v>
      </c>
      <c r="N1024">
        <v>61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N1024" t="str">
        <f>T("9791190142366")</f>
        <v>9791190142366</v>
      </c>
      <c r="AP1024" t="str">
        <f>T("BL 웹소설 &gt; 현대물")</f>
        <v>BL 웹소설 &gt; 현대물</v>
      </c>
      <c r="AQ1024" t="str">
        <f>T("BL 웹소설 &gt; 판타지물")</f>
        <v>BL 웹소설 &gt; 판타지물</v>
      </c>
    </row>
    <row r="1025" spans="1:43" x14ac:dyDescent="0.4">
      <c r="A1025" t="s">
        <v>43</v>
      </c>
      <c r="B1025">
        <v>3822000625</v>
      </c>
      <c r="C1025">
        <v>3822000625</v>
      </c>
      <c r="D1025" t="str">
        <f>T("화산신마 완전판 1권")</f>
        <v>화산신마 완전판 1권</v>
      </c>
      <c r="E1025" t="str">
        <f>T("1")</f>
        <v>1</v>
      </c>
      <c r="F1025" t="str">
        <f>T("월영신")</f>
        <v>월영신</v>
      </c>
      <c r="I1025" t="str">
        <f>T("레벨플러스")</f>
        <v>레벨플러스</v>
      </c>
      <c r="J1025" t="str">
        <f>T("화산신마 완전판")</f>
        <v>화산신마 완전판</v>
      </c>
      <c r="K1025">
        <v>0</v>
      </c>
      <c r="L1025">
        <v>0</v>
      </c>
      <c r="M1025">
        <v>0</v>
      </c>
      <c r="N1025">
        <v>8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N1025" t="str">
        <f>T("9791190142588")</f>
        <v>9791190142588</v>
      </c>
      <c r="AP1025" t="str">
        <f>T("판타지 e북 &gt; 신무협")</f>
        <v>판타지 e북 &gt; 신무협</v>
      </c>
    </row>
    <row r="1026" spans="1:43" x14ac:dyDescent="0.4">
      <c r="A1026" t="s">
        <v>43</v>
      </c>
      <c r="B1026">
        <v>3822000060</v>
      </c>
      <c r="C1026">
        <v>3822000066</v>
      </c>
      <c r="D1026" t="str">
        <f>T("[연재]화산신마 완전판 7화")</f>
        <v>[연재]화산신마 완전판 7화</v>
      </c>
      <c r="E1026" t="str">
        <f>T("7")</f>
        <v>7</v>
      </c>
      <c r="F1026" t="str">
        <f>T("월영신")</f>
        <v>월영신</v>
      </c>
      <c r="I1026" t="str">
        <f>T("레벨플러스")</f>
        <v>레벨플러스</v>
      </c>
      <c r="J1026" t="str">
        <f>T("[연재]화산신마 완전판")</f>
        <v>[연재]화산신마 완전판</v>
      </c>
      <c r="K1026">
        <v>0</v>
      </c>
      <c r="L1026">
        <v>0</v>
      </c>
      <c r="M1026">
        <v>0</v>
      </c>
      <c r="N1026">
        <v>5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N1026" t="str">
        <f>T("9791190142168")</f>
        <v>9791190142168</v>
      </c>
      <c r="AP1026" t="str">
        <f>T("판타지 웹소설 &gt; 무협 소설")</f>
        <v>판타지 웹소설 &gt; 무협 소설</v>
      </c>
    </row>
    <row r="1027" spans="1:43" x14ac:dyDescent="0.4">
      <c r="A1027" t="s">
        <v>43</v>
      </c>
      <c r="B1027">
        <v>3822000748</v>
      </c>
      <c r="C1027">
        <v>3822000749</v>
      </c>
      <c r="D1027" t="str">
        <f>T("[연재]왓에버 유 두(whatever you do) 2화")</f>
        <v>[연재]왓에버 유 두(whatever you do) 2화</v>
      </c>
      <c r="E1027" t="str">
        <f>T("2")</f>
        <v>2</v>
      </c>
      <c r="F1027" t="str">
        <f>T("원믹")</f>
        <v>원믹</v>
      </c>
      <c r="I1027" t="str">
        <f>T("딥블렌드")</f>
        <v>딥블렌드</v>
      </c>
      <c r="J1027" t="str">
        <f>T("[연재]왓에버 유 두(whatever you do)")</f>
        <v>[연재]왓에버 유 두(whatever you do)</v>
      </c>
      <c r="K1027">
        <v>0</v>
      </c>
      <c r="L1027">
        <v>0</v>
      </c>
      <c r="M1027">
        <v>0</v>
      </c>
      <c r="N1027">
        <v>106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N1027" t="str">
        <f>T("9791190142793")</f>
        <v>9791190142793</v>
      </c>
      <c r="AP1027" t="str">
        <f>T("BL 웹소설 &gt; 현대물")</f>
        <v>BL 웹소설 &gt; 현대물</v>
      </c>
    </row>
    <row r="1028" spans="1:43" x14ac:dyDescent="0.4">
      <c r="A1028" t="s">
        <v>43</v>
      </c>
      <c r="B1028">
        <v>3822000060</v>
      </c>
      <c r="C1028">
        <v>3822000077</v>
      </c>
      <c r="D1028" t="str">
        <f>T("[연재]화산신마 완전판 18화")</f>
        <v>[연재]화산신마 완전판 18화</v>
      </c>
      <c r="E1028" t="str">
        <f>T("18")</f>
        <v>18</v>
      </c>
      <c r="F1028" t="str">
        <f>T("월영신")</f>
        <v>월영신</v>
      </c>
      <c r="I1028" t="str">
        <f>T("레벨플러스")</f>
        <v>레벨플러스</v>
      </c>
      <c r="J1028" t="str">
        <f>T("[연재]화산신마 완전판")</f>
        <v>[연재]화산신마 완전판</v>
      </c>
      <c r="K1028">
        <v>0</v>
      </c>
      <c r="L1028">
        <v>0</v>
      </c>
      <c r="M1028">
        <v>0</v>
      </c>
      <c r="N1028">
        <v>4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N1028" t="str">
        <f>T("9791190142168")</f>
        <v>9791190142168</v>
      </c>
      <c r="AP1028" t="str">
        <f>T("판타지 웹소설 &gt; 무협 소설")</f>
        <v>판타지 웹소설 &gt; 무협 소설</v>
      </c>
    </row>
    <row r="1029" spans="1:43" x14ac:dyDescent="0.4">
      <c r="A1029" t="s">
        <v>43</v>
      </c>
      <c r="B1029">
        <v>3822000060</v>
      </c>
      <c r="C1029">
        <v>3822000067</v>
      </c>
      <c r="D1029" t="str">
        <f>T("[연재]화산신마 완전판 8화")</f>
        <v>[연재]화산신마 완전판 8화</v>
      </c>
      <c r="E1029" t="str">
        <f>T("8")</f>
        <v>8</v>
      </c>
      <c r="F1029" t="str">
        <f>T("월영신")</f>
        <v>월영신</v>
      </c>
      <c r="I1029" t="str">
        <f>T("레벨플러스")</f>
        <v>레벨플러스</v>
      </c>
      <c r="J1029" t="str">
        <f>T("[연재]화산신마 완전판")</f>
        <v>[연재]화산신마 완전판</v>
      </c>
      <c r="K1029">
        <v>0</v>
      </c>
      <c r="L1029">
        <v>0</v>
      </c>
      <c r="M1029">
        <v>0</v>
      </c>
      <c r="N1029">
        <v>5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N1029" t="str">
        <f>T("9791190142168")</f>
        <v>9791190142168</v>
      </c>
      <c r="AP1029" t="str">
        <f>T("판타지 웹소설 &gt; 무협 소설")</f>
        <v>판타지 웹소설 &gt; 무협 소설</v>
      </c>
    </row>
    <row r="1030" spans="1:43" x14ac:dyDescent="0.4">
      <c r="A1030" t="s">
        <v>43</v>
      </c>
      <c r="B1030">
        <v>3822000748</v>
      </c>
      <c r="C1030">
        <v>3822000750</v>
      </c>
      <c r="D1030" t="str">
        <f>T("[연재]왓에버 유 두(whatever you do) 3화")</f>
        <v>[연재]왓에버 유 두(whatever you do) 3화</v>
      </c>
      <c r="E1030" t="str">
        <f>T("3")</f>
        <v>3</v>
      </c>
      <c r="F1030" t="str">
        <f>T("원믹")</f>
        <v>원믹</v>
      </c>
      <c r="I1030" t="str">
        <f>T("딥블렌드")</f>
        <v>딥블렌드</v>
      </c>
      <c r="J1030" t="str">
        <f>T("[연재]왓에버 유 두(whatever you do)")</f>
        <v>[연재]왓에버 유 두(whatever you do)</v>
      </c>
      <c r="K1030">
        <v>0</v>
      </c>
      <c r="L1030">
        <v>0</v>
      </c>
      <c r="M1030">
        <v>0</v>
      </c>
      <c r="N1030">
        <v>121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N1030" t="str">
        <f>T("9791190142793")</f>
        <v>9791190142793</v>
      </c>
      <c r="AP1030" t="str">
        <f>T("BL 웹소설 &gt; 현대물")</f>
        <v>BL 웹소설 &gt; 현대물</v>
      </c>
    </row>
    <row r="1031" spans="1:43" x14ac:dyDescent="0.4">
      <c r="A1031" t="s">
        <v>43</v>
      </c>
      <c r="B1031">
        <v>3822000060</v>
      </c>
      <c r="C1031">
        <v>3822000078</v>
      </c>
      <c r="D1031" t="str">
        <f>T("[연재]화산신마 완전판 19화")</f>
        <v>[연재]화산신마 완전판 19화</v>
      </c>
      <c r="E1031" t="str">
        <f>T("19")</f>
        <v>19</v>
      </c>
      <c r="F1031" t="str">
        <f>T("월영신")</f>
        <v>월영신</v>
      </c>
      <c r="I1031" t="str">
        <f>T("레벨플러스")</f>
        <v>레벨플러스</v>
      </c>
      <c r="J1031" t="str">
        <f>T("[연재]화산신마 완전판")</f>
        <v>[연재]화산신마 완전판</v>
      </c>
      <c r="K1031">
        <v>0</v>
      </c>
      <c r="L1031">
        <v>0</v>
      </c>
      <c r="M1031">
        <v>0</v>
      </c>
      <c r="N1031">
        <v>4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N1031" t="str">
        <f>T("9791190142168")</f>
        <v>9791190142168</v>
      </c>
      <c r="AP1031" t="str">
        <f>T("판타지 웹소설 &gt; 무협 소설")</f>
        <v>판타지 웹소설 &gt; 무협 소설</v>
      </c>
    </row>
    <row r="1032" spans="1:43" x14ac:dyDescent="0.4">
      <c r="A1032" t="s">
        <v>43</v>
      </c>
      <c r="B1032">
        <v>3822001082</v>
      </c>
      <c r="C1032">
        <v>3822001093</v>
      </c>
      <c r="D1032" t="str">
        <f>T("어비스(Abyss) 프롤로그 웹툰")</f>
        <v>어비스(Abyss) 프롤로그 웹툰</v>
      </c>
      <c r="E1032" t="str">
        <f>T("7")</f>
        <v>7</v>
      </c>
      <c r="F1032" t="str">
        <f>T("퀸에이")</f>
        <v>퀸에이</v>
      </c>
      <c r="I1032" t="str">
        <f>T("딥블렌드")</f>
        <v>딥블렌드</v>
      </c>
      <c r="J1032" t="str">
        <f>T("어비스(Abyss)")</f>
        <v>어비스(Abyss)</v>
      </c>
      <c r="K1032">
        <v>0</v>
      </c>
      <c r="L1032">
        <v>0</v>
      </c>
      <c r="M1032">
        <v>0</v>
      </c>
      <c r="N1032">
        <v>157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N1032" t="str">
        <f>T("9791190876100")</f>
        <v>9791190876100</v>
      </c>
      <c r="AP1032" t="str">
        <f>T("BL 소설 e북 &gt; 현대물")</f>
        <v>BL 소설 e북 &gt; 현대물</v>
      </c>
      <c r="AQ1032" t="str">
        <f>T("BL 소설 e북 &gt; 판타지물")</f>
        <v>BL 소설 e북 &gt; 판타지물</v>
      </c>
    </row>
    <row r="1033" spans="1:43" x14ac:dyDescent="0.4">
      <c r="A1033" t="s">
        <v>43</v>
      </c>
      <c r="B1033">
        <v>3822000060</v>
      </c>
      <c r="C1033">
        <v>3822000079</v>
      </c>
      <c r="D1033" t="str">
        <f>T("[연재]화산신마 완전판 20화")</f>
        <v>[연재]화산신마 완전판 20화</v>
      </c>
      <c r="E1033" t="str">
        <f>T("20")</f>
        <v>20</v>
      </c>
      <c r="F1033" t="str">
        <f>T("월영신")</f>
        <v>월영신</v>
      </c>
      <c r="I1033" t="str">
        <f>T("레벨플러스")</f>
        <v>레벨플러스</v>
      </c>
      <c r="J1033" t="str">
        <f>T("[연재]화산신마 완전판")</f>
        <v>[연재]화산신마 완전판</v>
      </c>
      <c r="K1033">
        <v>0</v>
      </c>
      <c r="L1033">
        <v>0</v>
      </c>
      <c r="M1033">
        <v>0</v>
      </c>
      <c r="N1033">
        <v>4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N1033" t="str">
        <f>T("9791190142168")</f>
        <v>9791190142168</v>
      </c>
      <c r="AP1033" t="str">
        <f>T("판타지 웹소설 &gt; 무협 소설")</f>
        <v>판타지 웹소설 &gt; 무협 소설</v>
      </c>
    </row>
    <row r="1034" spans="1:43" x14ac:dyDescent="0.4">
      <c r="A1034" t="s">
        <v>43</v>
      </c>
      <c r="B1034">
        <v>3822001075</v>
      </c>
      <c r="C1034">
        <v>3822001094</v>
      </c>
      <c r="D1034" t="str">
        <f>T("저승꽃감관 프롤로그 웹툰")</f>
        <v>저승꽃감관 프롤로그 웹툰</v>
      </c>
      <c r="E1034" t="str">
        <f>T("7")</f>
        <v>7</v>
      </c>
      <c r="F1034" t="str">
        <f>T("에복")</f>
        <v>에복</v>
      </c>
      <c r="I1034" t="str">
        <f>T("딥블렌드")</f>
        <v>딥블렌드</v>
      </c>
      <c r="J1034" t="str">
        <f>T("저승꽃감관")</f>
        <v>저승꽃감관</v>
      </c>
      <c r="K1034">
        <v>0</v>
      </c>
      <c r="L1034">
        <v>0</v>
      </c>
      <c r="M1034">
        <v>0</v>
      </c>
      <c r="N1034">
        <v>254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1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N1034" t="str">
        <f>T("9791190876049")</f>
        <v>9791190876049</v>
      </c>
      <c r="AP1034" t="str">
        <f>T("BL 소설 e북 &gt; 역사/시대물")</f>
        <v>BL 소설 e북 &gt; 역사/시대물</v>
      </c>
    </row>
    <row r="1035" spans="1:43" x14ac:dyDescent="0.4">
      <c r="A1035" t="s">
        <v>43</v>
      </c>
      <c r="B1035">
        <v>3822000001</v>
      </c>
      <c r="C1035">
        <v>3822000002</v>
      </c>
      <c r="D1035" t="str">
        <f>T("속삭이는 꽃 2권")</f>
        <v>속삭이는 꽃 2권</v>
      </c>
      <c r="E1035" t="str">
        <f>T("2")</f>
        <v>2</v>
      </c>
      <c r="F1035" t="str">
        <f>T("나다")</f>
        <v>나다</v>
      </c>
      <c r="I1035" t="str">
        <f>T("딥블렌드")</f>
        <v>딥블렌드</v>
      </c>
      <c r="J1035" t="str">
        <f>T("속삭이는 꽃")</f>
        <v>속삭이는 꽃</v>
      </c>
      <c r="K1035">
        <v>3200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3200</v>
      </c>
      <c r="U1035">
        <v>1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2240</v>
      </c>
      <c r="AL1035" t="str">
        <f>T("0000000000000")</f>
        <v>0000000000000</v>
      </c>
      <c r="AN1035" t="str">
        <f>T("9791196658021")</f>
        <v>9791196658021</v>
      </c>
      <c r="AP1035" t="str">
        <f>T("BL 소설 e북 &gt; 역사/시대물")</f>
        <v>BL 소설 e북 &gt; 역사/시대물</v>
      </c>
    </row>
    <row r="1036" spans="1:43" x14ac:dyDescent="0.4">
      <c r="A1036" t="s">
        <v>43</v>
      </c>
      <c r="B1036">
        <v>3822000748</v>
      </c>
      <c r="C1036">
        <v>3822000923</v>
      </c>
      <c r="D1036" t="str">
        <f>T("[연재]왓에버 유 두(whatever you do) 프롤로그 웹툰")</f>
        <v>[연재]왓에버 유 두(whatever you do) 프롤로그 웹툰</v>
      </c>
      <c r="E1036" t="str">
        <f>T("1")</f>
        <v>1</v>
      </c>
      <c r="F1036" t="str">
        <f>T("원믹")</f>
        <v>원믹</v>
      </c>
      <c r="I1036" t="str">
        <f>T("딥블렌드")</f>
        <v>딥블렌드</v>
      </c>
      <c r="J1036" t="str">
        <f>T("[연재]왓에버 유 두(whatever you do)")</f>
        <v>[연재]왓에버 유 두(whatever you do)</v>
      </c>
      <c r="K1036">
        <v>0</v>
      </c>
      <c r="L1036">
        <v>0</v>
      </c>
      <c r="M1036">
        <v>0</v>
      </c>
      <c r="N1036">
        <v>218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N1036" t="str">
        <f>T("9791190142793")</f>
        <v>9791190142793</v>
      </c>
      <c r="AP1036" t="str">
        <f>T("BL 웹소설 &gt; 현대물")</f>
        <v>BL 웹소설 &gt; 현대물</v>
      </c>
    </row>
    <row r="1037" spans="1:43" x14ac:dyDescent="0.4">
      <c r="A1037" t="s">
        <v>43</v>
      </c>
      <c r="B1037">
        <v>3822000060</v>
      </c>
      <c r="C1037">
        <v>3822000080</v>
      </c>
      <c r="D1037" t="str">
        <f>T("[연재]화산신마 완전판 21화")</f>
        <v>[연재]화산신마 완전판 21화</v>
      </c>
      <c r="E1037" t="str">
        <f>T("21")</f>
        <v>21</v>
      </c>
      <c r="F1037" t="str">
        <f>T("월영신")</f>
        <v>월영신</v>
      </c>
      <c r="I1037" t="str">
        <f>T("레벨플러스")</f>
        <v>레벨플러스</v>
      </c>
      <c r="J1037" t="str">
        <f>T("[연재]화산신마 완전판")</f>
        <v>[연재]화산신마 완전판</v>
      </c>
      <c r="K1037">
        <v>0</v>
      </c>
      <c r="L1037">
        <v>0</v>
      </c>
      <c r="M1037">
        <v>0</v>
      </c>
      <c r="N1037">
        <v>3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N1037" t="str">
        <f>T("9791190142168")</f>
        <v>9791190142168</v>
      </c>
      <c r="AP1037" t="str">
        <f>T("판타지 웹소설 &gt; 무협 소설")</f>
        <v>판타지 웹소설 &gt; 무협 소설</v>
      </c>
    </row>
    <row r="1038" spans="1:43" x14ac:dyDescent="0.4">
      <c r="A1038" t="s">
        <v>43</v>
      </c>
      <c r="B1038">
        <v>3822000994</v>
      </c>
      <c r="C1038">
        <v>3822000994</v>
      </c>
      <c r="D1038" t="str">
        <f>T("[연재]후회 없게 해 드립니다 1화")</f>
        <v>[연재]후회 없게 해 드립니다 1화</v>
      </c>
      <c r="E1038" t="str">
        <f>T("1")</f>
        <v>1</v>
      </c>
      <c r="F1038" t="str">
        <f>T("소하")</f>
        <v>소하</v>
      </c>
      <c r="I1038" t="str">
        <f>T("비포선셋")</f>
        <v>비포선셋</v>
      </c>
      <c r="J1038" t="str">
        <f>T("[연재]후회 없게 해 드립니다")</f>
        <v>[연재]후회 없게 해 드립니다</v>
      </c>
      <c r="K1038">
        <v>0</v>
      </c>
      <c r="L1038">
        <v>0</v>
      </c>
      <c r="M1038">
        <v>0</v>
      </c>
      <c r="N1038">
        <v>580</v>
      </c>
      <c r="O1038">
        <v>0</v>
      </c>
      <c r="P1038">
        <v>0</v>
      </c>
      <c r="Q1038">
        <v>25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2</v>
      </c>
      <c r="Z1038">
        <v>0</v>
      </c>
      <c r="AA1038">
        <v>2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N1038" t="str">
        <f>T("9791190142953")</f>
        <v>9791190142953</v>
      </c>
      <c r="AP1038" t="str">
        <f>T("로맨스 웹소설 &gt; 판타지물")</f>
        <v>로맨스 웹소설 &gt; 판타지물</v>
      </c>
    </row>
    <row r="1039" spans="1:43" x14ac:dyDescent="0.4">
      <c r="A1039" t="s">
        <v>43</v>
      </c>
      <c r="B1039">
        <v>3822000060</v>
      </c>
      <c r="C1039">
        <v>3822000081</v>
      </c>
      <c r="D1039" t="str">
        <f>T("[연재]화산신마 완전판 22화")</f>
        <v>[연재]화산신마 완전판 22화</v>
      </c>
      <c r="E1039" t="str">
        <f>T("22")</f>
        <v>22</v>
      </c>
      <c r="F1039" t="str">
        <f>T("월영신")</f>
        <v>월영신</v>
      </c>
      <c r="I1039" t="str">
        <f>T("레벨플러스")</f>
        <v>레벨플러스</v>
      </c>
      <c r="J1039" t="str">
        <f>T("[연재]화산신마 완전판")</f>
        <v>[연재]화산신마 완전판</v>
      </c>
      <c r="K1039">
        <v>0</v>
      </c>
      <c r="L1039">
        <v>0</v>
      </c>
      <c r="M1039">
        <v>0</v>
      </c>
      <c r="N1039">
        <v>4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N1039" t="str">
        <f>T("9791190142168")</f>
        <v>9791190142168</v>
      </c>
      <c r="AP1039" t="str">
        <f>T("판타지 웹소설 &gt; 무협 소설")</f>
        <v>판타지 웹소설 &gt; 무협 소설</v>
      </c>
    </row>
    <row r="1040" spans="1:43" x14ac:dyDescent="0.4">
      <c r="A1040" t="s">
        <v>43</v>
      </c>
      <c r="B1040">
        <v>3822000994</v>
      </c>
      <c r="C1040">
        <v>3822000995</v>
      </c>
      <c r="D1040" t="str">
        <f>T("[연재]후회 없게 해 드립니다 2화")</f>
        <v>[연재]후회 없게 해 드립니다 2화</v>
      </c>
      <c r="E1040" t="str">
        <f>T("2")</f>
        <v>2</v>
      </c>
      <c r="F1040" t="str">
        <f>T("소하")</f>
        <v>소하</v>
      </c>
      <c r="I1040" t="str">
        <f>T("비포선셋")</f>
        <v>비포선셋</v>
      </c>
      <c r="J1040" t="str">
        <f>T("[연재]후회 없게 해 드립니다")</f>
        <v>[연재]후회 없게 해 드립니다</v>
      </c>
      <c r="K1040">
        <v>0</v>
      </c>
      <c r="L1040">
        <v>0</v>
      </c>
      <c r="M1040">
        <v>0</v>
      </c>
      <c r="N1040">
        <v>456</v>
      </c>
      <c r="O1040">
        <v>0</v>
      </c>
      <c r="P1040">
        <v>0</v>
      </c>
      <c r="Q1040">
        <v>26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2</v>
      </c>
      <c r="Z1040">
        <v>0</v>
      </c>
      <c r="AA1040">
        <v>2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N1040" t="str">
        <f>T("9791190142953")</f>
        <v>9791190142953</v>
      </c>
      <c r="AP1040" t="str">
        <f>T("로맨스 웹소설 &gt; 판타지물")</f>
        <v>로맨스 웹소설 &gt; 판타지물</v>
      </c>
    </row>
    <row r="1041" spans="1:43" x14ac:dyDescent="0.4">
      <c r="A1041" t="s">
        <v>43</v>
      </c>
      <c r="B1041">
        <v>3822000060</v>
      </c>
      <c r="C1041">
        <v>3822000082</v>
      </c>
      <c r="D1041" t="str">
        <f>T("[연재]화산신마 완전판 23화")</f>
        <v>[연재]화산신마 완전판 23화</v>
      </c>
      <c r="E1041" t="str">
        <f>T("23")</f>
        <v>23</v>
      </c>
      <c r="F1041" t="str">
        <f>T("월영신")</f>
        <v>월영신</v>
      </c>
      <c r="I1041" t="str">
        <f>T("레벨플러스")</f>
        <v>레벨플러스</v>
      </c>
      <c r="J1041" t="str">
        <f>T("[연재]화산신마 완전판")</f>
        <v>[연재]화산신마 완전판</v>
      </c>
      <c r="K1041">
        <v>0</v>
      </c>
      <c r="L1041">
        <v>0</v>
      </c>
      <c r="M1041">
        <v>0</v>
      </c>
      <c r="N1041">
        <v>4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N1041" t="str">
        <f>T("9791190142168")</f>
        <v>9791190142168</v>
      </c>
      <c r="AP1041" t="str">
        <f>T("판타지 웹소설 &gt; 무협 소설")</f>
        <v>판타지 웹소설 &gt; 무협 소설</v>
      </c>
    </row>
    <row r="1042" spans="1:43" x14ac:dyDescent="0.4">
      <c r="A1042" t="s">
        <v>43</v>
      </c>
      <c r="B1042">
        <v>3822000060</v>
      </c>
      <c r="C1042">
        <v>3822000068</v>
      </c>
      <c r="D1042" t="str">
        <f>T("[연재]화산신마 완전판 9화")</f>
        <v>[연재]화산신마 완전판 9화</v>
      </c>
      <c r="E1042" t="str">
        <f>T("9")</f>
        <v>9</v>
      </c>
      <c r="F1042" t="str">
        <f>T("월영신")</f>
        <v>월영신</v>
      </c>
      <c r="I1042" t="str">
        <f>T("레벨플러스")</f>
        <v>레벨플러스</v>
      </c>
      <c r="J1042" t="str">
        <f>T("[연재]화산신마 완전판")</f>
        <v>[연재]화산신마 완전판</v>
      </c>
      <c r="K1042">
        <v>0</v>
      </c>
      <c r="L1042">
        <v>0</v>
      </c>
      <c r="M1042">
        <v>0</v>
      </c>
      <c r="N1042">
        <v>5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N1042" t="str">
        <f>T("9791190142168")</f>
        <v>9791190142168</v>
      </c>
      <c r="AP1042" t="str">
        <f>T("판타지 웹소설 &gt; 무협 소설")</f>
        <v>판타지 웹소설 &gt; 무협 소설</v>
      </c>
    </row>
    <row r="1043" spans="1:43" x14ac:dyDescent="0.4">
      <c r="A1043" t="s">
        <v>43</v>
      </c>
      <c r="B1043">
        <v>3822000895</v>
      </c>
      <c r="C1043">
        <v>3822000898</v>
      </c>
      <c r="D1043" t="str">
        <f>T("남자 주인공과 이혼하는 법 프롤로그 웹툰")</f>
        <v>남자 주인공과 이혼하는 법 프롤로그 웹툰</v>
      </c>
      <c r="E1043" t="str">
        <f>T("4")</f>
        <v>4</v>
      </c>
      <c r="F1043" t="str">
        <f>T("라라")</f>
        <v>라라</v>
      </c>
      <c r="I1043" t="str">
        <f>T("비포선셋")</f>
        <v>비포선셋</v>
      </c>
      <c r="J1043" t="str">
        <f>T("남자 주인공과 이혼하는 법")</f>
        <v>남자 주인공과 이혼하는 법</v>
      </c>
      <c r="K1043">
        <v>0</v>
      </c>
      <c r="L1043">
        <v>0</v>
      </c>
      <c r="M1043">
        <v>0</v>
      </c>
      <c r="N1043">
        <v>23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N1043" t="str">
        <f>T("9791190142847")</f>
        <v>9791190142847</v>
      </c>
      <c r="AP1043" t="str">
        <f>T("로맨스 e북 &gt; 판타지물")</f>
        <v>로맨스 e북 &gt; 판타지물</v>
      </c>
    </row>
    <row r="1044" spans="1:43" x14ac:dyDescent="0.4">
      <c r="A1044" t="s">
        <v>43</v>
      </c>
      <c r="B1044">
        <v>3822000994</v>
      </c>
      <c r="C1044">
        <v>3822000996</v>
      </c>
      <c r="D1044" t="str">
        <f>T("[연재]후회 없게 해 드립니다 3화")</f>
        <v>[연재]후회 없게 해 드립니다 3화</v>
      </c>
      <c r="E1044" t="str">
        <f>T("3")</f>
        <v>3</v>
      </c>
      <c r="F1044" t="str">
        <f>T("소하")</f>
        <v>소하</v>
      </c>
      <c r="I1044" t="str">
        <f>T("비포선셋")</f>
        <v>비포선셋</v>
      </c>
      <c r="J1044" t="str">
        <f>T("[연재]후회 없게 해 드립니다")</f>
        <v>[연재]후회 없게 해 드립니다</v>
      </c>
      <c r="K1044">
        <v>0</v>
      </c>
      <c r="L1044">
        <v>0</v>
      </c>
      <c r="M1044">
        <v>0</v>
      </c>
      <c r="N1044">
        <v>457</v>
      </c>
      <c r="O1044">
        <v>0</v>
      </c>
      <c r="P1044">
        <v>0</v>
      </c>
      <c r="Q1044">
        <v>26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</v>
      </c>
      <c r="Z1044">
        <v>0</v>
      </c>
      <c r="AA1044">
        <v>2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N1044" t="str">
        <f>T("9791190142953")</f>
        <v>9791190142953</v>
      </c>
      <c r="AP1044" t="str">
        <f>T("로맨스 웹소설 &gt; 판타지물")</f>
        <v>로맨스 웹소설 &gt; 판타지물</v>
      </c>
    </row>
    <row r="1045" spans="1:43" x14ac:dyDescent="0.4">
      <c r="A1045" t="s">
        <v>43</v>
      </c>
      <c r="B1045">
        <v>3822000035</v>
      </c>
      <c r="C1045">
        <v>3822000321</v>
      </c>
      <c r="D1045" t="str">
        <f>T("[연재]어비스(Abyss) 0화 프롤로그 웹툰")</f>
        <v>[연재]어비스(Abyss) 0화 프롤로그 웹툰</v>
      </c>
      <c r="E1045" t="str">
        <f>T("1")</f>
        <v>1</v>
      </c>
      <c r="F1045" t="str">
        <f>T("퀸에이")</f>
        <v>퀸에이</v>
      </c>
      <c r="I1045" t="str">
        <f>T("딥블렌드")</f>
        <v>딥블렌드</v>
      </c>
      <c r="J1045" t="str">
        <f>T("[연재]어비스(Abyss)")</f>
        <v>[연재]어비스(Abyss)</v>
      </c>
      <c r="K1045">
        <v>0</v>
      </c>
      <c r="L1045">
        <v>0</v>
      </c>
      <c r="M1045">
        <v>0</v>
      </c>
      <c r="N1045">
        <v>70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N1045" t="str">
        <f>T("9791190142366")</f>
        <v>9791190142366</v>
      </c>
      <c r="AP1045" t="str">
        <f>T("BL 웹소설 &gt; 현대물")</f>
        <v>BL 웹소설 &gt; 현대물</v>
      </c>
      <c r="AQ1045" t="str">
        <f>T("BL 웹소설 &gt; 판타지물")</f>
        <v>BL 웹소설 &gt; 판타지물</v>
      </c>
    </row>
    <row r="1046" spans="1:43" x14ac:dyDescent="0.4">
      <c r="A1046" t="s">
        <v>43</v>
      </c>
      <c r="B1046">
        <v>3822000060</v>
      </c>
      <c r="C1046">
        <v>3822000083</v>
      </c>
      <c r="D1046" t="str">
        <f>T("[연재]화산신마 완전판 24화")</f>
        <v>[연재]화산신마 완전판 24화</v>
      </c>
      <c r="E1046" t="str">
        <f>T("24")</f>
        <v>24</v>
      </c>
      <c r="F1046" t="str">
        <f>T("월영신")</f>
        <v>월영신</v>
      </c>
      <c r="I1046" t="str">
        <f>T("레벨플러스")</f>
        <v>레벨플러스</v>
      </c>
      <c r="J1046" t="str">
        <f>T("[연재]화산신마 완전판")</f>
        <v>[연재]화산신마 완전판</v>
      </c>
      <c r="K1046">
        <v>0</v>
      </c>
      <c r="L1046">
        <v>0</v>
      </c>
      <c r="M1046">
        <v>0</v>
      </c>
      <c r="N1046">
        <v>4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N1046" t="str">
        <f>T("9791190142168")</f>
        <v>9791190142168</v>
      </c>
      <c r="AP1046" t="str">
        <f>T("판타지 웹소설 &gt; 무협 소설")</f>
        <v>판타지 웹소설 &gt; 무협 소설</v>
      </c>
    </row>
    <row r="1047" spans="1:43" x14ac:dyDescent="0.4">
      <c r="A1047" t="s">
        <v>43</v>
      </c>
      <c r="B1047">
        <v>3822000060</v>
      </c>
      <c r="C1047">
        <v>3822000069</v>
      </c>
      <c r="D1047" t="str">
        <f>T("[연재]화산신마 완전판 10화")</f>
        <v>[연재]화산신마 완전판 10화</v>
      </c>
      <c r="E1047" t="str">
        <f>T("10")</f>
        <v>10</v>
      </c>
      <c r="F1047" t="str">
        <f>T("월영신")</f>
        <v>월영신</v>
      </c>
      <c r="I1047" t="str">
        <f>T("레벨플러스")</f>
        <v>레벨플러스</v>
      </c>
      <c r="J1047" t="str">
        <f>T("[연재]화산신마 완전판")</f>
        <v>[연재]화산신마 완전판</v>
      </c>
      <c r="K1047">
        <v>0</v>
      </c>
      <c r="L1047">
        <v>0</v>
      </c>
      <c r="M1047">
        <v>0</v>
      </c>
      <c r="N1047">
        <v>4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N1047" t="str">
        <f>T("9791190142168")</f>
        <v>9791190142168</v>
      </c>
      <c r="AP1047" t="str">
        <f>T("판타지 웹소설 &gt; 무협 소설")</f>
        <v>판타지 웹소설 &gt; 무협 소설</v>
      </c>
    </row>
    <row r="1048" spans="1:43" x14ac:dyDescent="0.4">
      <c r="A1048" t="s">
        <v>43</v>
      </c>
      <c r="B1048">
        <v>3822000060</v>
      </c>
      <c r="C1048">
        <v>3822000084</v>
      </c>
      <c r="D1048" t="str">
        <f>T("[연재]화산신마 완전판 25화")</f>
        <v>[연재]화산신마 완전판 25화</v>
      </c>
      <c r="E1048" t="str">
        <f>T("25")</f>
        <v>25</v>
      </c>
      <c r="F1048" t="str">
        <f>T("월영신")</f>
        <v>월영신</v>
      </c>
      <c r="I1048" t="str">
        <f>T("레벨플러스")</f>
        <v>레벨플러스</v>
      </c>
      <c r="J1048" t="str">
        <f>T("[연재]화산신마 완전판")</f>
        <v>[연재]화산신마 완전판</v>
      </c>
      <c r="K1048">
        <v>0</v>
      </c>
      <c r="L1048">
        <v>0</v>
      </c>
      <c r="M1048">
        <v>0</v>
      </c>
      <c r="N1048">
        <v>4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N1048" t="str">
        <f>T("9791190142168")</f>
        <v>9791190142168</v>
      </c>
      <c r="AP1048" t="str">
        <f>T("판타지 웹소설 &gt; 무협 소설")</f>
        <v>판타지 웹소설 &gt; 무협 소설</v>
      </c>
    </row>
    <row r="1049" spans="1:43" x14ac:dyDescent="0.4">
      <c r="A1049" t="s">
        <v>43</v>
      </c>
      <c r="B1049">
        <v>3822001215</v>
      </c>
      <c r="C1049">
        <v>3822001268</v>
      </c>
      <c r="D1049" t="str">
        <f>T("왓에버 유 두(whatever you do) 프롤로그 웹툰")</f>
        <v>왓에버 유 두(whatever you do) 프롤로그 웹툰</v>
      </c>
      <c r="E1049" t="str">
        <f>T("6")</f>
        <v>6</v>
      </c>
      <c r="F1049" t="str">
        <f>T("원믹")</f>
        <v>원믹</v>
      </c>
      <c r="I1049" t="str">
        <f>T("딥블렌드")</f>
        <v>딥블렌드</v>
      </c>
      <c r="J1049" t="str">
        <f>T("왓에버 유 두(whatever you do)")</f>
        <v>왓에버 유 두(whatever you do)</v>
      </c>
      <c r="K1049">
        <v>0</v>
      </c>
      <c r="L1049">
        <v>0</v>
      </c>
      <c r="M1049">
        <v>0</v>
      </c>
      <c r="N1049">
        <v>225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N1049" t="str">
        <f>T("9791190876353")</f>
        <v>9791190876353</v>
      </c>
      <c r="AP1049" t="str">
        <f>T("BL 소설 e북 &gt; 현대물")</f>
        <v>BL 소설 e북 &gt; 현대물</v>
      </c>
    </row>
    <row r="1050" spans="1:43" x14ac:dyDescent="0.4">
      <c r="A1050" t="s">
        <v>43</v>
      </c>
      <c r="B1050">
        <v>3822000060</v>
      </c>
      <c r="C1050">
        <v>3822000070</v>
      </c>
      <c r="D1050" t="str">
        <f>T("[연재]화산신마 완전판 11화")</f>
        <v>[연재]화산신마 완전판 11화</v>
      </c>
      <c r="E1050" t="str">
        <f>T("11")</f>
        <v>11</v>
      </c>
      <c r="F1050" t="str">
        <f>T("월영신")</f>
        <v>월영신</v>
      </c>
      <c r="I1050" t="str">
        <f>T("레벨플러스")</f>
        <v>레벨플러스</v>
      </c>
      <c r="J1050" t="str">
        <f>T("[연재]화산신마 완전판")</f>
        <v>[연재]화산신마 완전판</v>
      </c>
      <c r="K1050">
        <v>0</v>
      </c>
      <c r="L1050">
        <v>0</v>
      </c>
      <c r="M1050">
        <v>0</v>
      </c>
      <c r="N1050">
        <v>4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N1050" t="str">
        <f>T("9791190142168")</f>
        <v>9791190142168</v>
      </c>
      <c r="AP1050" t="str">
        <f>T("판타지 웹소설 &gt; 무협 소설")</f>
        <v>판타지 웹소설 &gt; 무협 소설</v>
      </c>
    </row>
    <row r="1051" spans="1:43" x14ac:dyDescent="0.4">
      <c r="A1051" t="s">
        <v>43</v>
      </c>
      <c r="B1051">
        <v>3822000645</v>
      </c>
      <c r="C1051">
        <v>3822001040</v>
      </c>
      <c r="D1051" t="str">
        <f>T("[연재]방송 켜셔야죠 프롤로그 웹툰")</f>
        <v>[연재]방송 켜셔야죠 프롤로그 웹툰</v>
      </c>
      <c r="E1051" t="str">
        <f>T("1")</f>
        <v>1</v>
      </c>
      <c r="F1051" t="str">
        <f>T("파란비")</f>
        <v>파란비</v>
      </c>
      <c r="I1051" t="str">
        <f>T("딥블렌드")</f>
        <v>딥블렌드</v>
      </c>
      <c r="J1051" t="str">
        <f>T("[연재]방송 켜셔야죠")</f>
        <v>[연재]방송 켜셔야죠</v>
      </c>
      <c r="K1051">
        <v>0</v>
      </c>
      <c r="L1051">
        <v>0</v>
      </c>
      <c r="M1051">
        <v>0</v>
      </c>
      <c r="N1051">
        <v>359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N1051" t="str">
        <f>T("9791190142717")</f>
        <v>9791190142717</v>
      </c>
      <c r="AP1051" t="str">
        <f>T("BL 웹소설 &gt; 현대물")</f>
        <v>BL 웹소설 &gt; 현대물</v>
      </c>
    </row>
    <row r="1052" spans="1:43" x14ac:dyDescent="0.4">
      <c r="A1052" t="s">
        <v>43</v>
      </c>
      <c r="B1052">
        <v>3822000060</v>
      </c>
      <c r="C1052">
        <v>3822000060</v>
      </c>
      <c r="D1052" t="str">
        <f>T("[연재]화산신마 완전판 1화")</f>
        <v>[연재]화산신마 완전판 1화</v>
      </c>
      <c r="E1052" t="str">
        <f>T("1")</f>
        <v>1</v>
      </c>
      <c r="F1052" t="str">
        <f>T("월영신")</f>
        <v>월영신</v>
      </c>
      <c r="I1052" t="str">
        <f>T("레벨플러스")</f>
        <v>레벨플러스</v>
      </c>
      <c r="J1052" t="str">
        <f>T("[연재]화산신마 완전판")</f>
        <v>[연재]화산신마 완전판</v>
      </c>
      <c r="K1052">
        <v>0</v>
      </c>
      <c r="L1052">
        <v>0</v>
      </c>
      <c r="M1052">
        <v>0</v>
      </c>
      <c r="N1052">
        <v>8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N1052" t="str">
        <f>T("9791190142168")</f>
        <v>9791190142168</v>
      </c>
      <c r="AP1052" t="str">
        <f>T("판타지 웹소설 &gt; 무협 소설")</f>
        <v>판타지 웹소설 &gt; 무협 소설</v>
      </c>
    </row>
    <row r="1053" spans="1:43" x14ac:dyDescent="0.4">
      <c r="A1053" t="s">
        <v>43</v>
      </c>
      <c r="B1053">
        <v>3822000323</v>
      </c>
      <c r="C1053">
        <v>3822000323</v>
      </c>
      <c r="D1053" t="str">
        <f>T("[연재]네크로맨서 생존기 1화")</f>
        <v>[연재]네크로맨서 생존기 1화</v>
      </c>
      <c r="E1053" t="str">
        <f>T("1")</f>
        <v>1</v>
      </c>
      <c r="F1053" t="str">
        <f>T("키마님")</f>
        <v>키마님</v>
      </c>
      <c r="I1053" t="str">
        <f>T("딥블렌드")</f>
        <v>딥블렌드</v>
      </c>
      <c r="J1053" t="str">
        <f>T("[연재]네크로맨서 생존기")</f>
        <v>[연재]네크로맨서 생존기</v>
      </c>
      <c r="K1053">
        <v>0</v>
      </c>
      <c r="L1053">
        <v>0</v>
      </c>
      <c r="M1053">
        <v>0</v>
      </c>
      <c r="N1053">
        <v>687</v>
      </c>
      <c r="O1053">
        <v>0</v>
      </c>
      <c r="P1053">
        <v>0</v>
      </c>
      <c r="Q1053">
        <v>41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L1053" t="str">
        <f>T("0000000000000")</f>
        <v>0000000000000</v>
      </c>
      <c r="AN1053" t="str">
        <f>T("9791190142359")</f>
        <v>9791190142359</v>
      </c>
      <c r="AP1053" t="str">
        <f>T("BL 웹소설 &gt; 현대물")</f>
        <v>BL 웹소설 &gt; 현대물</v>
      </c>
      <c r="AQ1053" t="str">
        <f>T("BL 웹소설 &gt; 판타지물")</f>
        <v>BL 웹소설 &gt; 판타지물</v>
      </c>
    </row>
    <row r="1054" spans="1:43" x14ac:dyDescent="0.4">
      <c r="A1054" t="s">
        <v>43</v>
      </c>
      <c r="B1054">
        <v>3822000645</v>
      </c>
      <c r="C1054">
        <v>3822000645</v>
      </c>
      <c r="D1054" t="str">
        <f>T("[연재]방송 켜셔야죠 1화")</f>
        <v>[연재]방송 켜셔야죠 1화</v>
      </c>
      <c r="E1054" t="str">
        <f>T("1")</f>
        <v>1</v>
      </c>
      <c r="F1054" t="str">
        <f>T("파란비")</f>
        <v>파란비</v>
      </c>
      <c r="I1054" t="str">
        <f>T("딥블렌드")</f>
        <v>딥블렌드</v>
      </c>
      <c r="J1054" t="str">
        <f>T("[연재]방송 켜셔야죠")</f>
        <v>[연재]방송 켜셔야죠</v>
      </c>
      <c r="K1054">
        <v>0</v>
      </c>
      <c r="L1054">
        <v>0</v>
      </c>
      <c r="M1054">
        <v>0</v>
      </c>
      <c r="N1054">
        <v>324</v>
      </c>
      <c r="O1054">
        <v>0</v>
      </c>
      <c r="P1054">
        <v>0</v>
      </c>
      <c r="Q1054">
        <v>12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N1054" t="str">
        <f>T("9791190142717")</f>
        <v>9791190142717</v>
      </c>
      <c r="AP1054" t="str">
        <f>T("BL 웹소설 &gt; 현대물")</f>
        <v>BL 웹소설 &gt; 현대물</v>
      </c>
    </row>
    <row r="1055" spans="1:43" x14ac:dyDescent="0.4">
      <c r="A1055" t="s">
        <v>43</v>
      </c>
      <c r="B1055">
        <v>3822000060</v>
      </c>
      <c r="C1055">
        <v>3822000071</v>
      </c>
      <c r="D1055" t="str">
        <f>T("[연재]화산신마 완전판 12화")</f>
        <v>[연재]화산신마 완전판 12화</v>
      </c>
      <c r="E1055" t="str">
        <f>T("12")</f>
        <v>12</v>
      </c>
      <c r="F1055" t="str">
        <f>T("월영신")</f>
        <v>월영신</v>
      </c>
      <c r="I1055" t="str">
        <f>T("레벨플러스")</f>
        <v>레벨플러스</v>
      </c>
      <c r="J1055" t="str">
        <f>T("[연재]화산신마 완전판")</f>
        <v>[연재]화산신마 완전판</v>
      </c>
      <c r="K1055">
        <v>0</v>
      </c>
      <c r="L1055">
        <v>0</v>
      </c>
      <c r="M1055">
        <v>0</v>
      </c>
      <c r="N1055">
        <v>4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N1055" t="str">
        <f>T("9791190142168")</f>
        <v>9791190142168</v>
      </c>
      <c r="AP1055" t="str">
        <f>T("판타지 웹소설 &gt; 무협 소설")</f>
        <v>판타지 웹소설 &gt; 무협 소설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calculate_1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WJPark</dc:creator>
  <cp:lastModifiedBy>WJPark</cp:lastModifiedBy>
  <dcterms:created xsi:type="dcterms:W3CDTF">2020-09-25T09:06:14Z</dcterms:created>
  <dcterms:modified xsi:type="dcterms:W3CDTF">2020-09-25T09:06:14Z</dcterms:modified>
</cp:coreProperties>
</file>