
<file path=[Content_Types].xml><?xml version="1.0" encoding="utf-8"?>
<Types xmlns="http://schemas.openxmlformats.org/package/2006/content-types">
  <Default Extension="xml" ContentType="application/xml"/>
  <Default Extension="jpeg" ContentType="image/jpeg"/>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4.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8028"/>
  <workbookPr showInkAnnotation="0" autoCompressPictures="0"/>
  <bookViews>
    <workbookView xWindow="1120" yWindow="1120" windowWidth="24480" windowHeight="14940" tabRatio="654"/>
  </bookViews>
  <sheets>
    <sheet name="README" sheetId="8" r:id="rId1"/>
    <sheet name="Disclaimer" sheetId="31" r:id="rId2"/>
    <sheet name="Support" sheetId="32" r:id="rId3"/>
    <sheet name="Summary" sheetId="28" r:id="rId4"/>
    <sheet name="Cap Table" sheetId="29" r:id="rId5"/>
    <sheet name="Exit Waterfall" sheetId="30" r:id="rId6"/>
    <sheet name="1 - Equity Issuance" sheetId="10" r:id="rId7"/>
    <sheet name="1 - Equity Issuance, 2nd Round" sheetId="11" r:id="rId8"/>
    <sheet name="2 - Premoney Option Pool" sheetId="14" r:id="rId9"/>
    <sheet name="2 - Postmoney Option Pool" sheetId="15" r:id="rId10"/>
    <sheet name="2 - Option Pool, 2nd Round" sheetId="21" r:id="rId11"/>
    <sheet name="3 - Convertible Issuance" sheetId="12" r:id="rId12"/>
    <sheet name="3 - Conversion, Premoney" sheetId="13" r:id="rId13"/>
    <sheet name="3 - Conversion, % Ownership" sheetId="16" r:id="rId14"/>
    <sheet name="3 - Conversion, $ Invested" sheetId="17" r:id="rId15"/>
    <sheet name="4 - Option Pool + Conversion" sheetId="27" r:id="rId16"/>
    <sheet name="5 - Exit Waterfall Distribution" sheetId="20" r:id="rId17"/>
    <sheet name="6 - VC Valuation" sheetId="24" r:id="rId18"/>
    <sheet name="Changelog" sheetId="5" r:id="rId19"/>
  </sheets>
  <definedNames>
    <definedName name="_xlnm.Print_Area" localSheetId="0">README!$B$2:$B$89</definedName>
    <definedName name="solver_eng" localSheetId="7" hidden="1">1</definedName>
    <definedName name="solver_lin" localSheetId="7" hidden="1">2</definedName>
    <definedName name="solver_neg" localSheetId="7" hidden="1">1</definedName>
    <definedName name="solver_num" localSheetId="7" hidden="1">0</definedName>
    <definedName name="solver_opt" localSheetId="7" hidden="1">'1 - Equity Issuance, 2nd Round'!$M$14</definedName>
    <definedName name="solver_typ" localSheetId="7" hidden="1">1</definedName>
    <definedName name="solver_val" localSheetId="7" hidden="1">0</definedName>
    <definedName name="solver_ver" localSheetId="7" hidden="1">2</definedName>
  </definedName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FH6" i="29" l="1"/>
  <c r="F12" i="28"/>
  <c r="FH7" i="29"/>
  <c r="F13" i="28"/>
  <c r="FH8" i="29"/>
  <c r="F14" i="28"/>
  <c r="FH9" i="29"/>
  <c r="F15" i="28"/>
  <c r="F16" i="28"/>
  <c r="F17" i="28"/>
  <c r="F18" i="28"/>
  <c r="F19" i="28"/>
  <c r="FH32" i="29"/>
  <c r="F28" i="28"/>
  <c r="F20" i="28"/>
  <c r="FH33" i="29"/>
  <c r="F29" i="28"/>
  <c r="F21" i="28"/>
  <c r="FH27" i="29"/>
  <c r="F22" i="28"/>
  <c r="FH28" i="29"/>
  <c r="F23" i="28"/>
  <c r="F25" i="28"/>
  <c r="G25" i="28"/>
  <c r="K7" i="29"/>
  <c r="K6" i="29"/>
  <c r="K29" i="29"/>
  <c r="R61" i="29"/>
  <c r="Q8" i="29"/>
  <c r="AN8" i="29"/>
  <c r="AL8" i="29"/>
  <c r="AL9" i="29"/>
  <c r="AL10" i="29"/>
  <c r="AL11" i="29"/>
  <c r="AL12" i="29"/>
  <c r="AL13" i="29"/>
  <c r="I60" i="29"/>
  <c r="R60" i="29"/>
  <c r="AM60" i="29"/>
  <c r="BH60" i="29"/>
  <c r="CC60" i="29"/>
  <c r="CX60" i="29"/>
  <c r="DS60" i="29"/>
  <c r="DT26" i="29"/>
  <c r="DQ26" i="29"/>
  <c r="DT25" i="29"/>
  <c r="DQ25" i="29"/>
  <c r="DT24" i="29"/>
  <c r="DQ24" i="29"/>
  <c r="DT23" i="29"/>
  <c r="DQ23" i="29"/>
  <c r="DT22" i="29"/>
  <c r="DQ22" i="29"/>
  <c r="DT21" i="29"/>
  <c r="DQ21" i="29"/>
  <c r="DT20" i="29"/>
  <c r="DQ20" i="29"/>
  <c r="DT19" i="29"/>
  <c r="DQ19" i="29"/>
  <c r="DT18" i="29"/>
  <c r="DQ18" i="29"/>
  <c r="DT17" i="29"/>
  <c r="DQ17" i="29"/>
  <c r="DT16" i="29"/>
  <c r="DQ16" i="29"/>
  <c r="DT15" i="29"/>
  <c r="DQ15" i="29"/>
  <c r="DT14" i="29"/>
  <c r="DQ14" i="29"/>
  <c r="DT13" i="29"/>
  <c r="DQ13" i="29"/>
  <c r="DT12" i="29"/>
  <c r="DQ12" i="29"/>
  <c r="DT11" i="29"/>
  <c r="DQ11" i="29"/>
  <c r="DT10" i="29"/>
  <c r="DQ10" i="29"/>
  <c r="DT9" i="29"/>
  <c r="DQ9" i="29"/>
  <c r="DQ8" i="29"/>
  <c r="DT7" i="29"/>
  <c r="DQ7" i="29"/>
  <c r="DT6" i="29"/>
  <c r="DQ6" i="29"/>
  <c r="CY26" i="29"/>
  <c r="CV26" i="29"/>
  <c r="CY25" i="29"/>
  <c r="CV25" i="29"/>
  <c r="CY24" i="29"/>
  <c r="CV24" i="29"/>
  <c r="CY23" i="29"/>
  <c r="CV23" i="29"/>
  <c r="CY22" i="29"/>
  <c r="CV22" i="29"/>
  <c r="CY21" i="29"/>
  <c r="CV21" i="29"/>
  <c r="CY20" i="29"/>
  <c r="CV20" i="29"/>
  <c r="CY19" i="29"/>
  <c r="CV19" i="29"/>
  <c r="CY18" i="29"/>
  <c r="CV18" i="29"/>
  <c r="CY17" i="29"/>
  <c r="CV17" i="29"/>
  <c r="CY16" i="29"/>
  <c r="CV16" i="29"/>
  <c r="CY15" i="29"/>
  <c r="CV15" i="29"/>
  <c r="CY14" i="29"/>
  <c r="CV14" i="29"/>
  <c r="CY13" i="29"/>
  <c r="CV13" i="29"/>
  <c r="CY12" i="29"/>
  <c r="CV12" i="29"/>
  <c r="CY11" i="29"/>
  <c r="CV11" i="29"/>
  <c r="CY10" i="29"/>
  <c r="CV10" i="29"/>
  <c r="CY9" i="29"/>
  <c r="CV9" i="29"/>
  <c r="CY8" i="29"/>
  <c r="CV8" i="29"/>
  <c r="CY7" i="29"/>
  <c r="CV7" i="29"/>
  <c r="CY6" i="29"/>
  <c r="CV6" i="29"/>
  <c r="CD26" i="29"/>
  <c r="CA26" i="29"/>
  <c r="CD25" i="29"/>
  <c r="CA25" i="29"/>
  <c r="CD24" i="29"/>
  <c r="CA24" i="29"/>
  <c r="CD23" i="29"/>
  <c r="CA23" i="29"/>
  <c r="CD22" i="29"/>
  <c r="CA22" i="29"/>
  <c r="CD21" i="29"/>
  <c r="CA21" i="29"/>
  <c r="CD20" i="29"/>
  <c r="CA20" i="29"/>
  <c r="CD19" i="29"/>
  <c r="CA19" i="29"/>
  <c r="CD18" i="29"/>
  <c r="CA18" i="29"/>
  <c r="CD17" i="29"/>
  <c r="CA17" i="29"/>
  <c r="CD16" i="29"/>
  <c r="CA16" i="29"/>
  <c r="CD15" i="29"/>
  <c r="CA15" i="29"/>
  <c r="CD14" i="29"/>
  <c r="CA14" i="29"/>
  <c r="CD13" i="29"/>
  <c r="CA13" i="29"/>
  <c r="CD12" i="29"/>
  <c r="CA12" i="29"/>
  <c r="CD11" i="29"/>
  <c r="CA11" i="29"/>
  <c r="CD10" i="29"/>
  <c r="CA10" i="29"/>
  <c r="CD9" i="29"/>
  <c r="CA9" i="29"/>
  <c r="CD8" i="29"/>
  <c r="CA8" i="29"/>
  <c r="CD7" i="29"/>
  <c r="CA7" i="29"/>
  <c r="CD6" i="29"/>
  <c r="CA6" i="29"/>
  <c r="BI26" i="29"/>
  <c r="BF26" i="29"/>
  <c r="BI25" i="29"/>
  <c r="BF25" i="29"/>
  <c r="BI24" i="29"/>
  <c r="BF24" i="29"/>
  <c r="BI23" i="29"/>
  <c r="BF23" i="29"/>
  <c r="BI22" i="29"/>
  <c r="BF22" i="29"/>
  <c r="BI21" i="29"/>
  <c r="BF21" i="29"/>
  <c r="BI20" i="29"/>
  <c r="BF20" i="29"/>
  <c r="BI19" i="29"/>
  <c r="BF19" i="29"/>
  <c r="BI18" i="29"/>
  <c r="BF18" i="29"/>
  <c r="BI17" i="29"/>
  <c r="BF17" i="29"/>
  <c r="BI16" i="29"/>
  <c r="BF16" i="29"/>
  <c r="BI15" i="29"/>
  <c r="BF15" i="29"/>
  <c r="BI14" i="29"/>
  <c r="BF14" i="29"/>
  <c r="BI13" i="29"/>
  <c r="BF13" i="29"/>
  <c r="BI12" i="29"/>
  <c r="BF12" i="29"/>
  <c r="BI11" i="29"/>
  <c r="BF11" i="29"/>
  <c r="BI10" i="29"/>
  <c r="BF10" i="29"/>
  <c r="BI9" i="29"/>
  <c r="BF9" i="29"/>
  <c r="BI8" i="29"/>
  <c r="BF8" i="29"/>
  <c r="BI7" i="29"/>
  <c r="BF7" i="29"/>
  <c r="BI6" i="29"/>
  <c r="BF6" i="29"/>
  <c r="AN7" i="29"/>
  <c r="AK7" i="29"/>
  <c r="P8" i="29"/>
  <c r="AK8" i="29"/>
  <c r="AN9" i="29"/>
  <c r="AK9" i="29"/>
  <c r="AN10" i="29"/>
  <c r="AK10" i="29"/>
  <c r="AN11" i="29"/>
  <c r="AK11" i="29"/>
  <c r="AN12" i="29"/>
  <c r="AK12" i="29"/>
  <c r="AN13" i="29"/>
  <c r="AK13" i="29"/>
  <c r="AN14" i="29"/>
  <c r="AK14" i="29"/>
  <c r="AN15" i="29"/>
  <c r="AK15" i="29"/>
  <c r="AN16" i="29"/>
  <c r="AK16" i="29"/>
  <c r="AN17" i="29"/>
  <c r="AK17" i="29"/>
  <c r="AN18" i="29"/>
  <c r="AK18" i="29"/>
  <c r="AN19" i="29"/>
  <c r="AK19" i="29"/>
  <c r="AN20" i="29"/>
  <c r="AK20" i="29"/>
  <c r="AN21" i="29"/>
  <c r="AK21" i="29"/>
  <c r="AN22" i="29"/>
  <c r="AK22" i="29"/>
  <c r="AN23" i="29"/>
  <c r="AK23" i="29"/>
  <c r="AN24" i="29"/>
  <c r="AK24" i="29"/>
  <c r="AN25" i="29"/>
  <c r="AK25" i="29"/>
  <c r="AN26" i="29"/>
  <c r="AK26" i="29"/>
  <c r="AN6" i="29"/>
  <c r="AK6" i="29"/>
  <c r="P6" i="29"/>
  <c r="P7" i="29"/>
  <c r="P9" i="29"/>
  <c r="P10" i="29"/>
  <c r="P11" i="29"/>
  <c r="P12" i="29"/>
  <c r="P13" i="29"/>
  <c r="P14" i="29"/>
  <c r="P15" i="29"/>
  <c r="P16" i="29"/>
  <c r="P17" i="29"/>
  <c r="P18" i="29"/>
  <c r="P19" i="29"/>
  <c r="P20" i="29"/>
  <c r="P21" i="29"/>
  <c r="P22" i="29"/>
  <c r="P23" i="29"/>
  <c r="P24" i="29"/>
  <c r="P25" i="29"/>
  <c r="P26" i="29"/>
  <c r="H7" i="29"/>
  <c r="Q7" i="29"/>
  <c r="H8" i="29"/>
  <c r="H9" i="29"/>
  <c r="Q9" i="29"/>
  <c r="H10" i="29"/>
  <c r="Q10" i="29"/>
  <c r="H11" i="29"/>
  <c r="Q11" i="29"/>
  <c r="H12" i="29"/>
  <c r="Q12" i="29"/>
  <c r="H13" i="29"/>
  <c r="Q13" i="29"/>
  <c r="H14" i="29"/>
  <c r="Q14" i="29"/>
  <c r="H15" i="29"/>
  <c r="Q15" i="29"/>
  <c r="H16" i="29"/>
  <c r="Q16" i="29"/>
  <c r="H17" i="29"/>
  <c r="Q17" i="29"/>
  <c r="H18" i="29"/>
  <c r="Q18" i="29"/>
  <c r="H19" i="29"/>
  <c r="Q19" i="29"/>
  <c r="H20" i="29"/>
  <c r="Q20" i="29"/>
  <c r="H21" i="29"/>
  <c r="Q21" i="29"/>
  <c r="H22" i="29"/>
  <c r="Q22" i="29"/>
  <c r="H23" i="29"/>
  <c r="Q23" i="29"/>
  <c r="H24" i="29"/>
  <c r="Q24" i="29"/>
  <c r="H25" i="29"/>
  <c r="Q25" i="29"/>
  <c r="H26" i="29"/>
  <c r="Q26" i="29"/>
  <c r="H27" i="29"/>
  <c r="Q27" i="29"/>
  <c r="H28" i="29"/>
  <c r="Q28" i="29"/>
  <c r="H6" i="29"/>
  <c r="Q6" i="29"/>
  <c r="AL7" i="29"/>
  <c r="BG7" i="29"/>
  <c r="CB7" i="29"/>
  <c r="CW7" i="29"/>
  <c r="DR7" i="29"/>
  <c r="AD7" i="29"/>
  <c r="AY7" i="29"/>
  <c r="BT7" i="29"/>
  <c r="CO7" i="29"/>
  <c r="DJ7" i="29"/>
  <c r="EE7" i="29"/>
  <c r="AC7" i="29"/>
  <c r="AX7" i="29"/>
  <c r="BS7" i="29"/>
  <c r="CN7" i="29"/>
  <c r="DI7" i="29"/>
  <c r="ED7" i="29"/>
  <c r="EF7" i="29"/>
  <c r="EI7" i="29"/>
  <c r="DX8" i="29"/>
  <c r="DZ8" i="29"/>
  <c r="AQ6" i="29"/>
  <c r="BL6" i="29"/>
  <c r="CG6" i="29"/>
  <c r="DB6" i="29"/>
  <c r="DC6" i="29"/>
  <c r="DE6" i="29"/>
  <c r="CH6" i="29"/>
  <c r="CJ6" i="29"/>
  <c r="BM6" i="29"/>
  <c r="BO6" i="29"/>
  <c r="AR6" i="29"/>
  <c r="AT6" i="29"/>
  <c r="W6" i="29"/>
  <c r="Y6" i="29"/>
  <c r="R74" i="29"/>
  <c r="K8" i="29"/>
  <c r="K9" i="29"/>
  <c r="K10" i="29"/>
  <c r="K11" i="29"/>
  <c r="K12" i="29"/>
  <c r="K13" i="29"/>
  <c r="K14" i="29"/>
  <c r="K15" i="29"/>
  <c r="K16" i="29"/>
  <c r="K17" i="29"/>
  <c r="K18" i="29"/>
  <c r="K19" i="29"/>
  <c r="K20" i="29"/>
  <c r="K21" i="29"/>
  <c r="K22" i="29"/>
  <c r="K23" i="29"/>
  <c r="K24" i="29"/>
  <c r="K25" i="29"/>
  <c r="K26" i="29"/>
  <c r="K27" i="29"/>
  <c r="K28" i="29"/>
  <c r="R62" i="29"/>
  <c r="Z6" i="29"/>
  <c r="AA6" i="29"/>
  <c r="AC6" i="29"/>
  <c r="AD6" i="29"/>
  <c r="AE6" i="29"/>
  <c r="W8" i="29"/>
  <c r="Y8" i="29"/>
  <c r="Z8" i="29"/>
  <c r="AA8" i="29"/>
  <c r="AC8" i="29"/>
  <c r="AD8" i="29"/>
  <c r="AE8" i="29"/>
  <c r="W9" i="29"/>
  <c r="Y9" i="29"/>
  <c r="Z9" i="29"/>
  <c r="AA9" i="29"/>
  <c r="AC9" i="29"/>
  <c r="AD9" i="29"/>
  <c r="AE9" i="29"/>
  <c r="W10" i="29"/>
  <c r="Y10" i="29"/>
  <c r="Z10" i="29"/>
  <c r="AA10" i="29"/>
  <c r="AC10" i="29"/>
  <c r="AD10" i="29"/>
  <c r="AE10" i="29"/>
  <c r="W11" i="29"/>
  <c r="Y11" i="29"/>
  <c r="Z11" i="29"/>
  <c r="AA11" i="29"/>
  <c r="AC11" i="29"/>
  <c r="AD11" i="29"/>
  <c r="AE11" i="29"/>
  <c r="W12" i="29"/>
  <c r="Y12" i="29"/>
  <c r="Z12" i="29"/>
  <c r="AA12" i="29"/>
  <c r="AC12" i="29"/>
  <c r="AD12" i="29"/>
  <c r="AE12" i="29"/>
  <c r="W13" i="29"/>
  <c r="Y13" i="29"/>
  <c r="Z13" i="29"/>
  <c r="AA13" i="29"/>
  <c r="AC13" i="29"/>
  <c r="AD13" i="29"/>
  <c r="AE13" i="29"/>
  <c r="W14" i="29"/>
  <c r="Y14" i="29"/>
  <c r="Z14" i="29"/>
  <c r="AA14" i="29"/>
  <c r="AC14" i="29"/>
  <c r="AD14" i="29"/>
  <c r="AE14" i="29"/>
  <c r="W15" i="29"/>
  <c r="Y15" i="29"/>
  <c r="Z15" i="29"/>
  <c r="AA15" i="29"/>
  <c r="AC15" i="29"/>
  <c r="AD15" i="29"/>
  <c r="AE15" i="29"/>
  <c r="W16" i="29"/>
  <c r="Y16" i="29"/>
  <c r="Z16" i="29"/>
  <c r="AA16" i="29"/>
  <c r="AC16" i="29"/>
  <c r="AD16" i="29"/>
  <c r="AE16" i="29"/>
  <c r="W17" i="29"/>
  <c r="Y17" i="29"/>
  <c r="Z17" i="29"/>
  <c r="AA17" i="29"/>
  <c r="AC17" i="29"/>
  <c r="AD17" i="29"/>
  <c r="AE17" i="29"/>
  <c r="W18" i="29"/>
  <c r="Y18" i="29"/>
  <c r="Z18" i="29"/>
  <c r="AA18" i="29"/>
  <c r="AC18" i="29"/>
  <c r="AD18" i="29"/>
  <c r="AE18" i="29"/>
  <c r="W19" i="29"/>
  <c r="Y19" i="29"/>
  <c r="Z19" i="29"/>
  <c r="AA19" i="29"/>
  <c r="AC19" i="29"/>
  <c r="AD19" i="29"/>
  <c r="AE19" i="29"/>
  <c r="W20" i="29"/>
  <c r="Y20" i="29"/>
  <c r="Z20" i="29"/>
  <c r="AA20" i="29"/>
  <c r="AC20" i="29"/>
  <c r="AD20" i="29"/>
  <c r="AE20" i="29"/>
  <c r="W21" i="29"/>
  <c r="Y21" i="29"/>
  <c r="Z21" i="29"/>
  <c r="AA21" i="29"/>
  <c r="AC21" i="29"/>
  <c r="AD21" i="29"/>
  <c r="AE21" i="29"/>
  <c r="W22" i="29"/>
  <c r="Y22" i="29"/>
  <c r="Z22" i="29"/>
  <c r="AA22" i="29"/>
  <c r="AC22" i="29"/>
  <c r="AD22" i="29"/>
  <c r="AE22" i="29"/>
  <c r="W23" i="29"/>
  <c r="Y23" i="29"/>
  <c r="Z23" i="29"/>
  <c r="AA23" i="29"/>
  <c r="AC23" i="29"/>
  <c r="AD23" i="29"/>
  <c r="AE23" i="29"/>
  <c r="W24" i="29"/>
  <c r="Y24" i="29"/>
  <c r="Z24" i="29"/>
  <c r="AA24" i="29"/>
  <c r="AC24" i="29"/>
  <c r="AD24" i="29"/>
  <c r="AE24" i="29"/>
  <c r="W25" i="29"/>
  <c r="Y25" i="29"/>
  <c r="Z25" i="29"/>
  <c r="AA25" i="29"/>
  <c r="AC25" i="29"/>
  <c r="AD25" i="29"/>
  <c r="AE25" i="29"/>
  <c r="W26" i="29"/>
  <c r="Y26" i="29"/>
  <c r="Z26" i="29"/>
  <c r="AA26" i="29"/>
  <c r="AC26" i="29"/>
  <c r="AD26" i="29"/>
  <c r="AE26" i="29"/>
  <c r="AK27" i="29"/>
  <c r="AK28" i="29"/>
  <c r="AL6" i="29"/>
  <c r="AL14" i="29"/>
  <c r="AL15" i="29"/>
  <c r="AL16" i="29"/>
  <c r="AL17" i="29"/>
  <c r="AL18" i="29"/>
  <c r="AL19" i="29"/>
  <c r="AL20" i="29"/>
  <c r="AL21" i="29"/>
  <c r="AL22" i="29"/>
  <c r="AL23" i="29"/>
  <c r="AL24" i="29"/>
  <c r="AL25" i="29"/>
  <c r="AL26" i="29"/>
  <c r="AB27" i="29"/>
  <c r="Y28" i="29"/>
  <c r="Z28" i="29"/>
  <c r="AA28" i="29"/>
  <c r="AC28" i="29"/>
  <c r="AE7" i="29"/>
  <c r="AD27" i="29"/>
  <c r="Y27" i="29"/>
  <c r="Z27" i="29"/>
  <c r="AA27" i="29"/>
  <c r="AC27" i="29"/>
  <c r="AE27" i="29"/>
  <c r="AM73" i="29"/>
  <c r="AM74" i="29"/>
  <c r="AP6" i="29"/>
  <c r="AO6" i="29"/>
  <c r="AY6" i="29"/>
  <c r="AQ8" i="29"/>
  <c r="AR8" i="29"/>
  <c r="AT8" i="29"/>
  <c r="AP8" i="29"/>
  <c r="AO8" i="29"/>
  <c r="AY8" i="29"/>
  <c r="AQ9" i="29"/>
  <c r="AR9" i="29"/>
  <c r="AT9" i="29"/>
  <c r="AP9" i="29"/>
  <c r="AO9" i="29"/>
  <c r="AY9" i="29"/>
  <c r="AQ10" i="29"/>
  <c r="AR10" i="29"/>
  <c r="AT10" i="29"/>
  <c r="AP10" i="29"/>
  <c r="AO10" i="29"/>
  <c r="AY10" i="29"/>
  <c r="AQ11" i="29"/>
  <c r="AR11" i="29"/>
  <c r="AT11" i="29"/>
  <c r="AP11" i="29"/>
  <c r="AO11" i="29"/>
  <c r="AY11" i="29"/>
  <c r="AQ12" i="29"/>
  <c r="AR12" i="29"/>
  <c r="AT12" i="29"/>
  <c r="AP12" i="29"/>
  <c r="AO12" i="29"/>
  <c r="AY12" i="29"/>
  <c r="AQ13" i="29"/>
  <c r="AR13" i="29"/>
  <c r="AT13" i="29"/>
  <c r="AP13" i="29"/>
  <c r="AO13" i="29"/>
  <c r="AY13" i="29"/>
  <c r="AQ14" i="29"/>
  <c r="AR14" i="29"/>
  <c r="AT14" i="29"/>
  <c r="AP14" i="29"/>
  <c r="AO14" i="29"/>
  <c r="AY14" i="29"/>
  <c r="AQ15" i="29"/>
  <c r="AR15" i="29"/>
  <c r="AT15" i="29"/>
  <c r="AP15" i="29"/>
  <c r="AO15" i="29"/>
  <c r="AY15" i="29"/>
  <c r="AQ16" i="29"/>
  <c r="AR16" i="29"/>
  <c r="AT16" i="29"/>
  <c r="AP16" i="29"/>
  <c r="AO16" i="29"/>
  <c r="AY16" i="29"/>
  <c r="AQ17" i="29"/>
  <c r="AR17" i="29"/>
  <c r="AT17" i="29"/>
  <c r="AP17" i="29"/>
  <c r="AO17" i="29"/>
  <c r="AY17" i="29"/>
  <c r="AQ18" i="29"/>
  <c r="AR18" i="29"/>
  <c r="AT18" i="29"/>
  <c r="AP18" i="29"/>
  <c r="AO18" i="29"/>
  <c r="AY18" i="29"/>
  <c r="AQ19" i="29"/>
  <c r="AR19" i="29"/>
  <c r="AT19" i="29"/>
  <c r="AP19" i="29"/>
  <c r="AO19" i="29"/>
  <c r="AY19" i="29"/>
  <c r="AQ20" i="29"/>
  <c r="AR20" i="29"/>
  <c r="AT20" i="29"/>
  <c r="AP20" i="29"/>
  <c r="AO20" i="29"/>
  <c r="AY20" i="29"/>
  <c r="AQ21" i="29"/>
  <c r="AR21" i="29"/>
  <c r="AT21" i="29"/>
  <c r="AP21" i="29"/>
  <c r="AO21" i="29"/>
  <c r="AY21" i="29"/>
  <c r="AQ22" i="29"/>
  <c r="AR22" i="29"/>
  <c r="AT22" i="29"/>
  <c r="AP22" i="29"/>
  <c r="AO22" i="29"/>
  <c r="AY22" i="29"/>
  <c r="AQ23" i="29"/>
  <c r="AR23" i="29"/>
  <c r="AT23" i="29"/>
  <c r="AP23" i="29"/>
  <c r="AO23" i="29"/>
  <c r="AY23" i="29"/>
  <c r="AQ24" i="29"/>
  <c r="AR24" i="29"/>
  <c r="AT24" i="29"/>
  <c r="AP24" i="29"/>
  <c r="AO24" i="29"/>
  <c r="AY24" i="29"/>
  <c r="AQ25" i="29"/>
  <c r="AR25" i="29"/>
  <c r="AT25" i="29"/>
  <c r="AP25" i="29"/>
  <c r="AO25" i="29"/>
  <c r="AY25" i="29"/>
  <c r="AQ26" i="29"/>
  <c r="AR26" i="29"/>
  <c r="AT26" i="29"/>
  <c r="AP26" i="29"/>
  <c r="AO26" i="29"/>
  <c r="AY26" i="29"/>
  <c r="AN27" i="29"/>
  <c r="AR27" i="29"/>
  <c r="AT27" i="29"/>
  <c r="AN28" i="29"/>
  <c r="AR28" i="29"/>
  <c r="AT28" i="29"/>
  <c r="AZ7" i="29"/>
  <c r="BH74" i="29"/>
  <c r="BK6" i="29"/>
  <c r="BJ6" i="29"/>
  <c r="BT6" i="29"/>
  <c r="BL8" i="29"/>
  <c r="BM8" i="29"/>
  <c r="BO8" i="29"/>
  <c r="BK8" i="29"/>
  <c r="BJ8" i="29"/>
  <c r="BT8" i="29"/>
  <c r="BL9" i="29"/>
  <c r="BM9" i="29"/>
  <c r="BO9" i="29"/>
  <c r="BK9" i="29"/>
  <c r="BJ9" i="29"/>
  <c r="BT9" i="29"/>
  <c r="BL10" i="29"/>
  <c r="BM10" i="29"/>
  <c r="BO10" i="29"/>
  <c r="BK10" i="29"/>
  <c r="BJ10" i="29"/>
  <c r="BT10" i="29"/>
  <c r="BL11" i="29"/>
  <c r="BM11" i="29"/>
  <c r="BO11" i="29"/>
  <c r="BK11" i="29"/>
  <c r="BJ11" i="29"/>
  <c r="BT11" i="29"/>
  <c r="BL12" i="29"/>
  <c r="BM12" i="29"/>
  <c r="BO12" i="29"/>
  <c r="BK12" i="29"/>
  <c r="BJ12" i="29"/>
  <c r="BT12" i="29"/>
  <c r="BL13" i="29"/>
  <c r="BM13" i="29"/>
  <c r="BO13" i="29"/>
  <c r="BK13" i="29"/>
  <c r="BJ13" i="29"/>
  <c r="BT13" i="29"/>
  <c r="BL14" i="29"/>
  <c r="BM14" i="29"/>
  <c r="BO14" i="29"/>
  <c r="BK14" i="29"/>
  <c r="BJ14" i="29"/>
  <c r="BT14" i="29"/>
  <c r="BL15" i="29"/>
  <c r="BM15" i="29"/>
  <c r="BO15" i="29"/>
  <c r="BK15" i="29"/>
  <c r="BJ15" i="29"/>
  <c r="BT15" i="29"/>
  <c r="BL16" i="29"/>
  <c r="BM16" i="29"/>
  <c r="BO16" i="29"/>
  <c r="BK16" i="29"/>
  <c r="BJ16" i="29"/>
  <c r="BT16" i="29"/>
  <c r="BL17" i="29"/>
  <c r="BM17" i="29"/>
  <c r="BO17" i="29"/>
  <c r="BK17" i="29"/>
  <c r="BJ17" i="29"/>
  <c r="BT17" i="29"/>
  <c r="BL18" i="29"/>
  <c r="BM18" i="29"/>
  <c r="BO18" i="29"/>
  <c r="BK18" i="29"/>
  <c r="BJ18" i="29"/>
  <c r="BT18" i="29"/>
  <c r="BL19" i="29"/>
  <c r="BM19" i="29"/>
  <c r="BO19" i="29"/>
  <c r="BK19" i="29"/>
  <c r="BJ19" i="29"/>
  <c r="BT19" i="29"/>
  <c r="BL20" i="29"/>
  <c r="BM20" i="29"/>
  <c r="BO20" i="29"/>
  <c r="BK20" i="29"/>
  <c r="BJ20" i="29"/>
  <c r="BT20" i="29"/>
  <c r="BL21" i="29"/>
  <c r="BM21" i="29"/>
  <c r="BO21" i="29"/>
  <c r="BK21" i="29"/>
  <c r="BJ21" i="29"/>
  <c r="BT21" i="29"/>
  <c r="BL22" i="29"/>
  <c r="BM22" i="29"/>
  <c r="BO22" i="29"/>
  <c r="BK22" i="29"/>
  <c r="BJ22" i="29"/>
  <c r="BT22" i="29"/>
  <c r="BL23" i="29"/>
  <c r="BM23" i="29"/>
  <c r="BO23" i="29"/>
  <c r="BK23" i="29"/>
  <c r="BJ23" i="29"/>
  <c r="BT23" i="29"/>
  <c r="BL24" i="29"/>
  <c r="BM24" i="29"/>
  <c r="BO24" i="29"/>
  <c r="BK24" i="29"/>
  <c r="BJ24" i="29"/>
  <c r="BT24" i="29"/>
  <c r="BL25" i="29"/>
  <c r="BM25" i="29"/>
  <c r="BO25" i="29"/>
  <c r="BK25" i="29"/>
  <c r="BJ25" i="29"/>
  <c r="BT25" i="29"/>
  <c r="BL26" i="29"/>
  <c r="BM26" i="29"/>
  <c r="BO26" i="29"/>
  <c r="BK26" i="29"/>
  <c r="BJ26" i="29"/>
  <c r="BT26" i="29"/>
  <c r="BF27" i="29"/>
  <c r="BI27" i="29"/>
  <c r="BM27" i="29"/>
  <c r="BO27" i="29"/>
  <c r="BG6" i="29"/>
  <c r="BG8" i="29"/>
  <c r="BG9" i="29"/>
  <c r="BG10" i="29"/>
  <c r="BG11" i="29"/>
  <c r="BG12" i="29"/>
  <c r="BG13" i="29"/>
  <c r="BG14" i="29"/>
  <c r="BG15" i="29"/>
  <c r="BG16" i="29"/>
  <c r="BG17" i="29"/>
  <c r="BG18" i="29"/>
  <c r="BG19" i="29"/>
  <c r="BG20" i="29"/>
  <c r="BG21" i="29"/>
  <c r="BG22" i="29"/>
  <c r="BG23" i="29"/>
  <c r="BG24" i="29"/>
  <c r="BG25" i="29"/>
  <c r="BG26" i="29"/>
  <c r="BH73" i="29"/>
  <c r="BF28" i="29"/>
  <c r="BI28" i="29"/>
  <c r="BM28" i="29"/>
  <c r="BO28" i="29"/>
  <c r="BU7" i="29"/>
  <c r="CC29" i="29"/>
  <c r="CC65" i="29"/>
  <c r="CC72" i="29"/>
  <c r="CC74" i="29"/>
  <c r="CF6" i="29"/>
  <c r="CE6" i="29"/>
  <c r="CO6" i="29"/>
  <c r="CG8" i="29"/>
  <c r="CH8" i="29"/>
  <c r="CJ8" i="29"/>
  <c r="CF8" i="29"/>
  <c r="CE8" i="29"/>
  <c r="CO8" i="29"/>
  <c r="CG9" i="29"/>
  <c r="CH9" i="29"/>
  <c r="CJ9" i="29"/>
  <c r="CF9" i="29"/>
  <c r="CE9" i="29"/>
  <c r="CO9" i="29"/>
  <c r="CG10" i="29"/>
  <c r="CH10" i="29"/>
  <c r="CJ10" i="29"/>
  <c r="CF10" i="29"/>
  <c r="CE10" i="29"/>
  <c r="CO10" i="29"/>
  <c r="CG11" i="29"/>
  <c r="CH11" i="29"/>
  <c r="CJ11" i="29"/>
  <c r="CF11" i="29"/>
  <c r="CE11" i="29"/>
  <c r="CO11" i="29"/>
  <c r="CG12" i="29"/>
  <c r="CH12" i="29"/>
  <c r="CJ12" i="29"/>
  <c r="CF12" i="29"/>
  <c r="CE12" i="29"/>
  <c r="CO12" i="29"/>
  <c r="CG13" i="29"/>
  <c r="CH13" i="29"/>
  <c r="CJ13" i="29"/>
  <c r="CF13" i="29"/>
  <c r="CE13" i="29"/>
  <c r="CO13" i="29"/>
  <c r="CG14" i="29"/>
  <c r="CH14" i="29"/>
  <c r="CJ14" i="29"/>
  <c r="CF14" i="29"/>
  <c r="CE14" i="29"/>
  <c r="CO14" i="29"/>
  <c r="CG15" i="29"/>
  <c r="CH15" i="29"/>
  <c r="CJ15" i="29"/>
  <c r="CF15" i="29"/>
  <c r="CE15" i="29"/>
  <c r="CO15" i="29"/>
  <c r="CG16" i="29"/>
  <c r="CH16" i="29"/>
  <c r="CJ16" i="29"/>
  <c r="CF16" i="29"/>
  <c r="CE16" i="29"/>
  <c r="CO16" i="29"/>
  <c r="CG17" i="29"/>
  <c r="CH17" i="29"/>
  <c r="CJ17" i="29"/>
  <c r="CF17" i="29"/>
  <c r="CE17" i="29"/>
  <c r="CO17" i="29"/>
  <c r="CG18" i="29"/>
  <c r="CH18" i="29"/>
  <c r="CJ18" i="29"/>
  <c r="CF18" i="29"/>
  <c r="CE18" i="29"/>
  <c r="CO18" i="29"/>
  <c r="CG19" i="29"/>
  <c r="CH19" i="29"/>
  <c r="CJ19" i="29"/>
  <c r="CF19" i="29"/>
  <c r="CE19" i="29"/>
  <c r="CO19" i="29"/>
  <c r="CG20" i="29"/>
  <c r="CH20" i="29"/>
  <c r="CJ20" i="29"/>
  <c r="CF20" i="29"/>
  <c r="CE20" i="29"/>
  <c r="CO20" i="29"/>
  <c r="CG21" i="29"/>
  <c r="CH21" i="29"/>
  <c r="CJ21" i="29"/>
  <c r="CF21" i="29"/>
  <c r="CE21" i="29"/>
  <c r="CO21" i="29"/>
  <c r="CG22" i="29"/>
  <c r="CH22" i="29"/>
  <c r="CJ22" i="29"/>
  <c r="CF22" i="29"/>
  <c r="CE22" i="29"/>
  <c r="CO22" i="29"/>
  <c r="CG23" i="29"/>
  <c r="CH23" i="29"/>
  <c r="CJ23" i="29"/>
  <c r="CF23" i="29"/>
  <c r="CE23" i="29"/>
  <c r="CO23" i="29"/>
  <c r="CG24" i="29"/>
  <c r="CH24" i="29"/>
  <c r="CJ24" i="29"/>
  <c r="CF24" i="29"/>
  <c r="CE24" i="29"/>
  <c r="CO24" i="29"/>
  <c r="CG25" i="29"/>
  <c r="CH25" i="29"/>
  <c r="CJ25" i="29"/>
  <c r="CF25" i="29"/>
  <c r="CE25" i="29"/>
  <c r="CO25" i="29"/>
  <c r="CG26" i="29"/>
  <c r="CH26" i="29"/>
  <c r="CJ26" i="29"/>
  <c r="CF26" i="29"/>
  <c r="CE26" i="29"/>
  <c r="CO26" i="29"/>
  <c r="CA27" i="29"/>
  <c r="CD27" i="29"/>
  <c r="CH27" i="29"/>
  <c r="CJ27" i="29"/>
  <c r="CB6" i="29"/>
  <c r="CB8" i="29"/>
  <c r="CB9" i="29"/>
  <c r="CB10" i="29"/>
  <c r="CB11" i="29"/>
  <c r="CB12" i="29"/>
  <c r="CB13" i="29"/>
  <c r="CB14" i="29"/>
  <c r="CB15" i="29"/>
  <c r="CB16" i="29"/>
  <c r="CB17" i="29"/>
  <c r="CB18" i="29"/>
  <c r="CB19" i="29"/>
  <c r="CB20" i="29"/>
  <c r="CB21" i="29"/>
  <c r="CB22" i="29"/>
  <c r="CB23" i="29"/>
  <c r="CB24" i="29"/>
  <c r="CB25" i="29"/>
  <c r="CB26" i="29"/>
  <c r="CC73" i="29"/>
  <c r="CA28" i="29"/>
  <c r="CD28" i="29"/>
  <c r="CH28" i="29"/>
  <c r="CJ28" i="29"/>
  <c r="CP7" i="29"/>
  <c r="CX29" i="29"/>
  <c r="CX65" i="29"/>
  <c r="CX72" i="29"/>
  <c r="CX74" i="29"/>
  <c r="DA6" i="29"/>
  <c r="CZ6" i="29"/>
  <c r="DJ6" i="29"/>
  <c r="DB8" i="29"/>
  <c r="DC8" i="29"/>
  <c r="DE8" i="29"/>
  <c r="DA8" i="29"/>
  <c r="CZ8" i="29"/>
  <c r="DJ8" i="29"/>
  <c r="DB9" i="29"/>
  <c r="DC9" i="29"/>
  <c r="DE9" i="29"/>
  <c r="DA9" i="29"/>
  <c r="CZ9" i="29"/>
  <c r="DJ9" i="29"/>
  <c r="DB10" i="29"/>
  <c r="DC10" i="29"/>
  <c r="DE10" i="29"/>
  <c r="DA10" i="29"/>
  <c r="CZ10" i="29"/>
  <c r="DJ10" i="29"/>
  <c r="DB11" i="29"/>
  <c r="DC11" i="29"/>
  <c r="DE11" i="29"/>
  <c r="DA11" i="29"/>
  <c r="CZ11" i="29"/>
  <c r="DJ11" i="29"/>
  <c r="DB12" i="29"/>
  <c r="DC12" i="29"/>
  <c r="DE12" i="29"/>
  <c r="DA12" i="29"/>
  <c r="CZ12" i="29"/>
  <c r="DJ12" i="29"/>
  <c r="DB13" i="29"/>
  <c r="DC13" i="29"/>
  <c r="DE13" i="29"/>
  <c r="DA13" i="29"/>
  <c r="CZ13" i="29"/>
  <c r="DJ13" i="29"/>
  <c r="DB14" i="29"/>
  <c r="DC14" i="29"/>
  <c r="DE14" i="29"/>
  <c r="DA14" i="29"/>
  <c r="CZ14" i="29"/>
  <c r="DJ14" i="29"/>
  <c r="DB15" i="29"/>
  <c r="DC15" i="29"/>
  <c r="DE15" i="29"/>
  <c r="DA15" i="29"/>
  <c r="CZ15" i="29"/>
  <c r="DJ15" i="29"/>
  <c r="DB16" i="29"/>
  <c r="DC16" i="29"/>
  <c r="DE16" i="29"/>
  <c r="DA16" i="29"/>
  <c r="CZ16" i="29"/>
  <c r="DJ16" i="29"/>
  <c r="DB17" i="29"/>
  <c r="DC17" i="29"/>
  <c r="DE17" i="29"/>
  <c r="DA17" i="29"/>
  <c r="CZ17" i="29"/>
  <c r="DJ17" i="29"/>
  <c r="DB18" i="29"/>
  <c r="DC18" i="29"/>
  <c r="DE18" i="29"/>
  <c r="DA18" i="29"/>
  <c r="CZ18" i="29"/>
  <c r="DJ18" i="29"/>
  <c r="DB19" i="29"/>
  <c r="DC19" i="29"/>
  <c r="DE19" i="29"/>
  <c r="DA19" i="29"/>
  <c r="CZ19" i="29"/>
  <c r="DJ19" i="29"/>
  <c r="DB20" i="29"/>
  <c r="DC20" i="29"/>
  <c r="DE20" i="29"/>
  <c r="DA20" i="29"/>
  <c r="CZ20" i="29"/>
  <c r="DJ20" i="29"/>
  <c r="DB21" i="29"/>
  <c r="DC21" i="29"/>
  <c r="DE21" i="29"/>
  <c r="DA21" i="29"/>
  <c r="CZ21" i="29"/>
  <c r="DJ21" i="29"/>
  <c r="DB22" i="29"/>
  <c r="DC22" i="29"/>
  <c r="DE22" i="29"/>
  <c r="DA22" i="29"/>
  <c r="CZ22" i="29"/>
  <c r="DJ22" i="29"/>
  <c r="DB23" i="29"/>
  <c r="DC23" i="29"/>
  <c r="DE23" i="29"/>
  <c r="DA23" i="29"/>
  <c r="CZ23" i="29"/>
  <c r="DJ23" i="29"/>
  <c r="DB24" i="29"/>
  <c r="DC24" i="29"/>
  <c r="DE24" i="29"/>
  <c r="DA24" i="29"/>
  <c r="CZ24" i="29"/>
  <c r="DJ24" i="29"/>
  <c r="DB25" i="29"/>
  <c r="DC25" i="29"/>
  <c r="DE25" i="29"/>
  <c r="DA25" i="29"/>
  <c r="CZ25" i="29"/>
  <c r="DJ25" i="29"/>
  <c r="DB26" i="29"/>
  <c r="DC26" i="29"/>
  <c r="DE26" i="29"/>
  <c r="DA26" i="29"/>
  <c r="CZ26" i="29"/>
  <c r="DJ26" i="29"/>
  <c r="CV27" i="29"/>
  <c r="CY27" i="29"/>
  <c r="DC27" i="29"/>
  <c r="DE27" i="29"/>
  <c r="CW6" i="29"/>
  <c r="CW8" i="29"/>
  <c r="CW9" i="29"/>
  <c r="CW10" i="29"/>
  <c r="CW11" i="29"/>
  <c r="CW12" i="29"/>
  <c r="CW13" i="29"/>
  <c r="CW14" i="29"/>
  <c r="CW15" i="29"/>
  <c r="CW16" i="29"/>
  <c r="CW17" i="29"/>
  <c r="CW18" i="29"/>
  <c r="CW19" i="29"/>
  <c r="CW20" i="29"/>
  <c r="CW21" i="29"/>
  <c r="CW22" i="29"/>
  <c r="CW23" i="29"/>
  <c r="CW24" i="29"/>
  <c r="CW25" i="29"/>
  <c r="CW26" i="29"/>
  <c r="CX73" i="29"/>
  <c r="CV28" i="29"/>
  <c r="CY28" i="29"/>
  <c r="DC28" i="29"/>
  <c r="DE28" i="29"/>
  <c r="DK7" i="29"/>
  <c r="DS29" i="29"/>
  <c r="DS65" i="29"/>
  <c r="DS72" i="29"/>
  <c r="DS74" i="29"/>
  <c r="EE8" i="29"/>
  <c r="DR8" i="29"/>
  <c r="DW9" i="29"/>
  <c r="DX9" i="29"/>
  <c r="DZ9" i="29"/>
  <c r="DV9" i="29"/>
  <c r="DU9" i="29"/>
  <c r="EE9" i="29"/>
  <c r="DR9" i="29"/>
  <c r="DW10" i="29"/>
  <c r="DX10" i="29"/>
  <c r="DZ10" i="29"/>
  <c r="DV10" i="29"/>
  <c r="DU10" i="29"/>
  <c r="EE10" i="29"/>
  <c r="DR10" i="29"/>
  <c r="DW11" i="29"/>
  <c r="DX11" i="29"/>
  <c r="DZ11" i="29"/>
  <c r="DV11" i="29"/>
  <c r="DU11" i="29"/>
  <c r="EE11" i="29"/>
  <c r="DR11" i="29"/>
  <c r="DW12" i="29"/>
  <c r="DX12" i="29"/>
  <c r="DZ12" i="29"/>
  <c r="DV12" i="29"/>
  <c r="DU12" i="29"/>
  <c r="EE12" i="29"/>
  <c r="DR12" i="29"/>
  <c r="DW13" i="29"/>
  <c r="DX13" i="29"/>
  <c r="DZ13" i="29"/>
  <c r="DV13" i="29"/>
  <c r="DU13" i="29"/>
  <c r="EE13" i="29"/>
  <c r="DR13" i="29"/>
  <c r="DW14" i="29"/>
  <c r="DX14" i="29"/>
  <c r="DZ14" i="29"/>
  <c r="DV14" i="29"/>
  <c r="DU14" i="29"/>
  <c r="EE14" i="29"/>
  <c r="DR14" i="29"/>
  <c r="DW15" i="29"/>
  <c r="DX15" i="29"/>
  <c r="DZ15" i="29"/>
  <c r="DV15" i="29"/>
  <c r="DU15" i="29"/>
  <c r="EE15" i="29"/>
  <c r="DR15" i="29"/>
  <c r="DW16" i="29"/>
  <c r="DX16" i="29"/>
  <c r="DZ16" i="29"/>
  <c r="DV16" i="29"/>
  <c r="DU16" i="29"/>
  <c r="EE16" i="29"/>
  <c r="DR16" i="29"/>
  <c r="DW17" i="29"/>
  <c r="DX17" i="29"/>
  <c r="DZ17" i="29"/>
  <c r="DV17" i="29"/>
  <c r="DU17" i="29"/>
  <c r="EE17" i="29"/>
  <c r="DR17" i="29"/>
  <c r="DW18" i="29"/>
  <c r="DX18" i="29"/>
  <c r="DZ18" i="29"/>
  <c r="DV18" i="29"/>
  <c r="DU18" i="29"/>
  <c r="EE18" i="29"/>
  <c r="DR18" i="29"/>
  <c r="DW19" i="29"/>
  <c r="DX19" i="29"/>
  <c r="DZ19" i="29"/>
  <c r="DV19" i="29"/>
  <c r="DU19" i="29"/>
  <c r="EE19" i="29"/>
  <c r="DR19" i="29"/>
  <c r="DW20" i="29"/>
  <c r="DX20" i="29"/>
  <c r="DZ20" i="29"/>
  <c r="DV20" i="29"/>
  <c r="DU20" i="29"/>
  <c r="EE20" i="29"/>
  <c r="DR20" i="29"/>
  <c r="DW21" i="29"/>
  <c r="DX21" i="29"/>
  <c r="DZ21" i="29"/>
  <c r="DV21" i="29"/>
  <c r="DU21" i="29"/>
  <c r="EE21" i="29"/>
  <c r="DR21" i="29"/>
  <c r="DW22" i="29"/>
  <c r="DX22" i="29"/>
  <c r="DZ22" i="29"/>
  <c r="DV22" i="29"/>
  <c r="DU22" i="29"/>
  <c r="EE22" i="29"/>
  <c r="DR22" i="29"/>
  <c r="DW23" i="29"/>
  <c r="DX23" i="29"/>
  <c r="DZ23" i="29"/>
  <c r="DV23" i="29"/>
  <c r="DU23" i="29"/>
  <c r="EE23" i="29"/>
  <c r="DR23" i="29"/>
  <c r="DW24" i="29"/>
  <c r="DX24" i="29"/>
  <c r="DZ24" i="29"/>
  <c r="DV24" i="29"/>
  <c r="DU24" i="29"/>
  <c r="EE24" i="29"/>
  <c r="DR24" i="29"/>
  <c r="DW25" i="29"/>
  <c r="DX25" i="29"/>
  <c r="DZ25" i="29"/>
  <c r="DV25" i="29"/>
  <c r="DU25" i="29"/>
  <c r="EE25" i="29"/>
  <c r="DR25" i="29"/>
  <c r="DW26" i="29"/>
  <c r="DX26" i="29"/>
  <c r="DZ26" i="29"/>
  <c r="DV26" i="29"/>
  <c r="DU26" i="29"/>
  <c r="EE26" i="29"/>
  <c r="DR26" i="29"/>
  <c r="DQ27" i="29"/>
  <c r="DT27" i="29"/>
  <c r="DX27" i="29"/>
  <c r="DZ27" i="29"/>
  <c r="DR6" i="29"/>
  <c r="DS73" i="29"/>
  <c r="DQ28" i="29"/>
  <c r="DT28" i="29"/>
  <c r="DX28" i="29"/>
  <c r="DZ28" i="29"/>
  <c r="DW6" i="29"/>
  <c r="DX6" i="29"/>
  <c r="DZ6" i="29"/>
  <c r="DV6" i="29"/>
  <c r="DU6" i="29"/>
  <c r="EE6" i="29"/>
  <c r="DN7" i="29"/>
  <c r="CS7" i="29"/>
  <c r="BX7" i="29"/>
  <c r="BC7" i="29"/>
  <c r="AH7" i="29"/>
  <c r="AH8" i="29"/>
  <c r="AH9" i="29"/>
  <c r="AH10" i="29"/>
  <c r="AH11" i="29"/>
  <c r="AH12" i="29"/>
  <c r="AH13" i="29"/>
  <c r="AH14" i="29"/>
  <c r="AH15" i="29"/>
  <c r="AH16" i="29"/>
  <c r="AH17" i="29"/>
  <c r="AH18" i="29"/>
  <c r="AH19" i="29"/>
  <c r="AH20" i="29"/>
  <c r="AH21" i="29"/>
  <c r="AH22" i="29"/>
  <c r="AH23" i="29"/>
  <c r="AH24" i="29"/>
  <c r="AH25" i="29"/>
  <c r="AH26" i="29"/>
  <c r="AH27" i="29"/>
  <c r="AH6" i="29"/>
  <c r="P28" i="29"/>
  <c r="P27" i="29"/>
  <c r="G8" i="29"/>
  <c r="E7" i="29"/>
  <c r="E8" i="29"/>
  <c r="E9" i="29"/>
  <c r="E10" i="29"/>
  <c r="E11" i="29"/>
  <c r="E12" i="29"/>
  <c r="E13" i="29"/>
  <c r="E14" i="29"/>
  <c r="E15" i="29"/>
  <c r="E16" i="29"/>
  <c r="E17" i="29"/>
  <c r="E18" i="29"/>
  <c r="E19" i="29"/>
  <c r="E20" i="29"/>
  <c r="E21" i="29"/>
  <c r="E22" i="29"/>
  <c r="E23" i="29"/>
  <c r="E24" i="29"/>
  <c r="E25" i="29"/>
  <c r="E26" i="29"/>
  <c r="E6" i="29"/>
  <c r="AI5" i="29"/>
  <c r="N5" i="29"/>
  <c r="G39" i="27"/>
  <c r="S39" i="27"/>
  <c r="T8" i="27"/>
  <c r="U8" i="27"/>
  <c r="S30" i="27"/>
  <c r="S28" i="27"/>
  <c r="S32" i="27"/>
  <c r="V8" i="27"/>
  <c r="T9" i="27"/>
  <c r="U9" i="27"/>
  <c r="V9" i="27"/>
  <c r="T10" i="27"/>
  <c r="U10" i="27"/>
  <c r="V10" i="27"/>
  <c r="T11" i="27"/>
  <c r="U11" i="27"/>
  <c r="V11" i="27"/>
  <c r="T12" i="27"/>
  <c r="U12" i="27"/>
  <c r="V12" i="27"/>
  <c r="T14" i="27"/>
  <c r="U14" i="27"/>
  <c r="V14" i="27"/>
  <c r="T15" i="27"/>
  <c r="U15" i="27"/>
  <c r="V15" i="27"/>
  <c r="T16" i="27"/>
  <c r="U16" i="27"/>
  <c r="V16" i="27"/>
  <c r="T18" i="27"/>
  <c r="U18" i="27"/>
  <c r="V18" i="27"/>
  <c r="T19" i="27"/>
  <c r="U19" i="27"/>
  <c r="V19" i="27"/>
  <c r="V21" i="27"/>
  <c r="S27" i="27"/>
  <c r="S31" i="27"/>
  <c r="S33" i="27"/>
  <c r="S8" i="27"/>
  <c r="S9" i="27"/>
  <c r="S10" i="27"/>
  <c r="S11" i="27"/>
  <c r="S12" i="27"/>
  <c r="S19" i="27"/>
  <c r="S18" i="27"/>
  <c r="S16" i="27"/>
  <c r="S15" i="27"/>
  <c r="S14" i="27"/>
  <c r="S41" i="27"/>
  <c r="U21" i="27"/>
  <c r="S26" i="27"/>
  <c r="R21" i="27"/>
  <c r="S25" i="27"/>
  <c r="G31" i="27"/>
  <c r="G37" i="27"/>
  <c r="G30" i="17"/>
  <c r="S30" i="17"/>
  <c r="T8" i="17"/>
  <c r="U8" i="17"/>
  <c r="G30" i="27"/>
  <c r="G28" i="27"/>
  <c r="G32" i="27"/>
  <c r="K19" i="27"/>
  <c r="C19" i="27"/>
  <c r="K18" i="27"/>
  <c r="L19" i="27"/>
  <c r="O19" i="27"/>
  <c r="J8" i="27"/>
  <c r="K8" i="27"/>
  <c r="C8" i="27"/>
  <c r="L8" i="27"/>
  <c r="O8" i="27"/>
  <c r="J9" i="27"/>
  <c r="K9" i="27"/>
  <c r="C9" i="27"/>
  <c r="L9" i="27"/>
  <c r="O9" i="27"/>
  <c r="J10" i="27"/>
  <c r="K10" i="27"/>
  <c r="C10" i="27"/>
  <c r="L10" i="27"/>
  <c r="O10" i="27"/>
  <c r="J11" i="27"/>
  <c r="K11" i="27"/>
  <c r="C11" i="27"/>
  <c r="L11" i="27"/>
  <c r="O11" i="27"/>
  <c r="J12" i="27"/>
  <c r="K12" i="27"/>
  <c r="C12" i="27"/>
  <c r="L12" i="27"/>
  <c r="O12" i="27"/>
  <c r="J14" i="27"/>
  <c r="K14" i="27"/>
  <c r="C14" i="27"/>
  <c r="L14" i="27"/>
  <c r="O14" i="27"/>
  <c r="J15" i="27"/>
  <c r="K15" i="27"/>
  <c r="C15" i="27"/>
  <c r="L15" i="27"/>
  <c r="O15" i="27"/>
  <c r="J16" i="27"/>
  <c r="K16" i="27"/>
  <c r="C16" i="27"/>
  <c r="L16" i="27"/>
  <c r="O16" i="27"/>
  <c r="C18" i="27"/>
  <c r="L18" i="27"/>
  <c r="O18" i="27"/>
  <c r="O21" i="27"/>
  <c r="P9" i="27"/>
  <c r="P10" i="27"/>
  <c r="P11" i="27"/>
  <c r="P12" i="27"/>
  <c r="P14" i="27"/>
  <c r="P15" i="27"/>
  <c r="P16" i="27"/>
  <c r="P18" i="27"/>
  <c r="P19" i="27"/>
  <c r="P8" i="27"/>
  <c r="X9" i="27"/>
  <c r="X8" i="27"/>
  <c r="X10" i="27"/>
  <c r="X11" i="27"/>
  <c r="X12" i="27"/>
  <c r="X16" i="27"/>
  <c r="Y18" i="27"/>
  <c r="O19" i="21"/>
  <c r="F21" i="27"/>
  <c r="G25" i="27"/>
  <c r="G33" i="27"/>
  <c r="L21" i="27"/>
  <c r="X18" i="27"/>
  <c r="Z18" i="27"/>
  <c r="X19" i="27"/>
  <c r="P21" i="27"/>
  <c r="O8" i="17"/>
  <c r="O9" i="17"/>
  <c r="O10" i="17"/>
  <c r="O11" i="17"/>
  <c r="O12" i="17"/>
  <c r="O14" i="17"/>
  <c r="O15" i="17"/>
  <c r="O16" i="17"/>
  <c r="O18" i="17"/>
  <c r="P8" i="17"/>
  <c r="P9" i="17"/>
  <c r="P10" i="17"/>
  <c r="P11" i="17"/>
  <c r="P12" i="17"/>
  <c r="P14" i="17"/>
  <c r="P15" i="17"/>
  <c r="P16" i="17"/>
  <c r="P18" i="17"/>
  <c r="T9" i="17"/>
  <c r="U9" i="17"/>
  <c r="T10" i="17"/>
  <c r="U10" i="17"/>
  <c r="T11" i="17"/>
  <c r="U11" i="17"/>
  <c r="T12" i="17"/>
  <c r="U12" i="17"/>
  <c r="T14" i="17"/>
  <c r="U14" i="17"/>
  <c r="T15" i="17"/>
  <c r="U15" i="17"/>
  <c r="T16" i="17"/>
  <c r="U16" i="17"/>
  <c r="U18" i="17"/>
  <c r="S23" i="17"/>
  <c r="X8" i="17"/>
  <c r="X9" i="17"/>
  <c r="X10" i="17"/>
  <c r="X11" i="17"/>
  <c r="X12" i="17"/>
  <c r="X16" i="17"/>
  <c r="G29" i="16"/>
  <c r="S29" i="16"/>
  <c r="T8" i="16"/>
  <c r="U8" i="16"/>
  <c r="T9" i="16"/>
  <c r="U9" i="16"/>
  <c r="T10" i="16"/>
  <c r="U10" i="16"/>
  <c r="T11" i="16"/>
  <c r="U11" i="16"/>
  <c r="T12" i="16"/>
  <c r="U12" i="16"/>
  <c r="T14" i="16"/>
  <c r="U14" i="16"/>
  <c r="T15" i="16"/>
  <c r="U15" i="16"/>
  <c r="T16" i="16"/>
  <c r="U16" i="16"/>
  <c r="X16" i="16"/>
  <c r="X12" i="16"/>
  <c r="X11" i="16"/>
  <c r="X10" i="16"/>
  <c r="X9" i="16"/>
  <c r="X8" i="16"/>
  <c r="P16" i="16"/>
  <c r="P15" i="16"/>
  <c r="P14" i="16"/>
  <c r="P12" i="16"/>
  <c r="P11" i="16"/>
  <c r="P10" i="16"/>
  <c r="P9" i="16"/>
  <c r="P8" i="16"/>
  <c r="P18" i="16"/>
  <c r="O18" i="16"/>
  <c r="O16" i="16"/>
  <c r="O15" i="16"/>
  <c r="O14" i="16"/>
  <c r="O9" i="16"/>
  <c r="O10" i="16"/>
  <c r="O11" i="16"/>
  <c r="O12" i="16"/>
  <c r="O8" i="16"/>
  <c r="O16" i="13"/>
  <c r="O8" i="13"/>
  <c r="O9" i="13"/>
  <c r="O10" i="13"/>
  <c r="O11" i="13"/>
  <c r="O12" i="13"/>
  <c r="O14" i="13"/>
  <c r="O15" i="13"/>
  <c r="O8" i="12"/>
  <c r="O9" i="12"/>
  <c r="O10" i="12"/>
  <c r="O11" i="12"/>
  <c r="O12" i="12"/>
  <c r="O15" i="12"/>
  <c r="O14" i="12"/>
  <c r="O17" i="12"/>
  <c r="P8" i="12"/>
  <c r="P9" i="12"/>
  <c r="P10" i="12"/>
  <c r="P11" i="12"/>
  <c r="P12" i="12"/>
  <c r="P14" i="12"/>
  <c r="P15" i="12"/>
  <c r="P17" i="12"/>
  <c r="P16" i="12"/>
  <c r="G29" i="13"/>
  <c r="S29" i="13"/>
  <c r="T16" i="13"/>
  <c r="U16" i="13"/>
  <c r="X16" i="13"/>
  <c r="Y16" i="13"/>
  <c r="Z16" i="13"/>
  <c r="AC16" i="13"/>
  <c r="T15" i="13"/>
  <c r="U15" i="13"/>
  <c r="X15" i="13"/>
  <c r="Y15" i="13"/>
  <c r="Z15" i="13"/>
  <c r="AC15" i="13"/>
  <c r="T14" i="13"/>
  <c r="U14" i="13"/>
  <c r="X14" i="13"/>
  <c r="Y14" i="13"/>
  <c r="Z14" i="13"/>
  <c r="AC14" i="13"/>
  <c r="T12" i="13"/>
  <c r="U12" i="13"/>
  <c r="X12" i="13"/>
  <c r="Y12" i="13"/>
  <c r="Z12" i="13"/>
  <c r="AC12" i="13"/>
  <c r="T11" i="13"/>
  <c r="U11" i="13"/>
  <c r="X11" i="13"/>
  <c r="Y11" i="13"/>
  <c r="Z11" i="13"/>
  <c r="AC11" i="13"/>
  <c r="T10" i="13"/>
  <c r="U10" i="13"/>
  <c r="X10" i="13"/>
  <c r="Y10" i="13"/>
  <c r="Z10" i="13"/>
  <c r="AC10" i="13"/>
  <c r="T9" i="13"/>
  <c r="U9" i="13"/>
  <c r="X9" i="13"/>
  <c r="Y9" i="13"/>
  <c r="Z9" i="13"/>
  <c r="AC9" i="13"/>
  <c r="T8" i="13"/>
  <c r="U8" i="13"/>
  <c r="X8" i="13"/>
  <c r="Y8" i="13"/>
  <c r="Z8" i="13"/>
  <c r="AC8" i="13"/>
  <c r="AC18" i="13"/>
  <c r="AD8" i="13"/>
  <c r="AD9" i="13"/>
  <c r="AD10" i="13"/>
  <c r="AD11" i="13"/>
  <c r="AD12" i="13"/>
  <c r="AD14" i="13"/>
  <c r="AD15" i="13"/>
  <c r="AD16" i="13"/>
  <c r="AD18" i="13"/>
  <c r="O18" i="13"/>
  <c r="P8" i="13"/>
  <c r="P9" i="13"/>
  <c r="P10" i="13"/>
  <c r="P11" i="13"/>
  <c r="P12" i="13"/>
  <c r="P14" i="13"/>
  <c r="P15" i="13"/>
  <c r="P16" i="13"/>
  <c r="P18" i="13"/>
  <c r="T21" i="27"/>
  <c r="S21" i="27"/>
  <c r="AQ7" i="29"/>
  <c r="BL7" i="29"/>
  <c r="CG7" i="29"/>
  <c r="DB7" i="29"/>
  <c r="DW7" i="29"/>
  <c r="DX7" i="29"/>
  <c r="AO7" i="29"/>
  <c r="BJ7" i="29"/>
  <c r="CE7" i="29"/>
  <c r="CZ7" i="29"/>
  <c r="DU7" i="29"/>
  <c r="DY7" i="29"/>
  <c r="DY8" i="29"/>
  <c r="DY9" i="29"/>
  <c r="DY10" i="29"/>
  <c r="DY11" i="29"/>
  <c r="DY12" i="29"/>
  <c r="DY13" i="29"/>
  <c r="DY14" i="29"/>
  <c r="DY15" i="29"/>
  <c r="DY16" i="29"/>
  <c r="DY17" i="29"/>
  <c r="DY18" i="29"/>
  <c r="DY19" i="29"/>
  <c r="DY20" i="29"/>
  <c r="DY21" i="29"/>
  <c r="DY22" i="29"/>
  <c r="DY23" i="29"/>
  <c r="DY24" i="29"/>
  <c r="DY25" i="29"/>
  <c r="DY26" i="29"/>
  <c r="DY6" i="29"/>
  <c r="B4" i="31"/>
  <c r="B6" i="20"/>
  <c r="D35" i="30"/>
  <c r="H41" i="30"/>
  <c r="I41" i="30"/>
  <c r="J41" i="30"/>
  <c r="K41" i="30"/>
  <c r="L41" i="30"/>
  <c r="B53" i="29"/>
  <c r="EB53" i="29"/>
  <c r="D17" i="30"/>
  <c r="B47" i="29"/>
  <c r="B48" i="29"/>
  <c r="B49" i="29"/>
  <c r="B50" i="29"/>
  <c r="EB50" i="29"/>
  <c r="B51" i="29"/>
  <c r="EB51" i="29"/>
  <c r="B52" i="29"/>
  <c r="EB52" i="29"/>
  <c r="D20" i="30"/>
  <c r="D21" i="30"/>
  <c r="D22" i="30"/>
  <c r="DZ7" i="29"/>
  <c r="DZ29" i="29"/>
  <c r="DX29" i="29"/>
  <c r="DS67" i="29"/>
  <c r="DT29" i="29"/>
  <c r="DS66" i="29"/>
  <c r="L47" i="30"/>
  <c r="I35" i="30"/>
  <c r="H35" i="30"/>
  <c r="G35" i="30"/>
  <c r="F35" i="30"/>
  <c r="E35" i="30"/>
  <c r="DC7" i="29"/>
  <c r="DE7" i="29"/>
  <c r="DE29" i="29"/>
  <c r="DC29" i="29"/>
  <c r="CX67" i="29"/>
  <c r="CY29" i="29"/>
  <c r="CX66" i="29"/>
  <c r="CH7" i="29"/>
  <c r="CJ7" i="29"/>
  <c r="CJ29" i="29"/>
  <c r="CH29" i="29"/>
  <c r="CC67" i="29"/>
  <c r="CD29" i="29"/>
  <c r="CC66" i="29"/>
  <c r="BM7" i="29"/>
  <c r="BO7" i="29"/>
  <c r="BO29" i="29"/>
  <c r="BM29" i="29"/>
  <c r="BH67" i="29"/>
  <c r="BH66" i="29"/>
  <c r="AR7" i="29"/>
  <c r="AT7" i="29"/>
  <c r="AN29" i="29"/>
  <c r="AA29" i="29"/>
  <c r="R98" i="29"/>
  <c r="I22" i="30"/>
  <c r="I27" i="30"/>
  <c r="L117" i="30"/>
  <c r="W7" i="29"/>
  <c r="Y7" i="29"/>
  <c r="Y29" i="29"/>
  <c r="Z29" i="29"/>
  <c r="R76" i="29"/>
  <c r="I30" i="30"/>
  <c r="I31" i="30"/>
  <c r="W29" i="29"/>
  <c r="R67" i="29"/>
  <c r="S29" i="29"/>
  <c r="R66" i="29"/>
  <c r="I34" i="30"/>
  <c r="L115" i="30"/>
  <c r="J23" i="30"/>
  <c r="J27" i="30"/>
  <c r="EX53" i="29"/>
  <c r="K17" i="30"/>
  <c r="EX52" i="29"/>
  <c r="K18" i="30"/>
  <c r="EX51" i="29"/>
  <c r="K19" i="30"/>
  <c r="EW50" i="29"/>
  <c r="K20" i="30"/>
  <c r="EX9" i="29"/>
  <c r="EX49" i="29"/>
  <c r="K21" i="30"/>
  <c r="EX8" i="29"/>
  <c r="EX48" i="29"/>
  <c r="K22" i="30"/>
  <c r="J29" i="29"/>
  <c r="I99" i="29"/>
  <c r="L55" i="30"/>
  <c r="L68" i="30"/>
  <c r="L81" i="30"/>
  <c r="L94" i="30"/>
  <c r="L107" i="30"/>
  <c r="L120" i="30"/>
  <c r="K47" i="30"/>
  <c r="K117" i="30"/>
  <c r="K115" i="30"/>
  <c r="K55" i="30"/>
  <c r="K68" i="30"/>
  <c r="K81" i="30"/>
  <c r="K94" i="30"/>
  <c r="K107" i="30"/>
  <c r="K120" i="30"/>
  <c r="J47" i="30"/>
  <c r="J117" i="30"/>
  <c r="J115" i="30"/>
  <c r="J55" i="30"/>
  <c r="J68" i="30"/>
  <c r="J81" i="30"/>
  <c r="J94" i="30"/>
  <c r="J107" i="30"/>
  <c r="J120" i="30"/>
  <c r="I47" i="30"/>
  <c r="I117" i="30"/>
  <c r="I115" i="30"/>
  <c r="I55" i="30"/>
  <c r="I68" i="30"/>
  <c r="I81" i="30"/>
  <c r="I94" i="30"/>
  <c r="I107" i="30"/>
  <c r="I120" i="30"/>
  <c r="H47" i="30"/>
  <c r="H117" i="30"/>
  <c r="H115" i="30"/>
  <c r="H55" i="30"/>
  <c r="H68" i="30"/>
  <c r="H81" i="30"/>
  <c r="H94" i="30"/>
  <c r="H107" i="30"/>
  <c r="H120" i="30"/>
  <c r="G41" i="30"/>
  <c r="G47" i="30"/>
  <c r="G117" i="30"/>
  <c r="G115" i="30"/>
  <c r="G55" i="30"/>
  <c r="G68" i="30"/>
  <c r="G81" i="30"/>
  <c r="G94" i="30"/>
  <c r="G107" i="30"/>
  <c r="G120" i="30"/>
  <c r="F41" i="30"/>
  <c r="F47" i="30"/>
  <c r="F117" i="30"/>
  <c r="F115" i="30"/>
  <c r="F55" i="30"/>
  <c r="F68" i="30"/>
  <c r="F81" i="30"/>
  <c r="F94" i="30"/>
  <c r="F107" i="30"/>
  <c r="F120" i="30"/>
  <c r="E41" i="30"/>
  <c r="E47" i="30"/>
  <c r="E117" i="30"/>
  <c r="E115" i="30"/>
  <c r="E55" i="30"/>
  <c r="E68" i="30"/>
  <c r="E81" i="30"/>
  <c r="E94" i="30"/>
  <c r="E107" i="30"/>
  <c r="E120" i="30"/>
  <c r="D41" i="30"/>
  <c r="D47" i="30"/>
  <c r="D117" i="30"/>
  <c r="D115" i="30"/>
  <c r="D55" i="30"/>
  <c r="D68" i="30"/>
  <c r="D81" i="30"/>
  <c r="D94" i="30"/>
  <c r="D107" i="30"/>
  <c r="D120" i="30"/>
  <c r="C299" i="30"/>
  <c r="C298" i="30"/>
  <c r="B298" i="30"/>
  <c r="C297" i="30"/>
  <c r="B297" i="30"/>
  <c r="C296" i="30"/>
  <c r="B296" i="30"/>
  <c r="C295" i="30"/>
  <c r="B295" i="30"/>
  <c r="C294" i="30"/>
  <c r="B294" i="30"/>
  <c r="C293" i="30"/>
  <c r="B293" i="30"/>
  <c r="C292" i="30"/>
  <c r="B292" i="30"/>
  <c r="C291" i="30"/>
  <c r="B291" i="30"/>
  <c r="C290" i="30"/>
  <c r="B290" i="30"/>
  <c r="C289" i="30"/>
  <c r="B289" i="30"/>
  <c r="C288" i="30"/>
  <c r="B288" i="30"/>
  <c r="C287" i="30"/>
  <c r="B287" i="30"/>
  <c r="C286" i="30"/>
  <c r="B286" i="30"/>
  <c r="C285" i="30"/>
  <c r="B285" i="30"/>
  <c r="C284" i="30"/>
  <c r="B284" i="30"/>
  <c r="C283" i="30"/>
  <c r="B283" i="30"/>
  <c r="C282" i="30"/>
  <c r="B282" i="30"/>
  <c r="C281" i="30"/>
  <c r="B281" i="30"/>
  <c r="C280" i="30"/>
  <c r="B280" i="30"/>
  <c r="C279" i="30"/>
  <c r="B279" i="30"/>
  <c r="C278" i="30"/>
  <c r="B278" i="30"/>
  <c r="C277" i="30"/>
  <c r="B277" i="30"/>
  <c r="C276" i="30"/>
  <c r="B276" i="30"/>
  <c r="J30" i="30"/>
  <c r="J31" i="30"/>
  <c r="B206" i="30"/>
  <c r="B205" i="30"/>
  <c r="B22" i="30"/>
  <c r="B204" i="30"/>
  <c r="B21" i="30"/>
  <c r="B203" i="30"/>
  <c r="B20" i="30"/>
  <c r="B202" i="30"/>
  <c r="B19" i="30"/>
  <c r="B201" i="30"/>
  <c r="B18" i="30"/>
  <c r="B200" i="30"/>
  <c r="B17" i="30"/>
  <c r="B199" i="30"/>
  <c r="B194" i="30"/>
  <c r="B193" i="30"/>
  <c r="B192" i="30"/>
  <c r="B191" i="30"/>
  <c r="B190" i="30"/>
  <c r="B189" i="30"/>
  <c r="B188" i="30"/>
  <c r="B187" i="30"/>
  <c r="B181" i="30"/>
  <c r="B180" i="30"/>
  <c r="B179" i="30"/>
  <c r="B178" i="30"/>
  <c r="B177" i="30"/>
  <c r="B176" i="30"/>
  <c r="B175" i="30"/>
  <c r="B174" i="30"/>
  <c r="C169" i="30"/>
  <c r="C168" i="30"/>
  <c r="B168" i="30"/>
  <c r="C167" i="30"/>
  <c r="B167" i="30"/>
  <c r="C166" i="30"/>
  <c r="B166" i="30"/>
  <c r="C165" i="30"/>
  <c r="B165" i="30"/>
  <c r="C164" i="30"/>
  <c r="B164" i="30"/>
  <c r="C163" i="30"/>
  <c r="B163" i="30"/>
  <c r="C162" i="30"/>
  <c r="B162" i="30"/>
  <c r="C161" i="30"/>
  <c r="B161" i="30"/>
  <c r="C156" i="30"/>
  <c r="C155" i="30"/>
  <c r="B155" i="30"/>
  <c r="C154" i="30"/>
  <c r="I16" i="30"/>
  <c r="B111" i="30"/>
  <c r="B154" i="30"/>
  <c r="C153" i="30"/>
  <c r="H16" i="30"/>
  <c r="B98" i="30"/>
  <c r="B153" i="30"/>
  <c r="C152" i="30"/>
  <c r="G16" i="30"/>
  <c r="B85" i="30"/>
  <c r="B152" i="30"/>
  <c r="C151" i="30"/>
  <c r="F16" i="30"/>
  <c r="B72" i="30"/>
  <c r="B151" i="30"/>
  <c r="C150" i="30"/>
  <c r="E16" i="30"/>
  <c r="B59" i="30"/>
  <c r="B150" i="30"/>
  <c r="C149" i="30"/>
  <c r="D16" i="30"/>
  <c r="B46" i="30"/>
  <c r="B149" i="30"/>
  <c r="C146" i="30"/>
  <c r="C145" i="30"/>
  <c r="B145" i="30"/>
  <c r="C144" i="30"/>
  <c r="B144" i="30"/>
  <c r="C143" i="30"/>
  <c r="B143" i="30"/>
  <c r="C142" i="30"/>
  <c r="B142" i="30"/>
  <c r="C141" i="30"/>
  <c r="B141" i="30"/>
  <c r="C140" i="30"/>
  <c r="B140" i="30"/>
  <c r="C139" i="30"/>
  <c r="B139" i="30"/>
  <c r="C135" i="30"/>
  <c r="C133" i="30"/>
  <c r="C132" i="30"/>
  <c r="C131" i="30"/>
  <c r="C127" i="30"/>
  <c r="C125" i="30"/>
  <c r="C122" i="30"/>
  <c r="C121" i="30"/>
  <c r="C120" i="30"/>
  <c r="B117" i="30"/>
  <c r="L116" i="30"/>
  <c r="K116" i="30"/>
  <c r="J116" i="30"/>
  <c r="I116" i="30"/>
  <c r="H116" i="30"/>
  <c r="G116" i="30"/>
  <c r="F116" i="30"/>
  <c r="E116" i="30"/>
  <c r="D116" i="30"/>
  <c r="C116" i="30"/>
  <c r="C115" i="30"/>
  <c r="C114" i="30"/>
  <c r="C112" i="30"/>
  <c r="C109" i="30"/>
  <c r="C108" i="30"/>
  <c r="C107" i="30"/>
  <c r="B104" i="30"/>
  <c r="L103" i="30"/>
  <c r="K103" i="30"/>
  <c r="J103" i="30"/>
  <c r="I103" i="30"/>
  <c r="H103" i="30"/>
  <c r="G103" i="30"/>
  <c r="F103" i="30"/>
  <c r="E103" i="30"/>
  <c r="D103" i="30"/>
  <c r="C103" i="30"/>
  <c r="C102" i="30"/>
  <c r="C101" i="30"/>
  <c r="C99" i="30"/>
  <c r="C96" i="30"/>
  <c r="C95" i="30"/>
  <c r="C94" i="30"/>
  <c r="B91" i="30"/>
  <c r="L90" i="30"/>
  <c r="K90" i="30"/>
  <c r="J90" i="30"/>
  <c r="I90" i="30"/>
  <c r="H90" i="30"/>
  <c r="G90" i="30"/>
  <c r="F90" i="30"/>
  <c r="E90" i="30"/>
  <c r="D90" i="30"/>
  <c r="C90" i="30"/>
  <c r="C89" i="30"/>
  <c r="C88" i="30"/>
  <c r="C86" i="30"/>
  <c r="C83" i="30"/>
  <c r="C82" i="30"/>
  <c r="C81" i="30"/>
  <c r="B78" i="30"/>
  <c r="L77" i="30"/>
  <c r="K77" i="30"/>
  <c r="J77" i="30"/>
  <c r="I77" i="30"/>
  <c r="H77" i="30"/>
  <c r="G77" i="30"/>
  <c r="F77" i="30"/>
  <c r="E77" i="30"/>
  <c r="D77" i="30"/>
  <c r="C77" i="30"/>
  <c r="C76" i="30"/>
  <c r="C75" i="30"/>
  <c r="C73" i="30"/>
  <c r="C70" i="30"/>
  <c r="C69" i="30"/>
  <c r="C68" i="30"/>
  <c r="B65" i="30"/>
  <c r="L64" i="30"/>
  <c r="K64" i="30"/>
  <c r="J64" i="30"/>
  <c r="I64" i="30"/>
  <c r="H64" i="30"/>
  <c r="G64" i="30"/>
  <c r="F64" i="30"/>
  <c r="E64" i="30"/>
  <c r="D64" i="30"/>
  <c r="C64" i="30"/>
  <c r="C63" i="30"/>
  <c r="C62" i="30"/>
  <c r="C60" i="30"/>
  <c r="C57" i="30"/>
  <c r="C56" i="30"/>
  <c r="C55" i="30"/>
  <c r="B52" i="30"/>
  <c r="L51" i="30"/>
  <c r="K51" i="30"/>
  <c r="J51" i="30"/>
  <c r="I51" i="30"/>
  <c r="H51" i="30"/>
  <c r="G51" i="30"/>
  <c r="F51" i="30"/>
  <c r="E51" i="30"/>
  <c r="D51" i="30"/>
  <c r="C51" i="30"/>
  <c r="C50" i="30"/>
  <c r="C49" i="30"/>
  <c r="C47" i="30"/>
  <c r="C44" i="30"/>
  <c r="C41" i="30"/>
  <c r="I36" i="30"/>
  <c r="H36" i="30"/>
  <c r="G36" i="30"/>
  <c r="F36" i="30"/>
  <c r="E36" i="30"/>
  <c r="D36" i="30"/>
  <c r="J34" i="30"/>
  <c r="C34" i="30"/>
  <c r="C31" i="30"/>
  <c r="C30" i="30"/>
  <c r="L17" i="30"/>
  <c r="L22" i="30"/>
  <c r="L23" i="30"/>
  <c r="L25" i="30"/>
  <c r="D9" i="30"/>
  <c r="C8" i="30"/>
  <c r="B7" i="30"/>
  <c r="C6" i="30"/>
  <c r="X246" i="29"/>
  <c r="X247" i="29"/>
  <c r="W246" i="29"/>
  <c r="W247" i="29"/>
  <c r="V246" i="29"/>
  <c r="V247" i="29"/>
  <c r="DQ102" i="29"/>
  <c r="CV102" i="29"/>
  <c r="CA102" i="29"/>
  <c r="BF102" i="29"/>
  <c r="AK102" i="29"/>
  <c r="P102" i="29"/>
  <c r="I100" i="29"/>
  <c r="I101" i="29"/>
  <c r="I102" i="29"/>
  <c r="G102" i="29"/>
  <c r="DQ101" i="29"/>
  <c r="CV101" i="29"/>
  <c r="CA101" i="29"/>
  <c r="BF101" i="29"/>
  <c r="AK101" i="29"/>
  <c r="P101" i="29"/>
  <c r="G101" i="29"/>
  <c r="DQ100" i="29"/>
  <c r="CV100" i="29"/>
  <c r="CA100" i="29"/>
  <c r="BF100" i="29"/>
  <c r="AK100" i="29"/>
  <c r="P100" i="29"/>
  <c r="G100" i="29"/>
  <c r="DQ98" i="29"/>
  <c r="CV98" i="29"/>
  <c r="CA98" i="29"/>
  <c r="BF98" i="29"/>
  <c r="AK98" i="29"/>
  <c r="P98" i="29"/>
  <c r="I29" i="29"/>
  <c r="I98" i="29"/>
  <c r="G98" i="29"/>
  <c r="DQ97" i="29"/>
  <c r="CV97" i="29"/>
  <c r="CA97" i="29"/>
  <c r="BF97" i="29"/>
  <c r="AK97" i="29"/>
  <c r="P97" i="29"/>
  <c r="G97" i="29"/>
  <c r="DQ91" i="29"/>
  <c r="B31" i="29"/>
  <c r="CV91" i="29"/>
  <c r="CA91" i="29"/>
  <c r="BF91" i="29"/>
  <c r="AK91" i="29"/>
  <c r="P91" i="29"/>
  <c r="G91" i="29"/>
  <c r="DQ86" i="29"/>
  <c r="CV86" i="29"/>
  <c r="CA86" i="29"/>
  <c r="BF86" i="29"/>
  <c r="AK86" i="29"/>
  <c r="P86" i="29"/>
  <c r="G86" i="29"/>
  <c r="DQ85" i="29"/>
  <c r="CV85" i="29"/>
  <c r="CA85" i="29"/>
  <c r="BF85" i="29"/>
  <c r="AK85" i="29"/>
  <c r="P85" i="29"/>
  <c r="G85" i="29"/>
  <c r="DQ76" i="29"/>
  <c r="CV76" i="29"/>
  <c r="CA76" i="29"/>
  <c r="BF76" i="29"/>
  <c r="AK76" i="29"/>
  <c r="P76" i="29"/>
  <c r="G76" i="29"/>
  <c r="DY27" i="29"/>
  <c r="DY28" i="29"/>
  <c r="DY29" i="29"/>
  <c r="DS68" i="29"/>
  <c r="DQ75" i="29"/>
  <c r="DD6" i="29"/>
  <c r="DD7" i="29"/>
  <c r="DD8" i="29"/>
  <c r="DD9" i="29"/>
  <c r="DD10" i="29"/>
  <c r="DD11" i="29"/>
  <c r="DD12" i="29"/>
  <c r="DD13" i="29"/>
  <c r="DD14" i="29"/>
  <c r="DD15" i="29"/>
  <c r="DD16" i="29"/>
  <c r="DD17" i="29"/>
  <c r="DD18" i="29"/>
  <c r="DD19" i="29"/>
  <c r="DD20" i="29"/>
  <c r="DD21" i="29"/>
  <c r="DD22" i="29"/>
  <c r="DD23" i="29"/>
  <c r="DD24" i="29"/>
  <c r="DD25" i="29"/>
  <c r="DD26" i="29"/>
  <c r="DD27" i="29"/>
  <c r="DD28" i="29"/>
  <c r="DD29" i="29"/>
  <c r="CX68" i="29"/>
  <c r="CV75" i="29"/>
  <c r="CI6" i="29"/>
  <c r="CI7" i="29"/>
  <c r="CI8" i="29"/>
  <c r="CI9" i="29"/>
  <c r="CI10" i="29"/>
  <c r="CI11" i="29"/>
  <c r="CI12" i="29"/>
  <c r="CI13" i="29"/>
  <c r="CI14" i="29"/>
  <c r="CI15" i="29"/>
  <c r="CI16" i="29"/>
  <c r="CI17" i="29"/>
  <c r="CI18" i="29"/>
  <c r="CI19" i="29"/>
  <c r="CI20" i="29"/>
  <c r="CI21" i="29"/>
  <c r="CI22" i="29"/>
  <c r="CI23" i="29"/>
  <c r="CI24" i="29"/>
  <c r="CI25" i="29"/>
  <c r="CI26" i="29"/>
  <c r="CI27" i="29"/>
  <c r="CI28" i="29"/>
  <c r="CI29" i="29"/>
  <c r="CC68" i="29"/>
  <c r="CA75" i="29"/>
  <c r="BN6" i="29"/>
  <c r="BN7" i="29"/>
  <c r="BN8" i="29"/>
  <c r="BN9" i="29"/>
  <c r="BN10" i="29"/>
  <c r="BN11" i="29"/>
  <c r="BN12" i="29"/>
  <c r="BN13" i="29"/>
  <c r="BN14" i="29"/>
  <c r="BN15" i="29"/>
  <c r="BN16" i="29"/>
  <c r="BN17" i="29"/>
  <c r="BN18" i="29"/>
  <c r="BN19" i="29"/>
  <c r="BN20" i="29"/>
  <c r="BN21" i="29"/>
  <c r="BN22" i="29"/>
  <c r="BN23" i="29"/>
  <c r="BN24" i="29"/>
  <c r="BN25" i="29"/>
  <c r="BN26" i="29"/>
  <c r="BN27" i="29"/>
  <c r="BN28" i="29"/>
  <c r="BN29" i="29"/>
  <c r="BH68" i="29"/>
  <c r="BF75" i="29"/>
  <c r="AS6" i="29"/>
  <c r="AS7" i="29"/>
  <c r="AS8" i="29"/>
  <c r="AS9" i="29"/>
  <c r="AS10" i="29"/>
  <c r="AS11" i="29"/>
  <c r="AS12" i="29"/>
  <c r="AS13" i="29"/>
  <c r="AS14" i="29"/>
  <c r="AS15" i="29"/>
  <c r="AS16" i="29"/>
  <c r="AS17" i="29"/>
  <c r="AS18" i="29"/>
  <c r="AS19" i="29"/>
  <c r="AS20" i="29"/>
  <c r="AS21" i="29"/>
  <c r="AS22" i="29"/>
  <c r="AS23" i="29"/>
  <c r="AS24" i="29"/>
  <c r="AS25" i="29"/>
  <c r="AS26" i="29"/>
  <c r="AS27" i="29"/>
  <c r="AK75" i="29"/>
  <c r="X6" i="29"/>
  <c r="X7" i="29"/>
  <c r="X8" i="29"/>
  <c r="X9" i="29"/>
  <c r="X10" i="29"/>
  <c r="X11" i="29"/>
  <c r="X12" i="29"/>
  <c r="X13" i="29"/>
  <c r="X14" i="29"/>
  <c r="X15" i="29"/>
  <c r="X16" i="29"/>
  <c r="X17" i="29"/>
  <c r="X18" i="29"/>
  <c r="X19" i="29"/>
  <c r="X20" i="29"/>
  <c r="X21" i="29"/>
  <c r="X22" i="29"/>
  <c r="X23" i="29"/>
  <c r="X24" i="29"/>
  <c r="X25" i="29"/>
  <c r="X26" i="29"/>
  <c r="X29" i="29"/>
  <c r="R68" i="29"/>
  <c r="P75" i="29"/>
  <c r="G75" i="29"/>
  <c r="DQ74" i="29"/>
  <c r="CV74" i="29"/>
  <c r="CA74" i="29"/>
  <c r="BF74" i="29"/>
  <c r="AK74" i="29"/>
  <c r="P74" i="29"/>
  <c r="G74" i="29"/>
  <c r="DQ73" i="29"/>
  <c r="CV73" i="29"/>
  <c r="CA73" i="29"/>
  <c r="BF73" i="29"/>
  <c r="AK73" i="29"/>
  <c r="P73" i="29"/>
  <c r="G73" i="29"/>
  <c r="DQ72" i="29"/>
  <c r="CV72" i="29"/>
  <c r="CA72" i="29"/>
  <c r="BF72" i="29"/>
  <c r="AK72" i="29"/>
  <c r="P72" i="29"/>
  <c r="G72" i="29"/>
  <c r="DQ69" i="29"/>
  <c r="CV69" i="29"/>
  <c r="CA69" i="29"/>
  <c r="BF69" i="29"/>
  <c r="AK69" i="29"/>
  <c r="P69" i="29"/>
  <c r="G69" i="29"/>
  <c r="DQ68" i="29"/>
  <c r="CV68" i="29"/>
  <c r="CA68" i="29"/>
  <c r="BF68" i="29"/>
  <c r="AK68" i="29"/>
  <c r="P68" i="29"/>
  <c r="G68" i="29"/>
  <c r="DQ67" i="29"/>
  <c r="CV67" i="29"/>
  <c r="CA67" i="29"/>
  <c r="BF67" i="29"/>
  <c r="AK67" i="29"/>
  <c r="P67" i="29"/>
  <c r="G67" i="29"/>
  <c r="DQ66" i="29"/>
  <c r="CV66" i="29"/>
  <c r="CA66" i="29"/>
  <c r="BF66" i="29"/>
  <c r="AK66" i="29"/>
  <c r="P66" i="29"/>
  <c r="G66" i="29"/>
  <c r="DQ65" i="29"/>
  <c r="CV65" i="29"/>
  <c r="CA65" i="29"/>
  <c r="BH29" i="29"/>
  <c r="BH65" i="29"/>
  <c r="BF65" i="29"/>
  <c r="AM29" i="29"/>
  <c r="AM65" i="29"/>
  <c r="AK65" i="29"/>
  <c r="R29" i="29"/>
  <c r="R65" i="29"/>
  <c r="P65" i="29"/>
  <c r="G65" i="29"/>
  <c r="DQ61" i="29"/>
  <c r="CV61" i="29"/>
  <c r="CA61" i="29"/>
  <c r="BF61" i="29"/>
  <c r="AK61" i="29"/>
  <c r="P61" i="29"/>
  <c r="G61" i="29"/>
  <c r="FK4" i="29"/>
  <c r="G4" i="29"/>
  <c r="P4" i="29"/>
  <c r="AK4" i="29"/>
  <c r="BF4" i="29"/>
  <c r="CA4" i="29"/>
  <c r="CV4" i="29"/>
  <c r="DQ4" i="29"/>
  <c r="FM55" i="29"/>
  <c r="FL55" i="29"/>
  <c r="FK55" i="29"/>
  <c r="FF4" i="29"/>
  <c r="M6" i="29"/>
  <c r="M7" i="29"/>
  <c r="M47" i="29"/>
  <c r="M8" i="29"/>
  <c r="M48" i="29"/>
  <c r="M9" i="29"/>
  <c r="M49" i="29"/>
  <c r="M50" i="29"/>
  <c r="M51" i="29"/>
  <c r="M52" i="29"/>
  <c r="M53" i="29"/>
  <c r="M10" i="29"/>
  <c r="M11" i="29"/>
  <c r="M12" i="29"/>
  <c r="M13" i="29"/>
  <c r="M14" i="29"/>
  <c r="M15" i="29"/>
  <c r="M16" i="29"/>
  <c r="M17" i="29"/>
  <c r="M18" i="29"/>
  <c r="M19" i="29"/>
  <c r="M20" i="29"/>
  <c r="M21" i="29"/>
  <c r="M22" i="29"/>
  <c r="M23" i="29"/>
  <c r="M24" i="29"/>
  <c r="M25" i="29"/>
  <c r="M26" i="29"/>
  <c r="M27" i="29"/>
  <c r="M28" i="29"/>
  <c r="M54" i="29"/>
  <c r="M55" i="29"/>
  <c r="M29" i="29"/>
  <c r="N55" i="29"/>
  <c r="FH55" i="29"/>
  <c r="J47" i="29"/>
  <c r="J48" i="29"/>
  <c r="J49" i="29"/>
  <c r="J50" i="29"/>
  <c r="J51" i="29"/>
  <c r="J52" i="29"/>
  <c r="J53" i="29"/>
  <c r="J54" i="29"/>
  <c r="J55" i="29"/>
  <c r="K47" i="29"/>
  <c r="K48" i="29"/>
  <c r="K49" i="29"/>
  <c r="K50" i="29"/>
  <c r="K51" i="29"/>
  <c r="K52" i="29"/>
  <c r="K53" i="29"/>
  <c r="K54" i="29"/>
  <c r="K55" i="29"/>
  <c r="FG55" i="29"/>
  <c r="I47" i="29"/>
  <c r="I48" i="29"/>
  <c r="I49" i="29"/>
  <c r="I50" i="29"/>
  <c r="I51" i="29"/>
  <c r="I52" i="29"/>
  <c r="I53" i="29"/>
  <c r="I54" i="29"/>
  <c r="I55" i="29"/>
  <c r="FF55" i="29"/>
  <c r="FB7" i="29"/>
  <c r="FB50" i="29"/>
  <c r="FB51" i="29"/>
  <c r="FB52" i="29"/>
  <c r="FB53" i="29"/>
  <c r="FA50" i="29"/>
  <c r="FA51" i="29"/>
  <c r="FA52" i="29"/>
  <c r="FA53" i="29"/>
  <c r="EY7" i="29"/>
  <c r="EY50" i="29"/>
  <c r="EY51" i="29"/>
  <c r="EY52" i="29"/>
  <c r="EY53" i="29"/>
  <c r="EX6" i="29"/>
  <c r="EX7" i="29"/>
  <c r="EX47" i="29"/>
  <c r="EX50" i="29"/>
  <c r="EX10" i="29"/>
  <c r="EX11" i="29"/>
  <c r="EX12" i="29"/>
  <c r="EX13" i="29"/>
  <c r="EX14" i="29"/>
  <c r="EX15" i="29"/>
  <c r="EX16" i="29"/>
  <c r="EX17" i="29"/>
  <c r="EX18" i="29"/>
  <c r="EX19" i="29"/>
  <c r="EX20" i="29"/>
  <c r="EX21" i="29"/>
  <c r="EX22" i="29"/>
  <c r="EX23" i="29"/>
  <c r="EX24" i="29"/>
  <c r="EX25" i="29"/>
  <c r="EX26" i="29"/>
  <c r="EW7" i="29"/>
  <c r="EW51" i="29"/>
  <c r="EW52" i="29"/>
  <c r="EW53" i="29"/>
  <c r="EV6" i="29"/>
  <c r="EV7" i="29"/>
  <c r="EV47" i="29"/>
  <c r="EV8" i="29"/>
  <c r="EV48" i="29"/>
  <c r="EV9" i="29"/>
  <c r="EV49" i="29"/>
  <c r="EV50" i="29"/>
  <c r="EV51" i="29"/>
  <c r="EV52" i="29"/>
  <c r="EV53" i="29"/>
  <c r="EV10" i="29"/>
  <c r="EV11" i="29"/>
  <c r="EV12" i="29"/>
  <c r="EV13" i="29"/>
  <c r="EV14" i="29"/>
  <c r="EV15" i="29"/>
  <c r="EV16" i="29"/>
  <c r="EV17" i="29"/>
  <c r="EV18" i="29"/>
  <c r="EV19" i="29"/>
  <c r="EV20" i="29"/>
  <c r="EV21" i="29"/>
  <c r="EV22" i="29"/>
  <c r="EV23" i="29"/>
  <c r="EV24" i="29"/>
  <c r="EV25" i="29"/>
  <c r="EV26" i="29"/>
  <c r="EU7" i="29"/>
  <c r="EU50" i="29"/>
  <c r="EU51" i="29"/>
  <c r="EU52" i="29"/>
  <c r="EU53" i="29"/>
  <c r="ES6" i="29"/>
  <c r="ES7" i="29"/>
  <c r="ES47" i="29"/>
  <c r="ES8" i="29"/>
  <c r="ES48" i="29"/>
  <c r="ES9" i="29"/>
  <c r="ES49" i="29"/>
  <c r="ES50" i="29"/>
  <c r="ES51" i="29"/>
  <c r="ES52" i="29"/>
  <c r="ES53" i="29"/>
  <c r="ES10" i="29"/>
  <c r="ES11" i="29"/>
  <c r="ES12" i="29"/>
  <c r="ES13" i="29"/>
  <c r="ES14" i="29"/>
  <c r="ES15" i="29"/>
  <c r="ES16" i="29"/>
  <c r="ES17" i="29"/>
  <c r="ES18" i="29"/>
  <c r="ES19" i="29"/>
  <c r="ES20" i="29"/>
  <c r="ES21" i="29"/>
  <c r="ES22" i="29"/>
  <c r="ES23" i="29"/>
  <c r="ES24" i="29"/>
  <c r="ES25" i="29"/>
  <c r="ES26" i="29"/>
  <c r="ES27" i="29"/>
  <c r="ER6" i="29"/>
  <c r="ER7" i="29"/>
  <c r="ER47" i="29"/>
  <c r="ER8" i="29"/>
  <c r="ER48" i="29"/>
  <c r="ER9" i="29"/>
  <c r="ER49" i="29"/>
  <c r="ER50" i="29"/>
  <c r="ER51" i="29"/>
  <c r="ER52" i="29"/>
  <c r="ER53" i="29"/>
  <c r="ER10" i="29"/>
  <c r="ER11" i="29"/>
  <c r="ER12" i="29"/>
  <c r="ER13" i="29"/>
  <c r="ER14" i="29"/>
  <c r="ER15" i="29"/>
  <c r="ER16" i="29"/>
  <c r="ER17" i="29"/>
  <c r="ER18" i="29"/>
  <c r="ER19" i="29"/>
  <c r="ER20" i="29"/>
  <c r="ER21" i="29"/>
  <c r="ER22" i="29"/>
  <c r="ER23" i="29"/>
  <c r="ER24" i="29"/>
  <c r="ER25" i="29"/>
  <c r="ER26" i="29"/>
  <c r="ER27" i="29"/>
  <c r="EQ6" i="29"/>
  <c r="EQ7" i="29"/>
  <c r="EQ47" i="29"/>
  <c r="EQ8" i="29"/>
  <c r="EQ48" i="29"/>
  <c r="EQ9" i="29"/>
  <c r="EQ49" i="29"/>
  <c r="EQ50" i="29"/>
  <c r="EQ51" i="29"/>
  <c r="EQ52" i="29"/>
  <c r="EQ53" i="29"/>
  <c r="EQ10" i="29"/>
  <c r="EQ11" i="29"/>
  <c r="EQ12" i="29"/>
  <c r="EQ13" i="29"/>
  <c r="EQ14" i="29"/>
  <c r="EQ15" i="29"/>
  <c r="EQ16" i="29"/>
  <c r="EQ17" i="29"/>
  <c r="EQ18" i="29"/>
  <c r="EQ19" i="29"/>
  <c r="EQ20" i="29"/>
  <c r="EQ21" i="29"/>
  <c r="EQ22" i="29"/>
  <c r="EQ23" i="29"/>
  <c r="EQ24" i="29"/>
  <c r="EQ25" i="29"/>
  <c r="EQ26" i="29"/>
  <c r="EQ27" i="29"/>
  <c r="EM6" i="29"/>
  <c r="EM7" i="29"/>
  <c r="EM47" i="29"/>
  <c r="EM8" i="29"/>
  <c r="EM48" i="29"/>
  <c r="EM9" i="29"/>
  <c r="EM49" i="29"/>
  <c r="EM50" i="29"/>
  <c r="EM51" i="29"/>
  <c r="EM52" i="29"/>
  <c r="EM53" i="29"/>
  <c r="EM10" i="29"/>
  <c r="EM11" i="29"/>
  <c r="EM12" i="29"/>
  <c r="EM13" i="29"/>
  <c r="EM14" i="29"/>
  <c r="EM15" i="29"/>
  <c r="EM16" i="29"/>
  <c r="EM17" i="29"/>
  <c r="EM18" i="29"/>
  <c r="EM19" i="29"/>
  <c r="EM20" i="29"/>
  <c r="EM21" i="29"/>
  <c r="EM22" i="29"/>
  <c r="EM23" i="29"/>
  <c r="EM24" i="29"/>
  <c r="EM25" i="29"/>
  <c r="EM26" i="29"/>
  <c r="EM27" i="29"/>
  <c r="EM28" i="29"/>
  <c r="EM54" i="29"/>
  <c r="EM55" i="29"/>
  <c r="EL6" i="29"/>
  <c r="EL7" i="29"/>
  <c r="EL47" i="29"/>
  <c r="EL8" i="29"/>
  <c r="EL48" i="29"/>
  <c r="EL9" i="29"/>
  <c r="EL49" i="29"/>
  <c r="EL50" i="29"/>
  <c r="EL51" i="29"/>
  <c r="EL52" i="29"/>
  <c r="EL53" i="29"/>
  <c r="EL10" i="29"/>
  <c r="EL11" i="29"/>
  <c r="EL12" i="29"/>
  <c r="EL13" i="29"/>
  <c r="EL14" i="29"/>
  <c r="EL15" i="29"/>
  <c r="EL16" i="29"/>
  <c r="EL17" i="29"/>
  <c r="EL18" i="29"/>
  <c r="EL19" i="29"/>
  <c r="EL20" i="29"/>
  <c r="EL21" i="29"/>
  <c r="EL22" i="29"/>
  <c r="EL23" i="29"/>
  <c r="EL24" i="29"/>
  <c r="EL25" i="29"/>
  <c r="EL26" i="29"/>
  <c r="EL27" i="29"/>
  <c r="EL28" i="29"/>
  <c r="EL54" i="29"/>
  <c r="EL55" i="29"/>
  <c r="EI50" i="29"/>
  <c r="EI51" i="29"/>
  <c r="EI52" i="29"/>
  <c r="EI53" i="29"/>
  <c r="EH50" i="29"/>
  <c r="EH51" i="29"/>
  <c r="EH52" i="29"/>
  <c r="EH53" i="29"/>
  <c r="EF50" i="29"/>
  <c r="EF51" i="29"/>
  <c r="EF52" i="29"/>
  <c r="EF53" i="29"/>
  <c r="EE47" i="29"/>
  <c r="EE48" i="29"/>
  <c r="EE49" i="29"/>
  <c r="EE50" i="29"/>
  <c r="EE51" i="29"/>
  <c r="EE52" i="29"/>
  <c r="EE53" i="29"/>
  <c r="ED50" i="29"/>
  <c r="ED51" i="29"/>
  <c r="ED52" i="29"/>
  <c r="ED53" i="29"/>
  <c r="EC47" i="29"/>
  <c r="EC48" i="29"/>
  <c r="EC49" i="29"/>
  <c r="EC50" i="29"/>
  <c r="EC51" i="29"/>
  <c r="EC52" i="29"/>
  <c r="EC53" i="29"/>
  <c r="DZ47" i="29"/>
  <c r="DZ48" i="29"/>
  <c r="DZ49" i="29"/>
  <c r="DZ50" i="29"/>
  <c r="DZ51" i="29"/>
  <c r="DZ52" i="29"/>
  <c r="DZ53" i="29"/>
  <c r="DZ54" i="29"/>
  <c r="DZ55" i="29"/>
  <c r="DY47" i="29"/>
  <c r="DY48" i="29"/>
  <c r="DY49" i="29"/>
  <c r="DY50" i="29"/>
  <c r="DY51" i="29"/>
  <c r="DY52" i="29"/>
  <c r="DY53" i="29"/>
  <c r="DY54" i="29"/>
  <c r="DY55" i="29"/>
  <c r="DX47" i="29"/>
  <c r="DX48" i="29"/>
  <c r="DX49" i="29"/>
  <c r="DX50" i="29"/>
  <c r="DX51" i="29"/>
  <c r="DX52" i="29"/>
  <c r="DX53" i="29"/>
  <c r="DX54" i="29"/>
  <c r="DX55" i="29"/>
  <c r="DT47" i="29"/>
  <c r="DT48" i="29"/>
  <c r="DT49" i="29"/>
  <c r="DT50" i="29"/>
  <c r="DT51" i="29"/>
  <c r="DT52" i="29"/>
  <c r="DT53" i="29"/>
  <c r="DT54" i="29"/>
  <c r="DT55" i="29"/>
  <c r="DS47" i="29"/>
  <c r="DS48" i="29"/>
  <c r="DS49" i="29"/>
  <c r="DS50" i="29"/>
  <c r="DS51" i="29"/>
  <c r="DS52" i="29"/>
  <c r="DS53" i="29"/>
  <c r="DS54" i="29"/>
  <c r="DS55" i="29"/>
  <c r="DN50" i="29"/>
  <c r="DN51" i="29"/>
  <c r="DN52" i="29"/>
  <c r="DN53" i="29"/>
  <c r="DM50" i="29"/>
  <c r="DM51" i="29"/>
  <c r="DM52" i="29"/>
  <c r="DM53" i="29"/>
  <c r="DK50" i="29"/>
  <c r="DK51" i="29"/>
  <c r="DK52" i="29"/>
  <c r="DK53" i="29"/>
  <c r="DJ47" i="29"/>
  <c r="DJ48" i="29"/>
  <c r="DJ49" i="29"/>
  <c r="DJ50" i="29"/>
  <c r="DJ51" i="29"/>
  <c r="DJ52" i="29"/>
  <c r="DJ53" i="29"/>
  <c r="DI50" i="29"/>
  <c r="DI51" i="29"/>
  <c r="DI52" i="29"/>
  <c r="DI53" i="29"/>
  <c r="DH47" i="29"/>
  <c r="DH48" i="29"/>
  <c r="DH49" i="29"/>
  <c r="DH50" i="29"/>
  <c r="DH51" i="29"/>
  <c r="DH52" i="29"/>
  <c r="DH53" i="29"/>
  <c r="DG50" i="29"/>
  <c r="DG51" i="29"/>
  <c r="DG52" i="29"/>
  <c r="DG53" i="29"/>
  <c r="DE47" i="29"/>
  <c r="DE48" i="29"/>
  <c r="DE49" i="29"/>
  <c r="DE50" i="29"/>
  <c r="DE51" i="29"/>
  <c r="DE52" i="29"/>
  <c r="DE53" i="29"/>
  <c r="DE54" i="29"/>
  <c r="DE55" i="29"/>
  <c r="DD47" i="29"/>
  <c r="DD48" i="29"/>
  <c r="DD49" i="29"/>
  <c r="DD50" i="29"/>
  <c r="DD51" i="29"/>
  <c r="DD52" i="29"/>
  <c r="DD53" i="29"/>
  <c r="DD54" i="29"/>
  <c r="DD55" i="29"/>
  <c r="DC47" i="29"/>
  <c r="DC48" i="29"/>
  <c r="DC49" i="29"/>
  <c r="DC50" i="29"/>
  <c r="DC51" i="29"/>
  <c r="DC52" i="29"/>
  <c r="DC53" i="29"/>
  <c r="DC54" i="29"/>
  <c r="DC55" i="29"/>
  <c r="CY47" i="29"/>
  <c r="CY48" i="29"/>
  <c r="CY49" i="29"/>
  <c r="CY50" i="29"/>
  <c r="CY51" i="29"/>
  <c r="CY52" i="29"/>
  <c r="CY53" i="29"/>
  <c r="CY54" i="29"/>
  <c r="CY55" i="29"/>
  <c r="CX47" i="29"/>
  <c r="CX48" i="29"/>
  <c r="CX49" i="29"/>
  <c r="CX50" i="29"/>
  <c r="CX51" i="29"/>
  <c r="CX52" i="29"/>
  <c r="CX53" i="29"/>
  <c r="CX54" i="29"/>
  <c r="CX55" i="29"/>
  <c r="CS50" i="29"/>
  <c r="CS51" i="29"/>
  <c r="CS52" i="29"/>
  <c r="CS53" i="29"/>
  <c r="CR50" i="29"/>
  <c r="CR51" i="29"/>
  <c r="CR52" i="29"/>
  <c r="CR53" i="29"/>
  <c r="CP50" i="29"/>
  <c r="CP51" i="29"/>
  <c r="CP52" i="29"/>
  <c r="CP53" i="29"/>
  <c r="CO47" i="29"/>
  <c r="CO48" i="29"/>
  <c r="CO49" i="29"/>
  <c r="CO50" i="29"/>
  <c r="CO51" i="29"/>
  <c r="CO52" i="29"/>
  <c r="CO53" i="29"/>
  <c r="CN50" i="29"/>
  <c r="CN51" i="29"/>
  <c r="CN52" i="29"/>
  <c r="CN53" i="29"/>
  <c r="CM47" i="29"/>
  <c r="CM48" i="29"/>
  <c r="CM49" i="29"/>
  <c r="CM50" i="29"/>
  <c r="CM51" i="29"/>
  <c r="CM52" i="29"/>
  <c r="CM53" i="29"/>
  <c r="CL50" i="29"/>
  <c r="CL51" i="29"/>
  <c r="CL52" i="29"/>
  <c r="CL53" i="29"/>
  <c r="CJ47" i="29"/>
  <c r="CJ48" i="29"/>
  <c r="CJ49" i="29"/>
  <c r="CJ50" i="29"/>
  <c r="CJ51" i="29"/>
  <c r="CJ52" i="29"/>
  <c r="CJ53" i="29"/>
  <c r="CJ54" i="29"/>
  <c r="CJ55" i="29"/>
  <c r="CI47" i="29"/>
  <c r="CI48" i="29"/>
  <c r="CI49" i="29"/>
  <c r="CI50" i="29"/>
  <c r="CI51" i="29"/>
  <c r="CI52" i="29"/>
  <c r="CI53" i="29"/>
  <c r="CI54" i="29"/>
  <c r="CI55" i="29"/>
  <c r="CH47" i="29"/>
  <c r="CH48" i="29"/>
  <c r="CH49" i="29"/>
  <c r="CH50" i="29"/>
  <c r="CH51" i="29"/>
  <c r="CH52" i="29"/>
  <c r="CH53" i="29"/>
  <c r="CH54" i="29"/>
  <c r="CH55" i="29"/>
  <c r="CD47" i="29"/>
  <c r="CD48" i="29"/>
  <c r="CD49" i="29"/>
  <c r="CD50" i="29"/>
  <c r="CD51" i="29"/>
  <c r="CD52" i="29"/>
  <c r="CD53" i="29"/>
  <c r="CD54" i="29"/>
  <c r="CD55" i="29"/>
  <c r="CC47" i="29"/>
  <c r="CC48" i="29"/>
  <c r="CC49" i="29"/>
  <c r="CC50" i="29"/>
  <c r="CC51" i="29"/>
  <c r="CC52" i="29"/>
  <c r="CC53" i="29"/>
  <c r="CC54" i="29"/>
  <c r="CC55" i="29"/>
  <c r="BX50" i="29"/>
  <c r="BX51" i="29"/>
  <c r="BX52" i="29"/>
  <c r="BX53" i="29"/>
  <c r="BW50" i="29"/>
  <c r="BW51" i="29"/>
  <c r="BW52" i="29"/>
  <c r="BW53" i="29"/>
  <c r="BU50" i="29"/>
  <c r="BU51" i="29"/>
  <c r="BU52" i="29"/>
  <c r="BU53" i="29"/>
  <c r="BT47" i="29"/>
  <c r="BT48" i="29"/>
  <c r="BT49" i="29"/>
  <c r="BT50" i="29"/>
  <c r="BT51" i="29"/>
  <c r="BT52" i="29"/>
  <c r="BT53" i="29"/>
  <c r="BS50" i="29"/>
  <c r="BS51" i="29"/>
  <c r="BS52" i="29"/>
  <c r="BS53" i="29"/>
  <c r="BR47" i="29"/>
  <c r="BR48" i="29"/>
  <c r="BR49" i="29"/>
  <c r="BR50" i="29"/>
  <c r="BR51" i="29"/>
  <c r="BR52" i="29"/>
  <c r="BR53" i="29"/>
  <c r="BQ50" i="29"/>
  <c r="BQ51" i="29"/>
  <c r="BQ52" i="29"/>
  <c r="BQ53" i="29"/>
  <c r="BO47" i="29"/>
  <c r="BO48" i="29"/>
  <c r="BO49" i="29"/>
  <c r="BO50" i="29"/>
  <c r="BO51" i="29"/>
  <c r="BO52" i="29"/>
  <c r="BO53" i="29"/>
  <c r="BO54" i="29"/>
  <c r="BO55" i="29"/>
  <c r="BN47" i="29"/>
  <c r="BN48" i="29"/>
  <c r="BN49" i="29"/>
  <c r="BN50" i="29"/>
  <c r="BN51" i="29"/>
  <c r="BN52" i="29"/>
  <c r="BN53" i="29"/>
  <c r="BN54" i="29"/>
  <c r="BN55" i="29"/>
  <c r="BM47" i="29"/>
  <c r="BM48" i="29"/>
  <c r="BM49" i="29"/>
  <c r="BM50" i="29"/>
  <c r="BM51" i="29"/>
  <c r="BM52" i="29"/>
  <c r="BM53" i="29"/>
  <c r="BM54" i="29"/>
  <c r="BM55" i="29"/>
  <c r="BI47" i="29"/>
  <c r="BI48" i="29"/>
  <c r="BI49" i="29"/>
  <c r="BI50" i="29"/>
  <c r="BI51" i="29"/>
  <c r="BI52" i="29"/>
  <c r="BI53" i="29"/>
  <c r="BI54" i="29"/>
  <c r="BI55" i="29"/>
  <c r="BH47" i="29"/>
  <c r="BH48" i="29"/>
  <c r="BH49" i="29"/>
  <c r="BH50" i="29"/>
  <c r="BH51" i="29"/>
  <c r="BH52" i="29"/>
  <c r="BH53" i="29"/>
  <c r="BH54" i="29"/>
  <c r="BH55" i="29"/>
  <c r="BC50" i="29"/>
  <c r="BC51" i="29"/>
  <c r="BC52" i="29"/>
  <c r="BC53" i="29"/>
  <c r="BB50" i="29"/>
  <c r="BB51" i="29"/>
  <c r="BB52" i="29"/>
  <c r="BB53" i="29"/>
  <c r="AZ50" i="29"/>
  <c r="AZ51" i="29"/>
  <c r="AZ52" i="29"/>
  <c r="AZ53" i="29"/>
  <c r="AY47" i="29"/>
  <c r="AY48" i="29"/>
  <c r="AY49" i="29"/>
  <c r="AY50" i="29"/>
  <c r="AY51" i="29"/>
  <c r="AY52" i="29"/>
  <c r="AY53" i="29"/>
  <c r="AX50" i="29"/>
  <c r="AX51" i="29"/>
  <c r="AX52" i="29"/>
  <c r="AX53" i="29"/>
  <c r="AW47" i="29"/>
  <c r="AW48" i="29"/>
  <c r="AW49" i="29"/>
  <c r="AW50" i="29"/>
  <c r="AW51" i="29"/>
  <c r="AW52" i="29"/>
  <c r="AW53" i="29"/>
  <c r="AV50" i="29"/>
  <c r="AV51" i="29"/>
  <c r="AV52" i="29"/>
  <c r="AV53" i="29"/>
  <c r="AT47" i="29"/>
  <c r="AT48" i="29"/>
  <c r="AT49" i="29"/>
  <c r="AT50" i="29"/>
  <c r="AT51" i="29"/>
  <c r="AT52" i="29"/>
  <c r="AT53" i="29"/>
  <c r="AS47" i="29"/>
  <c r="AS48" i="29"/>
  <c r="AS49" i="29"/>
  <c r="AS50" i="29"/>
  <c r="AS51" i="29"/>
  <c r="AS52" i="29"/>
  <c r="AS53" i="29"/>
  <c r="AR47" i="29"/>
  <c r="AR48" i="29"/>
  <c r="AR49" i="29"/>
  <c r="AR50" i="29"/>
  <c r="AR51" i="29"/>
  <c r="AR52" i="29"/>
  <c r="AR53" i="29"/>
  <c r="AN47" i="29"/>
  <c r="AN48" i="29"/>
  <c r="AN49" i="29"/>
  <c r="AN50" i="29"/>
  <c r="AN51" i="29"/>
  <c r="AN52" i="29"/>
  <c r="AN53" i="29"/>
  <c r="AN54" i="29"/>
  <c r="AN55" i="29"/>
  <c r="AM47" i="29"/>
  <c r="AM48" i="29"/>
  <c r="AM49" i="29"/>
  <c r="AM50" i="29"/>
  <c r="AM51" i="29"/>
  <c r="AM52" i="29"/>
  <c r="AM53" i="29"/>
  <c r="AM54" i="29"/>
  <c r="AM55" i="29"/>
  <c r="AH47" i="29"/>
  <c r="AH48" i="29"/>
  <c r="AH49" i="29"/>
  <c r="AH50" i="29"/>
  <c r="AH51" i="29"/>
  <c r="AH52" i="29"/>
  <c r="AH53" i="29"/>
  <c r="AG6" i="29"/>
  <c r="AG7" i="29"/>
  <c r="AG47" i="29"/>
  <c r="AG8" i="29"/>
  <c r="AG48" i="29"/>
  <c r="AG9" i="29"/>
  <c r="AG49" i="29"/>
  <c r="AG50" i="29"/>
  <c r="AG51" i="29"/>
  <c r="AG52" i="29"/>
  <c r="AG53" i="29"/>
  <c r="AG10" i="29"/>
  <c r="AG11" i="29"/>
  <c r="AG12" i="29"/>
  <c r="AG13" i="29"/>
  <c r="AG14" i="29"/>
  <c r="AG15" i="29"/>
  <c r="AG16" i="29"/>
  <c r="AG17" i="29"/>
  <c r="AG18" i="29"/>
  <c r="AG19" i="29"/>
  <c r="AG20" i="29"/>
  <c r="AG21" i="29"/>
  <c r="AG22" i="29"/>
  <c r="AG23" i="29"/>
  <c r="AG24" i="29"/>
  <c r="AG25" i="29"/>
  <c r="AG26" i="29"/>
  <c r="AG27" i="29"/>
  <c r="AE47" i="29"/>
  <c r="AE48" i="29"/>
  <c r="AE49" i="29"/>
  <c r="AE50" i="29"/>
  <c r="AE51" i="29"/>
  <c r="AE52" i="29"/>
  <c r="AE53" i="29"/>
  <c r="AD47" i="29"/>
  <c r="AD48" i="29"/>
  <c r="AD49" i="29"/>
  <c r="AD50" i="29"/>
  <c r="AD51" i="29"/>
  <c r="AD52" i="29"/>
  <c r="AD53" i="29"/>
  <c r="AC47" i="29"/>
  <c r="AC48" i="29"/>
  <c r="AC49" i="29"/>
  <c r="AC50" i="29"/>
  <c r="AC51" i="29"/>
  <c r="AC52" i="29"/>
  <c r="AC53" i="29"/>
  <c r="AC54" i="29"/>
  <c r="AC55" i="29"/>
  <c r="AB47" i="29"/>
  <c r="AB48" i="29"/>
  <c r="AB49" i="29"/>
  <c r="AB50" i="29"/>
  <c r="AB51" i="29"/>
  <c r="AB52" i="29"/>
  <c r="AB53" i="29"/>
  <c r="AA47" i="29"/>
  <c r="AA48" i="29"/>
  <c r="AA49" i="29"/>
  <c r="AA50" i="29"/>
  <c r="AA51" i="29"/>
  <c r="AA52" i="29"/>
  <c r="AA53" i="29"/>
  <c r="AA54" i="29"/>
  <c r="AA55" i="29"/>
  <c r="Y47" i="29"/>
  <c r="Y48" i="29"/>
  <c r="Y49" i="29"/>
  <c r="Y50" i="29"/>
  <c r="Y51" i="29"/>
  <c r="Y52" i="29"/>
  <c r="Y53" i="29"/>
  <c r="Y54" i="29"/>
  <c r="Y55" i="29"/>
  <c r="Z55" i="29"/>
  <c r="X47" i="29"/>
  <c r="X48" i="29"/>
  <c r="X49" i="29"/>
  <c r="X50" i="29"/>
  <c r="X51" i="29"/>
  <c r="X52" i="29"/>
  <c r="X53" i="29"/>
  <c r="X54" i="29"/>
  <c r="X55" i="29"/>
  <c r="W47" i="29"/>
  <c r="W48" i="29"/>
  <c r="W49" i="29"/>
  <c r="W50" i="29"/>
  <c r="W51" i="29"/>
  <c r="W52" i="29"/>
  <c r="W53" i="29"/>
  <c r="W54" i="29"/>
  <c r="W55" i="29"/>
  <c r="S47" i="29"/>
  <c r="S48" i="29"/>
  <c r="S49" i="29"/>
  <c r="S50" i="29"/>
  <c r="S51" i="29"/>
  <c r="S52" i="29"/>
  <c r="S53" i="29"/>
  <c r="S54" i="29"/>
  <c r="S55" i="29"/>
  <c r="R47" i="29"/>
  <c r="R48" i="29"/>
  <c r="R49" i="29"/>
  <c r="R50" i="29"/>
  <c r="R51" i="29"/>
  <c r="R52" i="29"/>
  <c r="R53" i="29"/>
  <c r="R54" i="29"/>
  <c r="R55" i="29"/>
  <c r="L55" i="29"/>
  <c r="FM54" i="29"/>
  <c r="FL54" i="29"/>
  <c r="FK54" i="29"/>
  <c r="N54" i="29"/>
  <c r="FH54" i="29"/>
  <c r="FG54" i="29"/>
  <c r="FF54" i="29"/>
  <c r="Z54" i="29"/>
  <c r="L54" i="29"/>
  <c r="D54" i="29"/>
  <c r="FM53" i="29"/>
  <c r="FL53" i="29"/>
  <c r="FK53" i="29"/>
  <c r="N53" i="29"/>
  <c r="FH53" i="29"/>
  <c r="FG53" i="29"/>
  <c r="FF53" i="29"/>
  <c r="ET53" i="29"/>
  <c r="EA53" i="29"/>
  <c r="DF53" i="29"/>
  <c r="CK53" i="29"/>
  <c r="BP53" i="29"/>
  <c r="AU53" i="29"/>
  <c r="Z53" i="29"/>
  <c r="L53" i="29"/>
  <c r="D53" i="29"/>
  <c r="FM52" i="29"/>
  <c r="FL52" i="29"/>
  <c r="FK52" i="29"/>
  <c r="N52" i="29"/>
  <c r="FH52" i="29"/>
  <c r="FG52" i="29"/>
  <c r="FF52" i="29"/>
  <c r="ET52" i="29"/>
  <c r="EA52" i="29"/>
  <c r="DF52" i="29"/>
  <c r="CK52" i="29"/>
  <c r="BP52" i="29"/>
  <c r="AU52" i="29"/>
  <c r="Z52" i="29"/>
  <c r="L52" i="29"/>
  <c r="D52" i="29"/>
  <c r="FM51" i="29"/>
  <c r="FL51" i="29"/>
  <c r="FK51" i="29"/>
  <c r="N51" i="29"/>
  <c r="FH51" i="29"/>
  <c r="FG51" i="29"/>
  <c r="FF51" i="29"/>
  <c r="ET51" i="29"/>
  <c r="EA51" i="29"/>
  <c r="DF51" i="29"/>
  <c r="CK51" i="29"/>
  <c r="BP51" i="29"/>
  <c r="AU51" i="29"/>
  <c r="Z51" i="29"/>
  <c r="L51" i="29"/>
  <c r="D51" i="29"/>
  <c r="FM50" i="29"/>
  <c r="FL50" i="29"/>
  <c r="FK50" i="29"/>
  <c r="N50" i="29"/>
  <c r="FH50" i="29"/>
  <c r="FG50" i="29"/>
  <c r="FF50" i="29"/>
  <c r="ET50" i="29"/>
  <c r="EA50" i="29"/>
  <c r="DF50" i="29"/>
  <c r="CK50" i="29"/>
  <c r="BP50" i="29"/>
  <c r="AU50" i="29"/>
  <c r="Z50" i="29"/>
  <c r="L50" i="29"/>
  <c r="D50" i="29"/>
  <c r="FM49" i="29"/>
  <c r="FL49" i="29"/>
  <c r="FK49" i="29"/>
  <c r="N49" i="29"/>
  <c r="FH49" i="29"/>
  <c r="FG49" i="29"/>
  <c r="FF49" i="29"/>
  <c r="Z49" i="29"/>
  <c r="L49" i="29"/>
  <c r="D49" i="29"/>
  <c r="FM48" i="29"/>
  <c r="FL48" i="29"/>
  <c r="FK48" i="29"/>
  <c r="N48" i="29"/>
  <c r="FH48" i="29"/>
  <c r="FG48" i="29"/>
  <c r="FF48" i="29"/>
  <c r="Z48" i="29"/>
  <c r="L48" i="29"/>
  <c r="D48" i="29"/>
  <c r="FM47" i="29"/>
  <c r="FL47" i="29"/>
  <c r="FK47" i="29"/>
  <c r="N47" i="29"/>
  <c r="FH47" i="29"/>
  <c r="FG47" i="29"/>
  <c r="FF47" i="29"/>
  <c r="Z47" i="29"/>
  <c r="L47" i="29"/>
  <c r="D47" i="29"/>
  <c r="CX44" i="29"/>
  <c r="CS44" i="29"/>
  <c r="CR44" i="29"/>
  <c r="CP44" i="29"/>
  <c r="CO44" i="29"/>
  <c r="CM44" i="29"/>
  <c r="CL44" i="29"/>
  <c r="CJ44" i="29"/>
  <c r="CI44" i="29"/>
  <c r="CH44" i="29"/>
  <c r="CD44" i="29"/>
  <c r="CC44" i="29"/>
  <c r="BX44" i="29"/>
  <c r="BW44" i="29"/>
  <c r="BU44" i="29"/>
  <c r="BT44" i="29"/>
  <c r="BS44" i="29"/>
  <c r="BR44" i="29"/>
  <c r="BQ44" i="29"/>
  <c r="BO44" i="29"/>
  <c r="BN44" i="29"/>
  <c r="BM44" i="29"/>
  <c r="BI44" i="29"/>
  <c r="BH44" i="29"/>
  <c r="BC44" i="29"/>
  <c r="BB44" i="29"/>
  <c r="AZ44" i="29"/>
  <c r="AY44" i="29"/>
  <c r="AX44" i="29"/>
  <c r="AW44" i="29"/>
  <c r="AV44" i="29"/>
  <c r="AU44" i="29"/>
  <c r="AT44" i="29"/>
  <c r="AS44" i="29"/>
  <c r="AR44" i="29"/>
  <c r="AN44" i="29"/>
  <c r="AM44" i="29"/>
  <c r="AH40" i="29"/>
  <c r="AH41" i="29"/>
  <c r="AH42" i="29"/>
  <c r="AH43" i="29"/>
  <c r="AG40" i="29"/>
  <c r="AG41" i="29"/>
  <c r="AG42" i="29"/>
  <c r="AG43" i="29"/>
  <c r="AE40" i="29"/>
  <c r="AE41" i="29"/>
  <c r="AE42" i="29"/>
  <c r="AE43" i="29"/>
  <c r="AD40" i="29"/>
  <c r="AD41" i="29"/>
  <c r="AD42" i="29"/>
  <c r="AD43" i="29"/>
  <c r="AC39" i="29"/>
  <c r="AC40" i="29"/>
  <c r="AC41" i="29"/>
  <c r="AC42" i="29"/>
  <c r="AC43" i="29"/>
  <c r="AC44" i="29"/>
  <c r="AB40" i="29"/>
  <c r="AB41" i="29"/>
  <c r="AB42" i="29"/>
  <c r="AB43" i="29"/>
  <c r="AA39" i="29"/>
  <c r="AA40" i="29"/>
  <c r="AA41" i="29"/>
  <c r="AA42" i="29"/>
  <c r="AA43" i="29"/>
  <c r="AA44" i="29"/>
  <c r="Y39" i="29"/>
  <c r="Y40" i="29"/>
  <c r="Y41" i="29"/>
  <c r="Y42" i="29"/>
  <c r="Y43" i="29"/>
  <c r="Y44" i="29"/>
  <c r="X39" i="29"/>
  <c r="X40" i="29"/>
  <c r="X41" i="29"/>
  <c r="X42" i="29"/>
  <c r="X43" i="29"/>
  <c r="X44" i="29"/>
  <c r="W39" i="29"/>
  <c r="W40" i="29"/>
  <c r="W41" i="29"/>
  <c r="W42" i="29"/>
  <c r="W43" i="29"/>
  <c r="W44" i="29"/>
  <c r="S39" i="29"/>
  <c r="S40" i="29"/>
  <c r="S41" i="29"/>
  <c r="S42" i="29"/>
  <c r="S43" i="29"/>
  <c r="S44" i="29"/>
  <c r="R39" i="29"/>
  <c r="R40" i="29"/>
  <c r="R41" i="29"/>
  <c r="R42" i="29"/>
  <c r="R43" i="29"/>
  <c r="R44" i="29"/>
  <c r="M39" i="29"/>
  <c r="M40" i="29"/>
  <c r="M41" i="29"/>
  <c r="M42" i="29"/>
  <c r="M43" i="29"/>
  <c r="M44" i="29"/>
  <c r="N44" i="29"/>
  <c r="K39" i="29"/>
  <c r="K40" i="29"/>
  <c r="K41" i="29"/>
  <c r="K42" i="29"/>
  <c r="K43" i="29"/>
  <c r="K44" i="29"/>
  <c r="L44" i="29"/>
  <c r="J39" i="29"/>
  <c r="J40" i="29"/>
  <c r="J41" i="29"/>
  <c r="J42" i="29"/>
  <c r="J43" i="29"/>
  <c r="J44" i="29"/>
  <c r="I39" i="29"/>
  <c r="I40" i="29"/>
  <c r="I41" i="29"/>
  <c r="I42" i="29"/>
  <c r="I43" i="29"/>
  <c r="I44" i="29"/>
  <c r="FM43" i="29"/>
  <c r="FL43" i="29"/>
  <c r="FK43" i="29"/>
  <c r="N43" i="29"/>
  <c r="FH43" i="29"/>
  <c r="FG43" i="29"/>
  <c r="FF43" i="29"/>
  <c r="EI43" i="29"/>
  <c r="EH43" i="29"/>
  <c r="EF43" i="29"/>
  <c r="EE43" i="29"/>
  <c r="ED43" i="29"/>
  <c r="EC43" i="29"/>
  <c r="EB43" i="29"/>
  <c r="DZ43" i="29"/>
  <c r="EA43" i="29"/>
  <c r="DY43" i="29"/>
  <c r="DX43" i="29"/>
  <c r="DT43" i="29"/>
  <c r="DS43" i="29"/>
  <c r="DN43" i="29"/>
  <c r="DM43" i="29"/>
  <c r="DK43" i="29"/>
  <c r="DJ43" i="29"/>
  <c r="DI43" i="29"/>
  <c r="DH43" i="29"/>
  <c r="DG43" i="29"/>
  <c r="DE43" i="29"/>
  <c r="DF43" i="29"/>
  <c r="DD43" i="29"/>
  <c r="DC43" i="29"/>
  <c r="CY43" i="29"/>
  <c r="CX43" i="29"/>
  <c r="CS43" i="29"/>
  <c r="CR43" i="29"/>
  <c r="CP43" i="29"/>
  <c r="CO43" i="29"/>
  <c r="CM43" i="29"/>
  <c r="CL43" i="29"/>
  <c r="CJ43" i="29"/>
  <c r="CK43" i="29"/>
  <c r="CI43" i="29"/>
  <c r="CH43" i="29"/>
  <c r="CD43" i="29"/>
  <c r="CC43" i="29"/>
  <c r="BX43" i="29"/>
  <c r="BW43" i="29"/>
  <c r="BU43" i="29"/>
  <c r="BT43" i="29"/>
  <c r="BS43" i="29"/>
  <c r="BR43" i="29"/>
  <c r="BQ43" i="29"/>
  <c r="BO43" i="29"/>
  <c r="BP43" i="29"/>
  <c r="BN43" i="29"/>
  <c r="BM43" i="29"/>
  <c r="BI43" i="29"/>
  <c r="BH43" i="29"/>
  <c r="BC43" i="29"/>
  <c r="BB43" i="29"/>
  <c r="AZ43" i="29"/>
  <c r="AY43" i="29"/>
  <c r="AX43" i="29"/>
  <c r="AW43" i="29"/>
  <c r="AV43" i="29"/>
  <c r="AT43" i="29"/>
  <c r="AU43" i="29"/>
  <c r="AS43" i="29"/>
  <c r="AR43" i="29"/>
  <c r="AN43" i="29"/>
  <c r="AM43" i="29"/>
  <c r="Z43" i="29"/>
  <c r="L43" i="29"/>
  <c r="FM42" i="29"/>
  <c r="FL42" i="29"/>
  <c r="FK42" i="29"/>
  <c r="N42" i="29"/>
  <c r="FH42" i="29"/>
  <c r="FG42" i="29"/>
  <c r="FF42" i="29"/>
  <c r="EI42" i="29"/>
  <c r="EH42" i="29"/>
  <c r="EF42" i="29"/>
  <c r="EE42" i="29"/>
  <c r="ED42" i="29"/>
  <c r="EC42" i="29"/>
  <c r="EB42" i="29"/>
  <c r="DZ42" i="29"/>
  <c r="EA42" i="29"/>
  <c r="DY42" i="29"/>
  <c r="DX42" i="29"/>
  <c r="DT42" i="29"/>
  <c r="DS42" i="29"/>
  <c r="DN42" i="29"/>
  <c r="DM42" i="29"/>
  <c r="DK42" i="29"/>
  <c r="DJ42" i="29"/>
  <c r="DI42" i="29"/>
  <c r="DH42" i="29"/>
  <c r="DG42" i="29"/>
  <c r="DE42" i="29"/>
  <c r="DF42" i="29"/>
  <c r="DD42" i="29"/>
  <c r="DC42" i="29"/>
  <c r="CY42" i="29"/>
  <c r="CX42" i="29"/>
  <c r="CS42" i="29"/>
  <c r="CR42" i="29"/>
  <c r="CP42" i="29"/>
  <c r="CO42" i="29"/>
  <c r="CM42" i="29"/>
  <c r="CL42" i="29"/>
  <c r="CJ42" i="29"/>
  <c r="CK42" i="29"/>
  <c r="CI42" i="29"/>
  <c r="CH42" i="29"/>
  <c r="CD42" i="29"/>
  <c r="CC42" i="29"/>
  <c r="BX42" i="29"/>
  <c r="BW42" i="29"/>
  <c r="BU42" i="29"/>
  <c r="BT42" i="29"/>
  <c r="BS42" i="29"/>
  <c r="BR42" i="29"/>
  <c r="BQ42" i="29"/>
  <c r="BO42" i="29"/>
  <c r="BP42" i="29"/>
  <c r="BN42" i="29"/>
  <c r="BM42" i="29"/>
  <c r="BI42" i="29"/>
  <c r="BH42" i="29"/>
  <c r="BC42" i="29"/>
  <c r="BB42" i="29"/>
  <c r="AZ42" i="29"/>
  <c r="AY42" i="29"/>
  <c r="AX42" i="29"/>
  <c r="AW42" i="29"/>
  <c r="AV42" i="29"/>
  <c r="AT42" i="29"/>
  <c r="AU42" i="29"/>
  <c r="AS42" i="29"/>
  <c r="AR42" i="29"/>
  <c r="AN42" i="29"/>
  <c r="AM42" i="29"/>
  <c r="Z42" i="29"/>
  <c r="L42" i="29"/>
  <c r="FM41" i="29"/>
  <c r="FL41" i="29"/>
  <c r="FK41" i="29"/>
  <c r="N41" i="29"/>
  <c r="FH41" i="29"/>
  <c r="FG41" i="29"/>
  <c r="FF41" i="29"/>
  <c r="EI41" i="29"/>
  <c r="EH41" i="29"/>
  <c r="EF41" i="29"/>
  <c r="EE41" i="29"/>
  <c r="ED41" i="29"/>
  <c r="EC41" i="29"/>
  <c r="EB41" i="29"/>
  <c r="DZ41" i="29"/>
  <c r="EA41" i="29"/>
  <c r="DY41" i="29"/>
  <c r="DX41" i="29"/>
  <c r="DT41" i="29"/>
  <c r="DS41" i="29"/>
  <c r="DN41" i="29"/>
  <c r="DM41" i="29"/>
  <c r="DK41" i="29"/>
  <c r="DJ41" i="29"/>
  <c r="DI41" i="29"/>
  <c r="DH41" i="29"/>
  <c r="DG41" i="29"/>
  <c r="DE41" i="29"/>
  <c r="DF41" i="29"/>
  <c r="DD41" i="29"/>
  <c r="DC41" i="29"/>
  <c r="CY41" i="29"/>
  <c r="CX41" i="29"/>
  <c r="CS41" i="29"/>
  <c r="CR41" i="29"/>
  <c r="CP41" i="29"/>
  <c r="CO41" i="29"/>
  <c r="CM41" i="29"/>
  <c r="CL41" i="29"/>
  <c r="CJ41" i="29"/>
  <c r="CK41" i="29"/>
  <c r="CI41" i="29"/>
  <c r="CH41" i="29"/>
  <c r="CD41" i="29"/>
  <c r="CC41" i="29"/>
  <c r="BX41" i="29"/>
  <c r="BW41" i="29"/>
  <c r="BU41" i="29"/>
  <c r="BT41" i="29"/>
  <c r="BS41" i="29"/>
  <c r="BR41" i="29"/>
  <c r="BQ41" i="29"/>
  <c r="BO41" i="29"/>
  <c r="BP41" i="29"/>
  <c r="BN41" i="29"/>
  <c r="BM41" i="29"/>
  <c r="BI41" i="29"/>
  <c r="BH41" i="29"/>
  <c r="BC41" i="29"/>
  <c r="BB41" i="29"/>
  <c r="AZ41" i="29"/>
  <c r="AY41" i="29"/>
  <c r="AX41" i="29"/>
  <c r="AW41" i="29"/>
  <c r="AV41" i="29"/>
  <c r="AT41" i="29"/>
  <c r="AU41" i="29"/>
  <c r="AS41" i="29"/>
  <c r="AR41" i="29"/>
  <c r="AN41" i="29"/>
  <c r="AM41" i="29"/>
  <c r="Z41" i="29"/>
  <c r="L41" i="29"/>
  <c r="FM40" i="29"/>
  <c r="FL40" i="29"/>
  <c r="FK40" i="29"/>
  <c r="N40" i="29"/>
  <c r="FH40" i="29"/>
  <c r="FG40" i="29"/>
  <c r="FF40" i="29"/>
  <c r="EE40" i="29"/>
  <c r="EC40" i="29"/>
  <c r="DZ40" i="29"/>
  <c r="DY40" i="29"/>
  <c r="DX40" i="29"/>
  <c r="DT40" i="29"/>
  <c r="DS40" i="29"/>
  <c r="DJ40" i="29"/>
  <c r="DH40" i="29"/>
  <c r="DE40" i="29"/>
  <c r="DD40" i="29"/>
  <c r="DC40" i="29"/>
  <c r="CY40" i="29"/>
  <c r="CX40" i="29"/>
  <c r="CO40" i="29"/>
  <c r="CM40" i="29"/>
  <c r="CJ40" i="29"/>
  <c r="CI40" i="29"/>
  <c r="CH40" i="29"/>
  <c r="CD40" i="29"/>
  <c r="CC40" i="29"/>
  <c r="BT40" i="29"/>
  <c r="BR40" i="29"/>
  <c r="BO40" i="29"/>
  <c r="BN40" i="29"/>
  <c r="BM40" i="29"/>
  <c r="BI40" i="29"/>
  <c r="BH40" i="29"/>
  <c r="AY40" i="29"/>
  <c r="AW40" i="29"/>
  <c r="AT40" i="29"/>
  <c r="AS40" i="29"/>
  <c r="AR40" i="29"/>
  <c r="AN40" i="29"/>
  <c r="AM40" i="29"/>
  <c r="Z40" i="29"/>
  <c r="L40" i="29"/>
  <c r="FM39" i="29"/>
  <c r="FL39" i="29"/>
  <c r="FK39" i="29"/>
  <c r="N39" i="29"/>
  <c r="FH39" i="29"/>
  <c r="FG39" i="29"/>
  <c r="FF39" i="29"/>
  <c r="DZ39" i="29"/>
  <c r="DY39" i="29"/>
  <c r="DX39" i="29"/>
  <c r="DT39" i="29"/>
  <c r="DS39" i="29"/>
  <c r="DE39" i="29"/>
  <c r="DD39" i="29"/>
  <c r="DC39" i="29"/>
  <c r="CY39" i="29"/>
  <c r="CX39" i="29"/>
  <c r="CJ39" i="29"/>
  <c r="CI39" i="29"/>
  <c r="CH39" i="29"/>
  <c r="CD39" i="29"/>
  <c r="CC39" i="29"/>
  <c r="BO39" i="29"/>
  <c r="BN39" i="29"/>
  <c r="BM39" i="29"/>
  <c r="BI39" i="29"/>
  <c r="BH39" i="29"/>
  <c r="AN39" i="29"/>
  <c r="AM39" i="29"/>
  <c r="Z39" i="29"/>
  <c r="L39" i="29"/>
  <c r="FM32" i="29"/>
  <c r="FM33" i="29"/>
  <c r="FM34" i="29"/>
  <c r="FM35" i="29"/>
  <c r="FM36" i="29"/>
  <c r="FL32" i="29"/>
  <c r="FL33" i="29"/>
  <c r="FL34" i="29"/>
  <c r="FL35" i="29"/>
  <c r="FL36" i="29"/>
  <c r="FK32" i="29"/>
  <c r="FK33" i="29"/>
  <c r="FK34" i="29"/>
  <c r="FK35" i="29"/>
  <c r="FK36" i="29"/>
  <c r="M32" i="29"/>
  <c r="N32" i="29"/>
  <c r="M33" i="29"/>
  <c r="N33" i="29"/>
  <c r="M34" i="29"/>
  <c r="N34" i="29"/>
  <c r="FH34" i="29"/>
  <c r="M35" i="29"/>
  <c r="N35" i="29"/>
  <c r="FH35" i="29"/>
  <c r="FH36" i="29"/>
  <c r="J32" i="29"/>
  <c r="K32" i="29"/>
  <c r="FG32" i="29"/>
  <c r="J33" i="29"/>
  <c r="K33" i="29"/>
  <c r="FG33" i="29"/>
  <c r="J34" i="29"/>
  <c r="K34" i="29"/>
  <c r="FG34" i="29"/>
  <c r="J35" i="29"/>
  <c r="K35" i="29"/>
  <c r="FG35" i="29"/>
  <c r="FG36" i="29"/>
  <c r="I32" i="29"/>
  <c r="FF32" i="29"/>
  <c r="I33" i="29"/>
  <c r="FF33" i="29"/>
  <c r="I34" i="29"/>
  <c r="FF34" i="29"/>
  <c r="I35" i="29"/>
  <c r="FF35" i="29"/>
  <c r="FF36" i="29"/>
  <c r="FB33" i="29"/>
  <c r="FB35" i="29"/>
  <c r="FA33" i="29"/>
  <c r="FA35" i="29"/>
  <c r="EY33" i="29"/>
  <c r="EY35" i="29"/>
  <c r="EX32" i="29"/>
  <c r="EX33" i="29"/>
  <c r="EX35" i="29"/>
  <c r="EW33" i="29"/>
  <c r="EW35" i="29"/>
  <c r="EV32" i="29"/>
  <c r="EV33" i="29"/>
  <c r="EV35" i="29"/>
  <c r="EU33" i="29"/>
  <c r="EU35" i="29"/>
  <c r="ES32" i="29"/>
  <c r="ES33" i="29"/>
  <c r="ES35" i="29"/>
  <c r="ER32" i="29"/>
  <c r="ER33" i="29"/>
  <c r="ER35" i="29"/>
  <c r="EQ32" i="29"/>
  <c r="EQ33" i="29"/>
  <c r="EQ35" i="29"/>
  <c r="EM32" i="29"/>
  <c r="EM33" i="29"/>
  <c r="EM34" i="29"/>
  <c r="EM35" i="29"/>
  <c r="EM36" i="29"/>
  <c r="EL32" i="29"/>
  <c r="EL33" i="29"/>
  <c r="EL34" i="29"/>
  <c r="EL35" i="29"/>
  <c r="EL36" i="29"/>
  <c r="EI33" i="29"/>
  <c r="EI35" i="29"/>
  <c r="EH33" i="29"/>
  <c r="EH35" i="29"/>
  <c r="EF33" i="29"/>
  <c r="EF35" i="29"/>
  <c r="EE32" i="29"/>
  <c r="EE33" i="29"/>
  <c r="EE35" i="29"/>
  <c r="ED33" i="29"/>
  <c r="ED35" i="29"/>
  <c r="EC32" i="29"/>
  <c r="EC33" i="29"/>
  <c r="EC35" i="29"/>
  <c r="EB33" i="29"/>
  <c r="EB35" i="29"/>
  <c r="DZ32" i="29"/>
  <c r="DZ33" i="29"/>
  <c r="DZ34" i="29"/>
  <c r="DZ35" i="29"/>
  <c r="DZ36" i="29"/>
  <c r="DY32" i="29"/>
  <c r="DY33" i="29"/>
  <c r="DY34" i="29"/>
  <c r="DY35" i="29"/>
  <c r="DY36" i="29"/>
  <c r="DX32" i="29"/>
  <c r="DX33" i="29"/>
  <c r="DX34" i="29"/>
  <c r="DX35" i="29"/>
  <c r="DX36" i="29"/>
  <c r="DT32" i="29"/>
  <c r="DT33" i="29"/>
  <c r="DT34" i="29"/>
  <c r="DT35" i="29"/>
  <c r="DT36" i="29"/>
  <c r="DS32" i="29"/>
  <c r="DS33" i="29"/>
  <c r="DS34" i="29"/>
  <c r="DS35" i="29"/>
  <c r="DS36" i="29"/>
  <c r="DN33" i="29"/>
  <c r="DN35" i="29"/>
  <c r="DM33" i="29"/>
  <c r="DM35" i="29"/>
  <c r="DK33" i="29"/>
  <c r="DK35" i="29"/>
  <c r="DJ32" i="29"/>
  <c r="DJ33" i="29"/>
  <c r="DJ35" i="29"/>
  <c r="DI33" i="29"/>
  <c r="DI35" i="29"/>
  <c r="DH32" i="29"/>
  <c r="DH33" i="29"/>
  <c r="DH35" i="29"/>
  <c r="DG33" i="29"/>
  <c r="DG35" i="29"/>
  <c r="DE32" i="29"/>
  <c r="DE33" i="29"/>
  <c r="DE34" i="29"/>
  <c r="DE35" i="29"/>
  <c r="DE36" i="29"/>
  <c r="DD32" i="29"/>
  <c r="DD33" i="29"/>
  <c r="DD34" i="29"/>
  <c r="DD35" i="29"/>
  <c r="DD36" i="29"/>
  <c r="DC32" i="29"/>
  <c r="DC33" i="29"/>
  <c r="DC34" i="29"/>
  <c r="DC35" i="29"/>
  <c r="DC36" i="29"/>
  <c r="CY32" i="29"/>
  <c r="CY33" i="29"/>
  <c r="CY34" i="29"/>
  <c r="CY35" i="29"/>
  <c r="CY36" i="29"/>
  <c r="CX32" i="29"/>
  <c r="CX33" i="29"/>
  <c r="CX34" i="29"/>
  <c r="CX35" i="29"/>
  <c r="CX36" i="29"/>
  <c r="CS33" i="29"/>
  <c r="CS35" i="29"/>
  <c r="CR33" i="29"/>
  <c r="CR35" i="29"/>
  <c r="CP33" i="29"/>
  <c r="CP35" i="29"/>
  <c r="CO32" i="29"/>
  <c r="CO33" i="29"/>
  <c r="CO35" i="29"/>
  <c r="CN33" i="29"/>
  <c r="CN35" i="29"/>
  <c r="CM32" i="29"/>
  <c r="CM33" i="29"/>
  <c r="CM35" i="29"/>
  <c r="CL33" i="29"/>
  <c r="CL35" i="29"/>
  <c r="CJ32" i="29"/>
  <c r="CJ33" i="29"/>
  <c r="CJ34" i="29"/>
  <c r="CJ35" i="29"/>
  <c r="CJ36" i="29"/>
  <c r="CI32" i="29"/>
  <c r="CI33" i="29"/>
  <c r="CI34" i="29"/>
  <c r="CI35" i="29"/>
  <c r="CI36" i="29"/>
  <c r="CH32" i="29"/>
  <c r="CH33" i="29"/>
  <c r="CH34" i="29"/>
  <c r="CH35" i="29"/>
  <c r="CH36" i="29"/>
  <c r="CD32" i="29"/>
  <c r="CD33" i="29"/>
  <c r="CD34" i="29"/>
  <c r="CD35" i="29"/>
  <c r="CD36" i="29"/>
  <c r="CC32" i="29"/>
  <c r="CC33" i="29"/>
  <c r="CC34" i="29"/>
  <c r="CC35" i="29"/>
  <c r="CC36" i="29"/>
  <c r="BX33" i="29"/>
  <c r="BX35" i="29"/>
  <c r="BW33" i="29"/>
  <c r="BW35" i="29"/>
  <c r="BU33" i="29"/>
  <c r="BU35" i="29"/>
  <c r="BT32" i="29"/>
  <c r="BT33" i="29"/>
  <c r="BT35" i="29"/>
  <c r="BS33" i="29"/>
  <c r="BS35" i="29"/>
  <c r="BR32" i="29"/>
  <c r="BR33" i="29"/>
  <c r="BR35" i="29"/>
  <c r="BQ33" i="29"/>
  <c r="BQ35" i="29"/>
  <c r="BO32" i="29"/>
  <c r="BO33" i="29"/>
  <c r="BO34" i="29"/>
  <c r="BO35" i="29"/>
  <c r="BO36" i="29"/>
  <c r="BN32" i="29"/>
  <c r="BN33" i="29"/>
  <c r="BN34" i="29"/>
  <c r="BN35" i="29"/>
  <c r="BN36" i="29"/>
  <c r="BM32" i="29"/>
  <c r="BM33" i="29"/>
  <c r="BM34" i="29"/>
  <c r="BM35" i="29"/>
  <c r="BM36" i="29"/>
  <c r="BI32" i="29"/>
  <c r="BI33" i="29"/>
  <c r="BI34" i="29"/>
  <c r="BI35" i="29"/>
  <c r="BI36" i="29"/>
  <c r="BH32" i="29"/>
  <c r="BH33" i="29"/>
  <c r="BH34" i="29"/>
  <c r="BH35" i="29"/>
  <c r="BH36" i="29"/>
  <c r="BC33" i="29"/>
  <c r="BC35" i="29"/>
  <c r="BB33" i="29"/>
  <c r="BB35" i="29"/>
  <c r="AZ33" i="29"/>
  <c r="AZ35" i="29"/>
  <c r="AY32" i="29"/>
  <c r="AY33" i="29"/>
  <c r="AY35" i="29"/>
  <c r="AX33" i="29"/>
  <c r="AX35" i="29"/>
  <c r="AW32" i="29"/>
  <c r="AW33" i="29"/>
  <c r="AW35" i="29"/>
  <c r="AV33" i="29"/>
  <c r="AV35" i="29"/>
  <c r="AT32" i="29"/>
  <c r="AT33" i="29"/>
  <c r="AT35" i="29"/>
  <c r="AS32" i="29"/>
  <c r="AS33" i="29"/>
  <c r="AS35" i="29"/>
  <c r="AR32" i="29"/>
  <c r="AR33" i="29"/>
  <c r="AR35" i="29"/>
  <c r="AN32" i="29"/>
  <c r="AN33" i="29"/>
  <c r="AN34" i="29"/>
  <c r="AN35" i="29"/>
  <c r="AN36" i="29"/>
  <c r="AM32" i="29"/>
  <c r="AM33" i="29"/>
  <c r="AM34" i="29"/>
  <c r="AM35" i="29"/>
  <c r="AM36" i="29"/>
  <c r="AH32" i="29"/>
  <c r="AH33" i="29"/>
  <c r="AH35" i="29"/>
  <c r="AG32" i="29"/>
  <c r="AG33" i="29"/>
  <c r="AG35" i="29"/>
  <c r="AE32" i="29"/>
  <c r="AE33" i="29"/>
  <c r="AE35" i="29"/>
  <c r="AD32" i="29"/>
  <c r="AD33" i="29"/>
  <c r="AD35" i="29"/>
  <c r="AC32" i="29"/>
  <c r="AC33" i="29"/>
  <c r="AC34" i="29"/>
  <c r="AC35" i="29"/>
  <c r="AC36" i="29"/>
  <c r="AB32" i="29"/>
  <c r="AB33" i="29"/>
  <c r="AB35" i="29"/>
  <c r="AA32" i="29"/>
  <c r="AA33" i="29"/>
  <c r="AA34" i="29"/>
  <c r="AA35" i="29"/>
  <c r="AA36" i="29"/>
  <c r="Y32" i="29"/>
  <c r="Y33" i="29"/>
  <c r="Y34" i="29"/>
  <c r="Y35" i="29"/>
  <c r="Y36" i="29"/>
  <c r="Z36" i="29"/>
  <c r="X32" i="29"/>
  <c r="X33" i="29"/>
  <c r="X34" i="29"/>
  <c r="X35" i="29"/>
  <c r="X36" i="29"/>
  <c r="W32" i="29"/>
  <c r="W33" i="29"/>
  <c r="W34" i="29"/>
  <c r="W35" i="29"/>
  <c r="W36" i="29"/>
  <c r="S32" i="29"/>
  <c r="S33" i="29"/>
  <c r="S34" i="29"/>
  <c r="S35" i="29"/>
  <c r="S36" i="29"/>
  <c r="R32" i="29"/>
  <c r="R33" i="29"/>
  <c r="R34" i="29"/>
  <c r="R35" i="29"/>
  <c r="R36" i="29"/>
  <c r="M36" i="29"/>
  <c r="N36" i="29"/>
  <c r="K36" i="29"/>
  <c r="L36" i="29"/>
  <c r="J36" i="29"/>
  <c r="I36" i="29"/>
  <c r="ET35" i="29"/>
  <c r="EA35" i="29"/>
  <c r="DF35" i="29"/>
  <c r="CK35" i="29"/>
  <c r="BP35" i="29"/>
  <c r="AU35" i="29"/>
  <c r="Z35" i="29"/>
  <c r="L35" i="29"/>
  <c r="E35" i="29"/>
  <c r="Z34" i="29"/>
  <c r="L34" i="29"/>
  <c r="E34" i="29"/>
  <c r="ET33" i="29"/>
  <c r="EA33" i="29"/>
  <c r="DF33" i="29"/>
  <c r="CK33" i="29"/>
  <c r="BP33" i="29"/>
  <c r="AU33" i="29"/>
  <c r="Z33" i="29"/>
  <c r="L33" i="29"/>
  <c r="E33" i="29"/>
  <c r="Z32" i="29"/>
  <c r="L32" i="29"/>
  <c r="E32" i="29"/>
  <c r="FM6" i="29"/>
  <c r="FM7" i="29"/>
  <c r="FM8" i="29"/>
  <c r="FM9" i="29"/>
  <c r="FM10" i="29"/>
  <c r="FM11" i="29"/>
  <c r="FM12" i="29"/>
  <c r="FM13" i="29"/>
  <c r="FM14" i="29"/>
  <c r="FM15" i="29"/>
  <c r="FM16" i="29"/>
  <c r="FM17" i="29"/>
  <c r="FM18" i="29"/>
  <c r="FM19" i="29"/>
  <c r="FM20" i="29"/>
  <c r="FM21" i="29"/>
  <c r="FM22" i="29"/>
  <c r="FM23" i="29"/>
  <c r="FM24" i="29"/>
  <c r="FM25" i="29"/>
  <c r="FM26" i="29"/>
  <c r="FM27" i="29"/>
  <c r="FM28" i="29"/>
  <c r="FM29" i="29"/>
  <c r="FL6" i="29"/>
  <c r="FL7" i="29"/>
  <c r="FL8" i="29"/>
  <c r="FL9" i="29"/>
  <c r="FL10" i="29"/>
  <c r="FL11" i="29"/>
  <c r="FL12" i="29"/>
  <c r="FL13" i="29"/>
  <c r="FL14" i="29"/>
  <c r="FL15" i="29"/>
  <c r="FL16" i="29"/>
  <c r="FL17" i="29"/>
  <c r="FL18" i="29"/>
  <c r="FL19" i="29"/>
  <c r="FL20" i="29"/>
  <c r="FL21" i="29"/>
  <c r="FL22" i="29"/>
  <c r="FL23" i="29"/>
  <c r="FL24" i="29"/>
  <c r="FL25" i="29"/>
  <c r="FL26" i="29"/>
  <c r="FL27" i="29"/>
  <c r="FL28" i="29"/>
  <c r="FL29" i="29"/>
  <c r="FK6" i="29"/>
  <c r="FK7" i="29"/>
  <c r="FK8" i="29"/>
  <c r="FK9" i="29"/>
  <c r="FK10" i="29"/>
  <c r="FK11" i="29"/>
  <c r="FK12" i="29"/>
  <c r="FK13" i="29"/>
  <c r="FK14" i="29"/>
  <c r="FK15" i="29"/>
  <c r="FK16" i="29"/>
  <c r="FK17" i="29"/>
  <c r="FK18" i="29"/>
  <c r="FK19" i="29"/>
  <c r="FK20" i="29"/>
  <c r="FK21" i="29"/>
  <c r="FK22" i="29"/>
  <c r="FK23" i="29"/>
  <c r="FK24" i="29"/>
  <c r="FK25" i="29"/>
  <c r="FK26" i="29"/>
  <c r="FK27" i="29"/>
  <c r="FK28" i="29"/>
  <c r="FK29" i="29"/>
  <c r="N6" i="29"/>
  <c r="N7" i="29"/>
  <c r="N8" i="29"/>
  <c r="N9" i="29"/>
  <c r="N10" i="29"/>
  <c r="FH10" i="29"/>
  <c r="N11" i="29"/>
  <c r="FH11" i="29"/>
  <c r="N12" i="29"/>
  <c r="FH12" i="29"/>
  <c r="N13" i="29"/>
  <c r="FH13" i="29"/>
  <c r="N14" i="29"/>
  <c r="FH14" i="29"/>
  <c r="N15" i="29"/>
  <c r="FH15" i="29"/>
  <c r="N16" i="29"/>
  <c r="FH16" i="29"/>
  <c r="N17" i="29"/>
  <c r="FH17" i="29"/>
  <c r="N18" i="29"/>
  <c r="FH18" i="29"/>
  <c r="N19" i="29"/>
  <c r="FH19" i="29"/>
  <c r="N20" i="29"/>
  <c r="FH20" i="29"/>
  <c r="N21" i="29"/>
  <c r="FH21" i="29"/>
  <c r="N22" i="29"/>
  <c r="FH22" i="29"/>
  <c r="N23" i="29"/>
  <c r="FH23" i="29"/>
  <c r="N24" i="29"/>
  <c r="FH24" i="29"/>
  <c r="N25" i="29"/>
  <c r="FH25" i="29"/>
  <c r="N26" i="29"/>
  <c r="FH26" i="29"/>
  <c r="N27" i="29"/>
  <c r="N28" i="29"/>
  <c r="FH29" i="29"/>
  <c r="FG6" i="29"/>
  <c r="FG7" i="29"/>
  <c r="FG8" i="29"/>
  <c r="FG9" i="29"/>
  <c r="FG10" i="29"/>
  <c r="FG11" i="29"/>
  <c r="FG12" i="29"/>
  <c r="FG13" i="29"/>
  <c r="FG14" i="29"/>
  <c r="FG15" i="29"/>
  <c r="FG16" i="29"/>
  <c r="FG17" i="29"/>
  <c r="FG18" i="29"/>
  <c r="FG19" i="29"/>
  <c r="FG20" i="29"/>
  <c r="FG21" i="29"/>
  <c r="FG22" i="29"/>
  <c r="FG23" i="29"/>
  <c r="FG24" i="29"/>
  <c r="FG25" i="29"/>
  <c r="FG26" i="29"/>
  <c r="FG27" i="29"/>
  <c r="FG28" i="29"/>
  <c r="FG29" i="29"/>
  <c r="FF6" i="29"/>
  <c r="FF7" i="29"/>
  <c r="FF8" i="29"/>
  <c r="FF9" i="29"/>
  <c r="FF10" i="29"/>
  <c r="FF11" i="29"/>
  <c r="FF12" i="29"/>
  <c r="FF13" i="29"/>
  <c r="FF14" i="29"/>
  <c r="FF15" i="29"/>
  <c r="FF16" i="29"/>
  <c r="FF17" i="29"/>
  <c r="FF18" i="29"/>
  <c r="FF19" i="29"/>
  <c r="FF20" i="29"/>
  <c r="FF21" i="29"/>
  <c r="FF22" i="29"/>
  <c r="FF23" i="29"/>
  <c r="FF24" i="29"/>
  <c r="FF25" i="29"/>
  <c r="FF26" i="29"/>
  <c r="FF27" i="29"/>
  <c r="FF28" i="29"/>
  <c r="FF29" i="29"/>
  <c r="EM29" i="29"/>
  <c r="EL29" i="29"/>
  <c r="BI29" i="29"/>
  <c r="AC29" i="29"/>
  <c r="N29" i="29"/>
  <c r="L6" i="29"/>
  <c r="L7" i="29"/>
  <c r="L8" i="29"/>
  <c r="L9" i="29"/>
  <c r="L10" i="29"/>
  <c r="L11" i="29"/>
  <c r="L12" i="29"/>
  <c r="L13" i="29"/>
  <c r="L14" i="29"/>
  <c r="L15" i="29"/>
  <c r="L16" i="29"/>
  <c r="L17" i="29"/>
  <c r="L18" i="29"/>
  <c r="L19" i="29"/>
  <c r="L20" i="29"/>
  <c r="L21" i="29"/>
  <c r="L22" i="29"/>
  <c r="L23" i="29"/>
  <c r="L24" i="29"/>
  <c r="L25" i="29"/>
  <c r="L26" i="29"/>
  <c r="L27" i="29"/>
  <c r="L28" i="29"/>
  <c r="L29" i="29"/>
  <c r="FJ28" i="29"/>
  <c r="FE28" i="29"/>
  <c r="G28" i="29"/>
  <c r="FJ27" i="29"/>
  <c r="FE27" i="29"/>
  <c r="G27" i="29"/>
  <c r="FJ26" i="29"/>
  <c r="FE26" i="29"/>
  <c r="G26" i="29"/>
  <c r="FJ25" i="29"/>
  <c r="FE25" i="29"/>
  <c r="G25" i="29"/>
  <c r="FJ24" i="29"/>
  <c r="FE24" i="29"/>
  <c r="G24" i="29"/>
  <c r="FJ23" i="29"/>
  <c r="FE23" i="29"/>
  <c r="G23" i="29"/>
  <c r="FJ22" i="29"/>
  <c r="FE22" i="29"/>
  <c r="G22" i="29"/>
  <c r="FJ21" i="29"/>
  <c r="FE21" i="29"/>
  <c r="G21" i="29"/>
  <c r="FJ20" i="29"/>
  <c r="FE20" i="29"/>
  <c r="G20" i="29"/>
  <c r="FJ19" i="29"/>
  <c r="FE19" i="29"/>
  <c r="G19" i="29"/>
  <c r="FJ18" i="29"/>
  <c r="FE18" i="29"/>
  <c r="G18" i="29"/>
  <c r="FJ17" i="29"/>
  <c r="FE17" i="29"/>
  <c r="G17" i="29"/>
  <c r="FJ16" i="29"/>
  <c r="FE16" i="29"/>
  <c r="G16" i="29"/>
  <c r="FJ15" i="29"/>
  <c r="FE15" i="29"/>
  <c r="G15" i="29"/>
  <c r="FJ14" i="29"/>
  <c r="FE14" i="29"/>
  <c r="G14" i="29"/>
  <c r="FJ13" i="29"/>
  <c r="FE13" i="29"/>
  <c r="G13" i="29"/>
  <c r="FJ12" i="29"/>
  <c r="FE12" i="29"/>
  <c r="G12" i="29"/>
  <c r="FJ11" i="29"/>
  <c r="FE11" i="29"/>
  <c r="G11" i="29"/>
  <c r="FJ10" i="29"/>
  <c r="FE10" i="29"/>
  <c r="G10" i="29"/>
  <c r="FJ9" i="29"/>
  <c r="FE9" i="29"/>
  <c r="G9" i="29"/>
  <c r="FJ8" i="29"/>
  <c r="FE8" i="29"/>
  <c r="FJ7" i="29"/>
  <c r="FE7" i="29"/>
  <c r="ET7" i="29"/>
  <c r="AP7" i="29"/>
  <c r="BK7" i="29"/>
  <c r="CF7" i="29"/>
  <c r="DA7" i="29"/>
  <c r="DV7" i="29"/>
  <c r="Z7" i="29"/>
  <c r="G7" i="29"/>
  <c r="FJ6" i="29"/>
  <c r="FE6" i="29"/>
  <c r="G6" i="29"/>
  <c r="FL5" i="29"/>
  <c r="FF5" i="29"/>
  <c r="FK5" i="29"/>
  <c r="E5" i="29"/>
  <c r="FE5" i="29"/>
  <c r="FJ5" i="29"/>
  <c r="FC5" i="29"/>
  <c r="EZ5" i="29"/>
  <c r="EW5" i="29"/>
  <c r="EU5" i="29"/>
  <c r="ET5" i="29"/>
  <c r="EJ5" i="29"/>
  <c r="EG5" i="29"/>
  <c r="ED5" i="29"/>
  <c r="EB5" i="29"/>
  <c r="EA5" i="29"/>
  <c r="DO5" i="29"/>
  <c r="DL5" i="29"/>
  <c r="DI5" i="29"/>
  <c r="DG5" i="29"/>
  <c r="DF5" i="29"/>
  <c r="CT5" i="29"/>
  <c r="CQ5" i="29"/>
  <c r="CN5" i="29"/>
  <c r="CL5" i="29"/>
  <c r="CK5" i="29"/>
  <c r="BY5" i="29"/>
  <c r="BV5" i="29"/>
  <c r="BS5" i="29"/>
  <c r="BQ5" i="29"/>
  <c r="BP5" i="29"/>
  <c r="BD5" i="29"/>
  <c r="BA5" i="29"/>
  <c r="AX5" i="29"/>
  <c r="AV5" i="29"/>
  <c r="AU5" i="29"/>
  <c r="AC5" i="29"/>
  <c r="AA5" i="29"/>
  <c r="Z5" i="29"/>
  <c r="I5" i="29"/>
  <c r="B5" i="29"/>
  <c r="L32" i="28"/>
  <c r="K32" i="28"/>
  <c r="J32" i="28"/>
  <c r="I32" i="28"/>
  <c r="F30" i="28"/>
  <c r="F32" i="28"/>
  <c r="B12" i="28"/>
  <c r="B13" i="28"/>
  <c r="B14" i="28"/>
  <c r="B15" i="28"/>
  <c r="B16" i="28"/>
  <c r="B17" i="28"/>
  <c r="B18" i="28"/>
  <c r="B19" i="28"/>
  <c r="B28" i="28"/>
  <c r="C12" i="28"/>
  <c r="C13" i="28"/>
  <c r="C14" i="28"/>
  <c r="C15" i="28"/>
  <c r="C16" i="28"/>
  <c r="C17" i="28"/>
  <c r="C18" i="28"/>
  <c r="C19" i="28"/>
  <c r="B29" i="28"/>
  <c r="B22" i="28"/>
  <c r="B23" i="28"/>
  <c r="G32" i="28"/>
  <c r="E28" i="28"/>
  <c r="E29" i="28"/>
  <c r="E30" i="28"/>
  <c r="E32" i="28"/>
  <c r="D28" i="28"/>
  <c r="D29" i="28"/>
  <c r="D30" i="28"/>
  <c r="D32" i="28"/>
  <c r="L31" i="28"/>
  <c r="K31" i="28"/>
  <c r="J31" i="28"/>
  <c r="I31" i="28"/>
  <c r="F31" i="28"/>
  <c r="G31" i="28"/>
  <c r="E31" i="28"/>
  <c r="D31" i="28"/>
  <c r="B31" i="28"/>
  <c r="L30" i="28"/>
  <c r="K30" i="28"/>
  <c r="J30" i="28"/>
  <c r="I30" i="28"/>
  <c r="G30" i="28"/>
  <c r="B30" i="28"/>
  <c r="L29" i="28"/>
  <c r="K29" i="28"/>
  <c r="J29" i="28"/>
  <c r="I29" i="28"/>
  <c r="G29" i="28"/>
  <c r="L28" i="28"/>
  <c r="K28" i="28"/>
  <c r="J28" i="28"/>
  <c r="I28" i="28"/>
  <c r="G28" i="28"/>
  <c r="B27" i="28"/>
  <c r="L25" i="28"/>
  <c r="K25" i="28"/>
  <c r="J25" i="28"/>
  <c r="I25" i="28"/>
  <c r="E12" i="28"/>
  <c r="E13" i="28"/>
  <c r="E14" i="28"/>
  <c r="E15" i="28"/>
  <c r="E16" i="28"/>
  <c r="E17" i="28"/>
  <c r="E18" i="28"/>
  <c r="E19" i="28"/>
  <c r="E20" i="28"/>
  <c r="E21" i="28"/>
  <c r="E22" i="28"/>
  <c r="E23" i="28"/>
  <c r="E25" i="28"/>
  <c r="D12" i="28"/>
  <c r="D13" i="28"/>
  <c r="D14" i="28"/>
  <c r="D15" i="28"/>
  <c r="D16" i="28"/>
  <c r="D17" i="28"/>
  <c r="D18" i="28"/>
  <c r="D19" i="28"/>
  <c r="D20" i="28"/>
  <c r="D21" i="28"/>
  <c r="D22" i="28"/>
  <c r="D23" i="28"/>
  <c r="D25" i="28"/>
  <c r="L23" i="28"/>
  <c r="K23" i="28"/>
  <c r="J23" i="28"/>
  <c r="I23" i="28"/>
  <c r="G23" i="28"/>
  <c r="C23" i="28"/>
  <c r="L22" i="28"/>
  <c r="K22" i="28"/>
  <c r="J22" i="28"/>
  <c r="I22" i="28"/>
  <c r="G22" i="28"/>
  <c r="C22" i="28"/>
  <c r="L21" i="28"/>
  <c r="K21" i="28"/>
  <c r="J21" i="28"/>
  <c r="I21" i="28"/>
  <c r="G21" i="28"/>
  <c r="C21" i="28"/>
  <c r="B21" i="28"/>
  <c r="L20" i="28"/>
  <c r="K20" i="28"/>
  <c r="J20" i="28"/>
  <c r="I20" i="28"/>
  <c r="G20" i="28"/>
  <c r="C20" i="28"/>
  <c r="B20" i="28"/>
  <c r="L19" i="28"/>
  <c r="K19" i="28"/>
  <c r="J19" i="28"/>
  <c r="I19" i="28"/>
  <c r="G19" i="28"/>
  <c r="L18" i="28"/>
  <c r="K18" i="28"/>
  <c r="J18" i="28"/>
  <c r="I18" i="28"/>
  <c r="G18" i="28"/>
  <c r="L17" i="28"/>
  <c r="K17" i="28"/>
  <c r="J17" i="28"/>
  <c r="I17" i="28"/>
  <c r="G17" i="28"/>
  <c r="L16" i="28"/>
  <c r="K16" i="28"/>
  <c r="J16" i="28"/>
  <c r="I16" i="28"/>
  <c r="G16" i="28"/>
  <c r="L15" i="28"/>
  <c r="K15" i="28"/>
  <c r="J15" i="28"/>
  <c r="I15" i="28"/>
  <c r="G15" i="28"/>
  <c r="L14" i="28"/>
  <c r="K14" i="28"/>
  <c r="J14" i="28"/>
  <c r="I14" i="28"/>
  <c r="G14" i="28"/>
  <c r="L13" i="28"/>
  <c r="K13" i="28"/>
  <c r="J13" i="28"/>
  <c r="I13" i="28"/>
  <c r="G13" i="28"/>
  <c r="L12" i="28"/>
  <c r="K12" i="28"/>
  <c r="J12" i="28"/>
  <c r="I12" i="28"/>
  <c r="G12" i="28"/>
  <c r="L10" i="28"/>
  <c r="K10" i="28"/>
  <c r="J10" i="28"/>
  <c r="I10" i="28"/>
  <c r="D10" i="28"/>
  <c r="C10" i="28"/>
  <c r="B10" i="28"/>
  <c r="J8" i="28"/>
  <c r="E8" i="28"/>
  <c r="E48" i="20"/>
  <c r="E52" i="20"/>
  <c r="E59" i="20"/>
  <c r="E53" i="20"/>
  <c r="E60" i="20"/>
  <c r="E61" i="20"/>
  <c r="E93" i="20"/>
  <c r="F48" i="20"/>
  <c r="F52" i="20"/>
  <c r="F54" i="20"/>
  <c r="F59" i="20"/>
  <c r="F53" i="20"/>
  <c r="F60" i="20"/>
  <c r="F61" i="20"/>
  <c r="F93" i="20"/>
  <c r="G48" i="20"/>
  <c r="G52" i="20"/>
  <c r="G54" i="20"/>
  <c r="G59" i="20"/>
  <c r="G53" i="20"/>
  <c r="G60" i="20"/>
  <c r="G61" i="20"/>
  <c r="G93" i="20"/>
  <c r="H48" i="20"/>
  <c r="H52" i="20"/>
  <c r="H54" i="20"/>
  <c r="H59" i="20"/>
  <c r="H53" i="20"/>
  <c r="H60" i="20"/>
  <c r="H61" i="20"/>
  <c r="H93" i="20"/>
  <c r="D48" i="20"/>
  <c r="D52" i="20"/>
  <c r="D59" i="20"/>
  <c r="D53" i="20"/>
  <c r="D60" i="20"/>
  <c r="D61" i="20"/>
  <c r="D93" i="20"/>
  <c r="E50" i="20"/>
  <c r="E54" i="20"/>
  <c r="E92" i="20"/>
  <c r="F50" i="20"/>
  <c r="F92" i="20"/>
  <c r="G50" i="20"/>
  <c r="G92" i="20"/>
  <c r="H50" i="20"/>
  <c r="H92" i="20"/>
  <c r="D50" i="20"/>
  <c r="D54" i="20"/>
  <c r="D92" i="20"/>
  <c r="H95" i="20"/>
  <c r="G63" i="20"/>
  <c r="F63" i="20"/>
  <c r="E63" i="20"/>
  <c r="D63" i="20"/>
  <c r="N8" i="27"/>
  <c r="N9" i="27"/>
  <c r="N10" i="27"/>
  <c r="N11" i="27"/>
  <c r="N12" i="27"/>
  <c r="N14" i="27"/>
  <c r="N15" i="27"/>
  <c r="N16" i="27"/>
  <c r="N18" i="27"/>
  <c r="N19" i="27"/>
  <c r="N21" i="27"/>
  <c r="M8" i="27"/>
  <c r="M9" i="27"/>
  <c r="M10" i="27"/>
  <c r="M11" i="27"/>
  <c r="M12" i="27"/>
  <c r="M14" i="27"/>
  <c r="M15" i="27"/>
  <c r="M16" i="27"/>
  <c r="M18" i="27"/>
  <c r="M19" i="27"/>
  <c r="M21" i="27"/>
  <c r="K21" i="27"/>
  <c r="D21" i="27"/>
  <c r="J19" i="27"/>
  <c r="J18" i="27"/>
  <c r="H63" i="20"/>
  <c r="Z18" i="13"/>
  <c r="AA8" i="13"/>
  <c r="AA9" i="13"/>
  <c r="AA10" i="13"/>
  <c r="AA11" i="13"/>
  <c r="AA12" i="13"/>
  <c r="AA14" i="13"/>
  <c r="AA15" i="13"/>
  <c r="AA16" i="13"/>
  <c r="AA18" i="13"/>
  <c r="I46" i="24"/>
  <c r="I48" i="24"/>
  <c r="I47" i="24"/>
  <c r="H29" i="24"/>
  <c r="H48" i="24"/>
  <c r="H47" i="24"/>
  <c r="I41" i="24"/>
  <c r="H46" i="24"/>
  <c r="G29" i="24"/>
  <c r="G48" i="24"/>
  <c r="G47" i="24"/>
  <c r="H41" i="24"/>
  <c r="G46" i="24"/>
  <c r="F29" i="24"/>
  <c r="F48" i="24"/>
  <c r="F47" i="24"/>
  <c r="G41" i="24"/>
  <c r="F46" i="24"/>
  <c r="E29" i="24"/>
  <c r="E48" i="24"/>
  <c r="E47" i="24"/>
  <c r="F41" i="24"/>
  <c r="E46" i="24"/>
  <c r="E41" i="24"/>
  <c r="D46" i="24"/>
  <c r="D29" i="24"/>
  <c r="D48" i="24"/>
  <c r="D47" i="24"/>
  <c r="E16" i="24"/>
  <c r="F16" i="24"/>
  <c r="G16" i="24"/>
  <c r="H16" i="24"/>
  <c r="I16" i="24"/>
  <c r="I44" i="24"/>
  <c r="E15" i="24"/>
  <c r="F15" i="24"/>
  <c r="G15" i="24"/>
  <c r="H15" i="24"/>
  <c r="I15" i="24"/>
  <c r="I43" i="24"/>
  <c r="H44" i="24"/>
  <c r="H43" i="24"/>
  <c r="G44" i="24"/>
  <c r="G43" i="24"/>
  <c r="F44" i="24"/>
  <c r="F43" i="24"/>
  <c r="E44" i="24"/>
  <c r="E43" i="24"/>
  <c r="D44" i="24"/>
  <c r="D43" i="24"/>
  <c r="D41" i="24"/>
  <c r="B31" i="24"/>
  <c r="D18" i="24"/>
  <c r="D23" i="24"/>
  <c r="D19" i="24"/>
  <c r="D22" i="24"/>
  <c r="E18" i="24"/>
  <c r="E23" i="24"/>
  <c r="E19" i="24"/>
  <c r="E22" i="24"/>
  <c r="F18" i="24"/>
  <c r="F23" i="24"/>
  <c r="F19" i="24"/>
  <c r="F22" i="24"/>
  <c r="G18" i="24"/>
  <c r="G23" i="24"/>
  <c r="G19" i="24"/>
  <c r="G22" i="24"/>
  <c r="H18" i="24"/>
  <c r="H23" i="24"/>
  <c r="H19" i="24"/>
  <c r="H22" i="24"/>
  <c r="I18" i="24"/>
  <c r="I23" i="24"/>
  <c r="I36" i="24"/>
  <c r="H36" i="24"/>
  <c r="G36" i="24"/>
  <c r="F36" i="24"/>
  <c r="E36" i="24"/>
  <c r="D36" i="24"/>
  <c r="B30" i="24"/>
  <c r="D68" i="24"/>
  <c r="E68" i="24"/>
  <c r="F68" i="24"/>
  <c r="G68" i="24"/>
  <c r="H68" i="24"/>
  <c r="I68" i="24"/>
  <c r="B69" i="24"/>
  <c r="C69" i="24"/>
  <c r="D53" i="24"/>
  <c r="D54" i="24"/>
  <c r="D69" i="24"/>
  <c r="E14" i="24"/>
  <c r="E69" i="24"/>
  <c r="F14" i="24"/>
  <c r="F69" i="24"/>
  <c r="G14" i="24"/>
  <c r="G69" i="24"/>
  <c r="H14" i="24"/>
  <c r="H69" i="24"/>
  <c r="I14" i="24"/>
  <c r="I69" i="24"/>
  <c r="I53" i="24"/>
  <c r="I54" i="24"/>
  <c r="B74" i="24"/>
  <c r="E53" i="24"/>
  <c r="E54" i="24"/>
  <c r="F53" i="24"/>
  <c r="F54" i="24"/>
  <c r="G53" i="24"/>
  <c r="G54" i="24"/>
  <c r="H53" i="24"/>
  <c r="H54" i="24"/>
  <c r="I74" i="24"/>
  <c r="I82" i="24"/>
  <c r="B73" i="24"/>
  <c r="I73" i="24"/>
  <c r="I81" i="24"/>
  <c r="H74" i="24"/>
  <c r="H82" i="24"/>
  <c r="G74" i="24"/>
  <c r="G82" i="24"/>
  <c r="F74" i="24"/>
  <c r="F82" i="24"/>
  <c r="E74" i="24"/>
  <c r="E82" i="24"/>
  <c r="D74" i="24"/>
  <c r="D82" i="24"/>
  <c r="H73" i="24"/>
  <c r="H81" i="24"/>
  <c r="G73" i="24"/>
  <c r="G81" i="24"/>
  <c r="F73" i="24"/>
  <c r="F81" i="24"/>
  <c r="E73" i="24"/>
  <c r="E81" i="24"/>
  <c r="D73" i="24"/>
  <c r="D81" i="24"/>
  <c r="B72" i="24"/>
  <c r="I72" i="24"/>
  <c r="I80" i="24"/>
  <c r="H72" i="24"/>
  <c r="H80" i="24"/>
  <c r="G72" i="24"/>
  <c r="G80" i="24"/>
  <c r="F72" i="24"/>
  <c r="F80" i="24"/>
  <c r="E72" i="24"/>
  <c r="E80" i="24"/>
  <c r="D72" i="24"/>
  <c r="D80" i="24"/>
  <c r="B71" i="24"/>
  <c r="I71" i="24"/>
  <c r="I79" i="24"/>
  <c r="H71" i="24"/>
  <c r="H79" i="24"/>
  <c r="G71" i="24"/>
  <c r="G79" i="24"/>
  <c r="F71" i="24"/>
  <c r="F79" i="24"/>
  <c r="E71" i="24"/>
  <c r="E79" i="24"/>
  <c r="D71" i="24"/>
  <c r="D79" i="24"/>
  <c r="B70" i="24"/>
  <c r="I70" i="24"/>
  <c r="I78" i="24"/>
  <c r="H70" i="24"/>
  <c r="H78" i="24"/>
  <c r="G70" i="24"/>
  <c r="G78" i="24"/>
  <c r="F70" i="24"/>
  <c r="F78" i="24"/>
  <c r="E70" i="24"/>
  <c r="E78" i="24"/>
  <c r="D70" i="24"/>
  <c r="D78" i="24"/>
  <c r="I77" i="24"/>
  <c r="H77" i="24"/>
  <c r="G77" i="24"/>
  <c r="F77" i="24"/>
  <c r="E77" i="24"/>
  <c r="D77" i="24"/>
  <c r="D55" i="24"/>
  <c r="D57" i="24"/>
  <c r="D59" i="24"/>
  <c r="I76" i="24"/>
  <c r="H76" i="24"/>
  <c r="G76" i="24"/>
  <c r="F76" i="24"/>
  <c r="E76" i="24"/>
  <c r="D76" i="24"/>
  <c r="C74" i="24"/>
  <c r="C73" i="24"/>
  <c r="C72" i="24"/>
  <c r="C71" i="24"/>
  <c r="C70" i="24"/>
  <c r="D108" i="24"/>
  <c r="B124" i="24"/>
  <c r="D124" i="24"/>
  <c r="E108" i="24"/>
  <c r="E124" i="24"/>
  <c r="F108" i="24"/>
  <c r="F124" i="24"/>
  <c r="G108" i="24"/>
  <c r="G124" i="24"/>
  <c r="H108" i="24"/>
  <c r="H124" i="24"/>
  <c r="I108" i="24"/>
  <c r="I124" i="24"/>
  <c r="E33" i="24"/>
  <c r="F33" i="24"/>
  <c r="G33" i="24"/>
  <c r="H33" i="24"/>
  <c r="I33" i="24"/>
  <c r="I34" i="24"/>
  <c r="O108" i="24"/>
  <c r="F34" i="24"/>
  <c r="L108" i="24"/>
  <c r="H34" i="24"/>
  <c r="N108" i="24"/>
  <c r="D34" i="24"/>
  <c r="J108" i="24"/>
  <c r="E34" i="24"/>
  <c r="K108" i="24"/>
  <c r="G34" i="24"/>
  <c r="M108" i="24"/>
  <c r="P124" i="24"/>
  <c r="E87" i="24"/>
  <c r="B131" i="24"/>
  <c r="D131" i="24"/>
  <c r="E131" i="24"/>
  <c r="F131" i="24"/>
  <c r="G131" i="24"/>
  <c r="H131" i="24"/>
  <c r="I131" i="24"/>
  <c r="P131" i="24"/>
  <c r="E88" i="24"/>
  <c r="B138" i="24"/>
  <c r="D138" i="24"/>
  <c r="E138" i="24"/>
  <c r="F138" i="24"/>
  <c r="G138" i="24"/>
  <c r="H138" i="24"/>
  <c r="I138" i="24"/>
  <c r="P138" i="24"/>
  <c r="E89" i="24"/>
  <c r="B145" i="24"/>
  <c r="D145" i="24"/>
  <c r="E145" i="24"/>
  <c r="F145" i="24"/>
  <c r="G145" i="24"/>
  <c r="H145" i="24"/>
  <c r="I145" i="24"/>
  <c r="P145" i="24"/>
  <c r="E90" i="24"/>
  <c r="B110" i="24"/>
  <c r="D110" i="24"/>
  <c r="E110" i="24"/>
  <c r="F110" i="24"/>
  <c r="G110" i="24"/>
  <c r="H110" i="24"/>
  <c r="I110" i="24"/>
  <c r="K107" i="24"/>
  <c r="K110" i="24"/>
  <c r="P110" i="24"/>
  <c r="E85" i="24"/>
  <c r="B114" i="24"/>
  <c r="D114" i="24"/>
  <c r="E114" i="24"/>
  <c r="F114" i="24"/>
  <c r="G114" i="24"/>
  <c r="H114" i="24"/>
  <c r="I114" i="24"/>
  <c r="O107" i="24"/>
  <c r="O114" i="24"/>
  <c r="P114" i="24"/>
  <c r="I85" i="24"/>
  <c r="B113" i="24"/>
  <c r="D113" i="24"/>
  <c r="E113" i="24"/>
  <c r="F113" i="24"/>
  <c r="G113" i="24"/>
  <c r="H113" i="24"/>
  <c r="I113" i="24"/>
  <c r="N107" i="24"/>
  <c r="N113" i="24"/>
  <c r="P113" i="24"/>
  <c r="H85" i="24"/>
  <c r="B112" i="24"/>
  <c r="D112" i="24"/>
  <c r="E112" i="24"/>
  <c r="F112" i="24"/>
  <c r="G112" i="24"/>
  <c r="H112" i="24"/>
  <c r="I112" i="24"/>
  <c r="M107" i="24"/>
  <c r="M112" i="24"/>
  <c r="P112" i="24"/>
  <c r="G85" i="24"/>
  <c r="B111" i="24"/>
  <c r="D111" i="24"/>
  <c r="E111" i="24"/>
  <c r="F111" i="24"/>
  <c r="G111" i="24"/>
  <c r="H111" i="24"/>
  <c r="I111" i="24"/>
  <c r="L107" i="24"/>
  <c r="L111" i="24"/>
  <c r="P111" i="24"/>
  <c r="F85" i="24"/>
  <c r="B109" i="24"/>
  <c r="D109" i="24"/>
  <c r="E109" i="24"/>
  <c r="F109" i="24"/>
  <c r="G109" i="24"/>
  <c r="H109" i="24"/>
  <c r="I109" i="24"/>
  <c r="J107" i="24"/>
  <c r="J109" i="24"/>
  <c r="P109" i="24"/>
  <c r="D85" i="24"/>
  <c r="B123" i="24"/>
  <c r="D123" i="24"/>
  <c r="E123" i="24"/>
  <c r="F123" i="24"/>
  <c r="G123" i="24"/>
  <c r="H123" i="24"/>
  <c r="I123" i="24"/>
  <c r="P123" i="24"/>
  <c r="D87" i="24"/>
  <c r="B130" i="24"/>
  <c r="D130" i="24"/>
  <c r="E130" i="24"/>
  <c r="F130" i="24"/>
  <c r="G130" i="24"/>
  <c r="H130" i="24"/>
  <c r="I130" i="24"/>
  <c r="P130" i="24"/>
  <c r="D88" i="24"/>
  <c r="B137" i="24"/>
  <c r="D137" i="24"/>
  <c r="E137" i="24"/>
  <c r="F137" i="24"/>
  <c r="G137" i="24"/>
  <c r="H137" i="24"/>
  <c r="I137" i="24"/>
  <c r="P137" i="24"/>
  <c r="D89" i="24"/>
  <c r="B144" i="24"/>
  <c r="D144" i="24"/>
  <c r="E144" i="24"/>
  <c r="F144" i="24"/>
  <c r="G144" i="24"/>
  <c r="H144" i="24"/>
  <c r="I144" i="24"/>
  <c r="P144" i="24"/>
  <c r="D90" i="24"/>
  <c r="B125" i="24"/>
  <c r="D125" i="24"/>
  <c r="E125" i="24"/>
  <c r="F125" i="24"/>
  <c r="G125" i="24"/>
  <c r="H125" i="24"/>
  <c r="I125" i="24"/>
  <c r="L125" i="24"/>
  <c r="P125" i="24"/>
  <c r="F87" i="24"/>
  <c r="B117" i="24"/>
  <c r="D117" i="24"/>
  <c r="E117" i="24"/>
  <c r="F117" i="24"/>
  <c r="G117" i="24"/>
  <c r="H117" i="24"/>
  <c r="I117" i="24"/>
  <c r="K117" i="24"/>
  <c r="P117" i="24"/>
  <c r="E86" i="24"/>
  <c r="D60" i="24"/>
  <c r="B82" i="24"/>
  <c r="B81" i="24"/>
  <c r="B80" i="24"/>
  <c r="B79" i="24"/>
  <c r="B78" i="24"/>
  <c r="B77" i="24"/>
  <c r="B133" i="24"/>
  <c r="D133" i="24"/>
  <c r="E133" i="24"/>
  <c r="F133" i="24"/>
  <c r="G133" i="24"/>
  <c r="H133" i="24"/>
  <c r="I133" i="24"/>
  <c r="M133" i="24"/>
  <c r="P133" i="24"/>
  <c r="G88" i="24"/>
  <c r="G55" i="24"/>
  <c r="G57" i="24"/>
  <c r="F55" i="24"/>
  <c r="F57" i="24"/>
  <c r="E55" i="24"/>
  <c r="E57" i="24"/>
  <c r="F60" i="24"/>
  <c r="G60" i="24"/>
  <c r="H55" i="24"/>
  <c r="H57" i="24"/>
  <c r="H60" i="24"/>
  <c r="I55" i="24"/>
  <c r="I57" i="24"/>
  <c r="I60" i="24"/>
  <c r="E60" i="24"/>
  <c r="F59" i="24"/>
  <c r="G59" i="24"/>
  <c r="H59" i="24"/>
  <c r="I59" i="24"/>
  <c r="E59" i="24"/>
  <c r="D30" i="24"/>
  <c r="D97" i="24"/>
  <c r="D96" i="24"/>
  <c r="O149" i="24"/>
  <c r="O142" i="24"/>
  <c r="N141" i="24"/>
  <c r="O135" i="24"/>
  <c r="N134" i="24"/>
  <c r="O128" i="24"/>
  <c r="N127" i="24"/>
  <c r="M126" i="24"/>
  <c r="O121" i="24"/>
  <c r="N120" i="24"/>
  <c r="M119" i="24"/>
  <c r="L118" i="24"/>
  <c r="B149" i="24"/>
  <c r="D149" i="24"/>
  <c r="E149" i="24"/>
  <c r="F149" i="24"/>
  <c r="G149" i="24"/>
  <c r="H149" i="24"/>
  <c r="I149" i="24"/>
  <c r="P149" i="24"/>
  <c r="I90" i="24"/>
  <c r="B141" i="24"/>
  <c r="D141" i="24"/>
  <c r="E141" i="24"/>
  <c r="F141" i="24"/>
  <c r="G141" i="24"/>
  <c r="H141" i="24"/>
  <c r="I141" i="24"/>
  <c r="P141" i="24"/>
  <c r="H89" i="24"/>
  <c r="B90" i="24"/>
  <c r="B89" i="24"/>
  <c r="B88" i="24"/>
  <c r="B87" i="24"/>
  <c r="B86" i="24"/>
  <c r="B85" i="24"/>
  <c r="I84" i="24"/>
  <c r="H84" i="24"/>
  <c r="G84" i="24"/>
  <c r="F84" i="24"/>
  <c r="E84" i="24"/>
  <c r="D84" i="24"/>
  <c r="B118" i="24"/>
  <c r="D118" i="24"/>
  <c r="E118" i="24"/>
  <c r="F118" i="24"/>
  <c r="G118" i="24"/>
  <c r="H118" i="24"/>
  <c r="I118" i="24"/>
  <c r="P118" i="24"/>
  <c r="F86" i="24"/>
  <c r="B119" i="24"/>
  <c r="D119" i="24"/>
  <c r="E119" i="24"/>
  <c r="F119" i="24"/>
  <c r="G119" i="24"/>
  <c r="H119" i="24"/>
  <c r="I119" i="24"/>
  <c r="P119" i="24"/>
  <c r="G86" i="24"/>
  <c r="B120" i="24"/>
  <c r="D120" i="24"/>
  <c r="E120" i="24"/>
  <c r="F120" i="24"/>
  <c r="G120" i="24"/>
  <c r="H120" i="24"/>
  <c r="I120" i="24"/>
  <c r="P120" i="24"/>
  <c r="H86" i="24"/>
  <c r="B121" i="24"/>
  <c r="D121" i="24"/>
  <c r="E121" i="24"/>
  <c r="F121" i="24"/>
  <c r="G121" i="24"/>
  <c r="H121" i="24"/>
  <c r="I121" i="24"/>
  <c r="P121" i="24"/>
  <c r="I86" i="24"/>
  <c r="B126" i="24"/>
  <c r="D126" i="24"/>
  <c r="E126" i="24"/>
  <c r="F126" i="24"/>
  <c r="G126" i="24"/>
  <c r="H126" i="24"/>
  <c r="I126" i="24"/>
  <c r="P126" i="24"/>
  <c r="G87" i="24"/>
  <c r="B127" i="24"/>
  <c r="D127" i="24"/>
  <c r="E127" i="24"/>
  <c r="F127" i="24"/>
  <c r="G127" i="24"/>
  <c r="H127" i="24"/>
  <c r="I127" i="24"/>
  <c r="P127" i="24"/>
  <c r="H87" i="24"/>
  <c r="B128" i="24"/>
  <c r="D128" i="24"/>
  <c r="E128" i="24"/>
  <c r="F128" i="24"/>
  <c r="G128" i="24"/>
  <c r="H128" i="24"/>
  <c r="I128" i="24"/>
  <c r="P128" i="24"/>
  <c r="I87" i="24"/>
  <c r="B132" i="24"/>
  <c r="D132" i="24"/>
  <c r="E132" i="24"/>
  <c r="F132" i="24"/>
  <c r="G132" i="24"/>
  <c r="H132" i="24"/>
  <c r="I132" i="24"/>
  <c r="P132" i="24"/>
  <c r="F88" i="24"/>
  <c r="B134" i="24"/>
  <c r="D134" i="24"/>
  <c r="E134" i="24"/>
  <c r="F134" i="24"/>
  <c r="G134" i="24"/>
  <c r="H134" i="24"/>
  <c r="I134" i="24"/>
  <c r="P134" i="24"/>
  <c r="H88" i="24"/>
  <c r="B135" i="24"/>
  <c r="D135" i="24"/>
  <c r="E135" i="24"/>
  <c r="F135" i="24"/>
  <c r="G135" i="24"/>
  <c r="H135" i="24"/>
  <c r="I135" i="24"/>
  <c r="P135" i="24"/>
  <c r="I88" i="24"/>
  <c r="B139" i="24"/>
  <c r="D139" i="24"/>
  <c r="E139" i="24"/>
  <c r="F139" i="24"/>
  <c r="G139" i="24"/>
  <c r="H139" i="24"/>
  <c r="I139" i="24"/>
  <c r="P139" i="24"/>
  <c r="F89" i="24"/>
  <c r="B140" i="24"/>
  <c r="D140" i="24"/>
  <c r="E140" i="24"/>
  <c r="F140" i="24"/>
  <c r="G140" i="24"/>
  <c r="H140" i="24"/>
  <c r="I140" i="24"/>
  <c r="P140" i="24"/>
  <c r="G89" i="24"/>
  <c r="B142" i="24"/>
  <c r="D142" i="24"/>
  <c r="E142" i="24"/>
  <c r="F142" i="24"/>
  <c r="G142" i="24"/>
  <c r="H142" i="24"/>
  <c r="I142" i="24"/>
  <c r="P142" i="24"/>
  <c r="I89" i="24"/>
  <c r="B146" i="24"/>
  <c r="D146" i="24"/>
  <c r="E146" i="24"/>
  <c r="F146" i="24"/>
  <c r="G146" i="24"/>
  <c r="H146" i="24"/>
  <c r="I146" i="24"/>
  <c r="P146" i="24"/>
  <c r="F90" i="24"/>
  <c r="B147" i="24"/>
  <c r="D147" i="24"/>
  <c r="E147" i="24"/>
  <c r="F147" i="24"/>
  <c r="G147" i="24"/>
  <c r="H147" i="24"/>
  <c r="I147" i="24"/>
  <c r="P147" i="24"/>
  <c r="G90" i="24"/>
  <c r="B148" i="24"/>
  <c r="D148" i="24"/>
  <c r="E148" i="24"/>
  <c r="F148" i="24"/>
  <c r="G148" i="24"/>
  <c r="H148" i="24"/>
  <c r="I148" i="24"/>
  <c r="P148" i="24"/>
  <c r="H90" i="24"/>
  <c r="B116" i="24"/>
  <c r="D116" i="24"/>
  <c r="E116" i="24"/>
  <c r="F116" i="24"/>
  <c r="G116" i="24"/>
  <c r="H116" i="24"/>
  <c r="I116" i="24"/>
  <c r="P116" i="24"/>
  <c r="D86" i="24"/>
  <c r="C149" i="24"/>
  <c r="C148" i="24"/>
  <c r="C147" i="24"/>
  <c r="C146" i="24"/>
  <c r="C145" i="24"/>
  <c r="C144" i="24"/>
  <c r="C142" i="24"/>
  <c r="C141" i="24"/>
  <c r="C140" i="24"/>
  <c r="C139" i="24"/>
  <c r="C138" i="24"/>
  <c r="C137" i="24"/>
  <c r="C135" i="24"/>
  <c r="C134" i="24"/>
  <c r="C133" i="24"/>
  <c r="C132" i="24"/>
  <c r="C131" i="24"/>
  <c r="C130" i="24"/>
  <c r="C128" i="24"/>
  <c r="C127" i="24"/>
  <c r="C126" i="24"/>
  <c r="C125" i="24"/>
  <c r="C124" i="24"/>
  <c r="C123" i="24"/>
  <c r="C121" i="24"/>
  <c r="C120" i="24"/>
  <c r="C119" i="24"/>
  <c r="C118" i="24"/>
  <c r="C117" i="24"/>
  <c r="C116" i="24"/>
  <c r="C114" i="24"/>
  <c r="C113" i="24"/>
  <c r="C112" i="24"/>
  <c r="C111" i="24"/>
  <c r="C110" i="24"/>
  <c r="C109" i="24"/>
  <c r="D24" i="24"/>
  <c r="D37" i="24"/>
  <c r="D10" i="24"/>
  <c r="D8" i="20"/>
  <c r="N36" i="21"/>
  <c r="G36" i="21"/>
  <c r="B23" i="20"/>
  <c r="B22" i="20"/>
  <c r="B21" i="20"/>
  <c r="B20" i="20"/>
  <c r="B19" i="20"/>
  <c r="B18" i="20"/>
  <c r="B17" i="20"/>
  <c r="B16" i="20"/>
  <c r="E30" i="24"/>
  <c r="E24" i="24"/>
  <c r="E37" i="24"/>
  <c r="F30" i="24"/>
  <c r="F24" i="24"/>
  <c r="F37" i="24"/>
  <c r="G30" i="24"/>
  <c r="G24" i="24"/>
  <c r="G37" i="24"/>
  <c r="H30" i="24"/>
  <c r="H24" i="24"/>
  <c r="H37" i="24"/>
  <c r="I30" i="24"/>
  <c r="I19" i="24"/>
  <c r="I24" i="24"/>
  <c r="I37" i="24"/>
  <c r="E10" i="24"/>
  <c r="F10" i="24"/>
  <c r="G10" i="24"/>
  <c r="H10" i="24"/>
  <c r="I10" i="24"/>
  <c r="C57" i="24"/>
  <c r="I22" i="24"/>
  <c r="I56" i="24"/>
  <c r="H56" i="24"/>
  <c r="G56" i="24"/>
  <c r="F56" i="24"/>
  <c r="E56" i="24"/>
  <c r="D56" i="24"/>
  <c r="C53" i="24"/>
  <c r="I17" i="24"/>
  <c r="H17" i="24"/>
  <c r="G17" i="24"/>
  <c r="F17" i="24"/>
  <c r="E17" i="24"/>
  <c r="D17" i="24"/>
  <c r="C35" i="24"/>
  <c r="C36" i="24"/>
  <c r="C37" i="24"/>
  <c r="C23" i="24"/>
  <c r="C17" i="24"/>
  <c r="C16" i="24"/>
  <c r="C15" i="24"/>
  <c r="I21" i="24"/>
  <c r="H21" i="24"/>
  <c r="G21" i="24"/>
  <c r="F21" i="24"/>
  <c r="E21" i="24"/>
  <c r="D21" i="24"/>
  <c r="I25" i="24"/>
  <c r="H25" i="24"/>
  <c r="G25" i="24"/>
  <c r="F25" i="24"/>
  <c r="E25" i="24"/>
  <c r="D25" i="24"/>
  <c r="B10" i="24"/>
  <c r="B120" i="20"/>
  <c r="B119" i="20"/>
  <c r="B118" i="20"/>
  <c r="B117" i="20"/>
  <c r="B116" i="20"/>
  <c r="B115" i="20"/>
  <c r="B114" i="20"/>
  <c r="B113" i="20"/>
  <c r="C83" i="20"/>
  <c r="F40" i="20"/>
  <c r="G40" i="20"/>
  <c r="H40" i="20"/>
  <c r="H46" i="20"/>
  <c r="G26" i="21"/>
  <c r="G29" i="21"/>
  <c r="G8" i="21"/>
  <c r="H8" i="21"/>
  <c r="I8" i="21"/>
  <c r="G9" i="21"/>
  <c r="H9" i="21"/>
  <c r="I9" i="21"/>
  <c r="G10" i="21"/>
  <c r="H10" i="21"/>
  <c r="I10" i="21"/>
  <c r="G11" i="21"/>
  <c r="H11" i="21"/>
  <c r="I11" i="21"/>
  <c r="G12" i="21"/>
  <c r="H12" i="21"/>
  <c r="I12" i="21"/>
  <c r="G14" i="21"/>
  <c r="H14" i="21"/>
  <c r="I14" i="21"/>
  <c r="G15" i="21"/>
  <c r="H15" i="21"/>
  <c r="I15" i="21"/>
  <c r="G16" i="21"/>
  <c r="H16" i="21"/>
  <c r="I16" i="21"/>
  <c r="G34" i="21"/>
  <c r="H19" i="21"/>
  <c r="I19" i="21"/>
  <c r="I21" i="21"/>
  <c r="N29" i="21"/>
  <c r="D29" i="20"/>
  <c r="N16" i="21"/>
  <c r="O16" i="21"/>
  <c r="D16" i="20"/>
  <c r="N14" i="21"/>
  <c r="O14" i="21"/>
  <c r="D17" i="20"/>
  <c r="N15" i="21"/>
  <c r="O15" i="21"/>
  <c r="D18" i="20"/>
  <c r="D26" i="20"/>
  <c r="D30" i="20"/>
  <c r="D33" i="20"/>
  <c r="G46" i="20"/>
  <c r="F46" i="20"/>
  <c r="E40" i="20"/>
  <c r="E46" i="20"/>
  <c r="D40" i="20"/>
  <c r="D46" i="20"/>
  <c r="E29" i="20"/>
  <c r="E16" i="20"/>
  <c r="E17" i="20"/>
  <c r="E18" i="20"/>
  <c r="E26" i="20"/>
  <c r="E30" i="20"/>
  <c r="E33" i="20"/>
  <c r="H62" i="20"/>
  <c r="G62" i="20"/>
  <c r="F62" i="20"/>
  <c r="E62" i="20"/>
  <c r="D62" i="20"/>
  <c r="H49" i="20"/>
  <c r="G49" i="20"/>
  <c r="F49" i="20"/>
  <c r="E49" i="20"/>
  <c r="D49" i="20"/>
  <c r="B94" i="20"/>
  <c r="B88" i="20"/>
  <c r="B93" i="20"/>
  <c r="B92" i="20"/>
  <c r="C95" i="20"/>
  <c r="C94" i="20"/>
  <c r="C93" i="20"/>
  <c r="C92" i="20"/>
  <c r="V33" i="20"/>
  <c r="H16" i="20"/>
  <c r="H17" i="20"/>
  <c r="N12" i="21"/>
  <c r="O12" i="21"/>
  <c r="F18" i="20"/>
  <c r="H18" i="20"/>
  <c r="N8" i="21"/>
  <c r="O8" i="21"/>
  <c r="P8" i="21"/>
  <c r="F19" i="20"/>
  <c r="H19" i="20"/>
  <c r="N9" i="21"/>
  <c r="O9" i="21"/>
  <c r="P9" i="21"/>
  <c r="F20" i="20"/>
  <c r="H20" i="20"/>
  <c r="N10" i="21"/>
  <c r="O10" i="21"/>
  <c r="P10" i="21"/>
  <c r="F21" i="20"/>
  <c r="H21" i="20"/>
  <c r="N11" i="21"/>
  <c r="O11" i="21"/>
  <c r="P11" i="21"/>
  <c r="F22" i="20"/>
  <c r="H22" i="20"/>
  <c r="O18" i="21"/>
  <c r="P18" i="21"/>
  <c r="G23" i="20"/>
  <c r="H23" i="20"/>
  <c r="H24" i="20"/>
  <c r="H26" i="20"/>
  <c r="D6" i="20"/>
  <c r="F41" i="20"/>
  <c r="F51" i="20"/>
  <c r="H33" i="20"/>
  <c r="F47" i="20"/>
  <c r="F64" i="20"/>
  <c r="F26" i="20"/>
  <c r="G26" i="20"/>
  <c r="F75" i="20"/>
  <c r="D41" i="20"/>
  <c r="D51" i="20"/>
  <c r="D47" i="20"/>
  <c r="D64" i="20"/>
  <c r="D75" i="20"/>
  <c r="E41" i="20"/>
  <c r="E51" i="20"/>
  <c r="E47" i="20"/>
  <c r="E64" i="20"/>
  <c r="E75" i="20"/>
  <c r="H41" i="20"/>
  <c r="H51" i="20"/>
  <c r="H47" i="20"/>
  <c r="H64" i="20"/>
  <c r="H75" i="20"/>
  <c r="G41" i="20"/>
  <c r="G51" i="20"/>
  <c r="G47" i="20"/>
  <c r="G64" i="20"/>
  <c r="G75" i="20"/>
  <c r="F30" i="20"/>
  <c r="G30" i="20"/>
  <c r="H30" i="20"/>
  <c r="C108" i="20"/>
  <c r="B106" i="20"/>
  <c r="B105" i="20"/>
  <c r="B104" i="20"/>
  <c r="B103" i="20"/>
  <c r="B102" i="20"/>
  <c r="B101" i="20"/>
  <c r="B100" i="20"/>
  <c r="H42" i="20"/>
  <c r="G42" i="20"/>
  <c r="F42" i="20"/>
  <c r="E42" i="20"/>
  <c r="D42" i="20"/>
  <c r="B87" i="20"/>
  <c r="B86" i="20"/>
  <c r="U18" i="16"/>
  <c r="S23" i="16"/>
  <c r="H43" i="20"/>
  <c r="G43" i="20"/>
  <c r="F43" i="20"/>
  <c r="E43" i="20"/>
  <c r="D43" i="20"/>
  <c r="C43" i="20"/>
  <c r="C89" i="20"/>
  <c r="C88" i="20"/>
  <c r="C86" i="20"/>
  <c r="C87" i="20"/>
  <c r="B107" i="20"/>
  <c r="C72" i="20"/>
  <c r="C107" i="20"/>
  <c r="C106" i="20"/>
  <c r="C105" i="20"/>
  <c r="C104" i="20"/>
  <c r="C103" i="20"/>
  <c r="C102" i="20"/>
  <c r="C101" i="20"/>
  <c r="C100" i="20"/>
  <c r="B64" i="20"/>
  <c r="B51" i="20"/>
  <c r="C46" i="20"/>
  <c r="C59" i="20"/>
  <c r="C82" i="20"/>
  <c r="C78" i="20"/>
  <c r="C80" i="20"/>
  <c r="C79" i="20"/>
  <c r="C74" i="20"/>
  <c r="C69" i="20"/>
  <c r="C68" i="20"/>
  <c r="C67" i="20"/>
  <c r="C63" i="20"/>
  <c r="C62" i="20"/>
  <c r="C61" i="20"/>
  <c r="C48" i="20"/>
  <c r="C56" i="20"/>
  <c r="C55" i="20"/>
  <c r="C54" i="20"/>
  <c r="C49" i="20"/>
  <c r="C50" i="20"/>
  <c r="C40" i="20"/>
  <c r="H27" i="20"/>
  <c r="G27" i="20"/>
  <c r="F27" i="20"/>
  <c r="E27" i="20"/>
  <c r="D27" i="20"/>
  <c r="C30" i="20"/>
  <c r="M21" i="21"/>
  <c r="N25" i="21"/>
  <c r="N28" i="21"/>
  <c r="N26" i="21"/>
  <c r="C12" i="21"/>
  <c r="C10" i="21"/>
  <c r="P12" i="21"/>
  <c r="C29" i="20"/>
  <c r="B24" i="20"/>
  <c r="P14" i="21"/>
  <c r="P15" i="21"/>
  <c r="P16" i="21"/>
  <c r="N34" i="21"/>
  <c r="P19" i="21"/>
  <c r="P21" i="21"/>
  <c r="C19" i="21"/>
  <c r="H18" i="21"/>
  <c r="I18" i="21"/>
  <c r="R8" i="21"/>
  <c r="R9" i="21"/>
  <c r="R10" i="21"/>
  <c r="R11" i="21"/>
  <c r="R12" i="21"/>
  <c r="R14" i="21"/>
  <c r="R15" i="21"/>
  <c r="R16" i="21"/>
  <c r="N18" i="21"/>
  <c r="R18" i="21"/>
  <c r="R19" i="21"/>
  <c r="R21" i="21"/>
  <c r="Q8" i="21"/>
  <c r="Q9" i="21"/>
  <c r="Q10" i="21"/>
  <c r="Q11" i="21"/>
  <c r="Q12" i="21"/>
  <c r="Q14" i="21"/>
  <c r="Q15" i="21"/>
  <c r="Q16" i="21"/>
  <c r="Q18" i="21"/>
  <c r="Q19" i="21"/>
  <c r="Q21" i="21"/>
  <c r="O21" i="21"/>
  <c r="K18" i="21"/>
  <c r="K19" i="21"/>
  <c r="K10" i="21"/>
  <c r="K11" i="21"/>
  <c r="K12" i="21"/>
  <c r="K14" i="21"/>
  <c r="K15" i="21"/>
  <c r="K8" i="21"/>
  <c r="K9" i="21"/>
  <c r="K16" i="21"/>
  <c r="K21" i="21"/>
  <c r="J8" i="21"/>
  <c r="J9" i="21"/>
  <c r="J10" i="21"/>
  <c r="J11" i="21"/>
  <c r="J12" i="21"/>
  <c r="J14" i="21"/>
  <c r="J15" i="21"/>
  <c r="J16" i="21"/>
  <c r="J18" i="21"/>
  <c r="J19" i="21"/>
  <c r="J21" i="21"/>
  <c r="H21" i="21"/>
  <c r="D21" i="21"/>
  <c r="F21" i="21"/>
  <c r="G25" i="21"/>
  <c r="G28" i="21"/>
  <c r="N30" i="21"/>
  <c r="N19" i="21"/>
  <c r="G18" i="21"/>
  <c r="G17" i="15"/>
  <c r="G17" i="14"/>
  <c r="G19" i="21"/>
  <c r="C18" i="21"/>
  <c r="C16" i="21"/>
  <c r="G30" i="21"/>
  <c r="C8" i="21"/>
  <c r="C9" i="21"/>
  <c r="C11" i="21"/>
  <c r="C14" i="21"/>
  <c r="C15" i="21"/>
  <c r="D7" i="20"/>
  <c r="C7" i="20"/>
  <c r="C5" i="20"/>
  <c r="G31" i="15"/>
  <c r="S28" i="17"/>
  <c r="S27" i="17"/>
  <c r="S27" i="16"/>
  <c r="S8" i="13"/>
  <c r="S9" i="13"/>
  <c r="S10" i="13"/>
  <c r="S11" i="13"/>
  <c r="S12" i="13"/>
  <c r="S14" i="13"/>
  <c r="S15" i="13"/>
  <c r="S16" i="13"/>
  <c r="U18" i="13"/>
  <c r="S23" i="13"/>
  <c r="R18" i="13"/>
  <c r="S22" i="13"/>
  <c r="S26" i="13"/>
  <c r="G28" i="13"/>
  <c r="J8" i="13"/>
  <c r="K8" i="13"/>
  <c r="C8" i="13"/>
  <c r="L8" i="13"/>
  <c r="J9" i="13"/>
  <c r="K9" i="13"/>
  <c r="C9" i="13"/>
  <c r="L9" i="13"/>
  <c r="J10" i="13"/>
  <c r="K10" i="13"/>
  <c r="C10" i="13"/>
  <c r="L10" i="13"/>
  <c r="J11" i="13"/>
  <c r="K11" i="13"/>
  <c r="C11" i="13"/>
  <c r="L11" i="13"/>
  <c r="J12" i="13"/>
  <c r="K12" i="13"/>
  <c r="C12" i="13"/>
  <c r="L12" i="13"/>
  <c r="J14" i="13"/>
  <c r="K14" i="13"/>
  <c r="C14" i="13"/>
  <c r="L14" i="13"/>
  <c r="J15" i="13"/>
  <c r="K15" i="13"/>
  <c r="C15" i="13"/>
  <c r="L15" i="13"/>
  <c r="J16" i="13"/>
  <c r="K16" i="13"/>
  <c r="C16" i="13"/>
  <c r="L16" i="13"/>
  <c r="L18" i="13"/>
  <c r="S28" i="13"/>
  <c r="V8" i="13"/>
  <c r="V9" i="13"/>
  <c r="V10" i="13"/>
  <c r="V11" i="13"/>
  <c r="V12" i="13"/>
  <c r="V14" i="13"/>
  <c r="V15" i="13"/>
  <c r="V16" i="13"/>
  <c r="V18" i="13"/>
  <c r="S24" i="13"/>
  <c r="S27" i="13"/>
  <c r="G26" i="13"/>
  <c r="G27" i="13"/>
  <c r="G26" i="16"/>
  <c r="G27" i="16"/>
  <c r="G27" i="17"/>
  <c r="G28" i="17"/>
  <c r="S8" i="17"/>
  <c r="S9" i="17"/>
  <c r="S10" i="17"/>
  <c r="S11" i="17"/>
  <c r="S12" i="17"/>
  <c r="S14" i="17"/>
  <c r="S15" i="17"/>
  <c r="S16" i="17"/>
  <c r="R18" i="17"/>
  <c r="S22" i="17"/>
  <c r="F18" i="17"/>
  <c r="G22" i="17"/>
  <c r="G29" i="17"/>
  <c r="T18" i="17"/>
  <c r="S18" i="17"/>
  <c r="J8" i="17"/>
  <c r="K8" i="17"/>
  <c r="C8" i="17"/>
  <c r="L8" i="17"/>
  <c r="N8" i="17"/>
  <c r="J9" i="17"/>
  <c r="K9" i="17"/>
  <c r="C9" i="17"/>
  <c r="L9" i="17"/>
  <c r="N9" i="17"/>
  <c r="J10" i="17"/>
  <c r="K10" i="17"/>
  <c r="C10" i="17"/>
  <c r="L10" i="17"/>
  <c r="N10" i="17"/>
  <c r="J11" i="17"/>
  <c r="K11" i="17"/>
  <c r="C11" i="17"/>
  <c r="L11" i="17"/>
  <c r="N11" i="17"/>
  <c r="J12" i="17"/>
  <c r="K12" i="17"/>
  <c r="C12" i="17"/>
  <c r="L12" i="17"/>
  <c r="N12" i="17"/>
  <c r="J14" i="17"/>
  <c r="K14" i="17"/>
  <c r="C14" i="17"/>
  <c r="L14" i="17"/>
  <c r="N14" i="17"/>
  <c r="J15" i="17"/>
  <c r="K15" i="17"/>
  <c r="C15" i="17"/>
  <c r="L15" i="17"/>
  <c r="N15" i="17"/>
  <c r="J16" i="17"/>
  <c r="K16" i="17"/>
  <c r="C16" i="17"/>
  <c r="L16" i="17"/>
  <c r="N16" i="17"/>
  <c r="N18" i="17"/>
  <c r="L18" i="17"/>
  <c r="M8" i="17"/>
  <c r="M9" i="17"/>
  <c r="M10" i="17"/>
  <c r="M11" i="17"/>
  <c r="M12" i="17"/>
  <c r="M14" i="17"/>
  <c r="M15" i="17"/>
  <c r="M16" i="17"/>
  <c r="M18" i="17"/>
  <c r="K18" i="17"/>
  <c r="D18" i="17"/>
  <c r="R18" i="16"/>
  <c r="S22" i="16"/>
  <c r="S8" i="16"/>
  <c r="G28" i="16"/>
  <c r="J8" i="16"/>
  <c r="K8" i="16"/>
  <c r="C8" i="16"/>
  <c r="L8" i="16"/>
  <c r="J9" i="16"/>
  <c r="K9" i="16"/>
  <c r="C9" i="16"/>
  <c r="L9" i="16"/>
  <c r="J10" i="16"/>
  <c r="K10" i="16"/>
  <c r="C10" i="16"/>
  <c r="L10" i="16"/>
  <c r="J11" i="16"/>
  <c r="K11" i="16"/>
  <c r="C11" i="16"/>
  <c r="L11" i="16"/>
  <c r="J12" i="16"/>
  <c r="K12" i="16"/>
  <c r="C12" i="16"/>
  <c r="L12" i="16"/>
  <c r="J14" i="16"/>
  <c r="K14" i="16"/>
  <c r="C14" i="16"/>
  <c r="L14" i="16"/>
  <c r="J15" i="16"/>
  <c r="K15" i="16"/>
  <c r="C15" i="16"/>
  <c r="L15" i="16"/>
  <c r="J16" i="16"/>
  <c r="K16" i="16"/>
  <c r="C16" i="16"/>
  <c r="L16" i="16"/>
  <c r="L18" i="16"/>
  <c r="S9" i="16"/>
  <c r="S10" i="16"/>
  <c r="S11" i="16"/>
  <c r="S12" i="16"/>
  <c r="S14" i="16"/>
  <c r="S15" i="16"/>
  <c r="S16" i="16"/>
  <c r="F18" i="16"/>
  <c r="G22" i="16"/>
  <c r="T18" i="16"/>
  <c r="S18" i="16"/>
  <c r="N8" i="16"/>
  <c r="N9" i="16"/>
  <c r="N10" i="16"/>
  <c r="N11" i="16"/>
  <c r="N12" i="16"/>
  <c r="N14" i="16"/>
  <c r="N15" i="16"/>
  <c r="N16" i="16"/>
  <c r="N18" i="16"/>
  <c r="M8" i="16"/>
  <c r="M9" i="16"/>
  <c r="M10" i="16"/>
  <c r="M11" i="16"/>
  <c r="M12" i="16"/>
  <c r="M14" i="16"/>
  <c r="M15" i="16"/>
  <c r="M16" i="16"/>
  <c r="M18" i="16"/>
  <c r="K18" i="16"/>
  <c r="D18" i="16"/>
  <c r="W15" i="13"/>
  <c r="W14" i="13"/>
  <c r="W11" i="13"/>
  <c r="W10" i="13"/>
  <c r="W9" i="13"/>
  <c r="W8" i="13"/>
  <c r="W12" i="13"/>
  <c r="W16" i="13"/>
  <c r="T18" i="13"/>
  <c r="Y18" i="13"/>
  <c r="AB8" i="13"/>
  <c r="AB9" i="13"/>
  <c r="AB10" i="13"/>
  <c r="AB11" i="13"/>
  <c r="AB12" i="13"/>
  <c r="AB14" i="13"/>
  <c r="AB15" i="13"/>
  <c r="AB16" i="13"/>
  <c r="AB18" i="13"/>
  <c r="N8" i="13"/>
  <c r="N9" i="13"/>
  <c r="N10" i="13"/>
  <c r="N11" i="13"/>
  <c r="N12" i="13"/>
  <c r="N14" i="13"/>
  <c r="N15" i="13"/>
  <c r="N16" i="13"/>
  <c r="N18" i="13"/>
  <c r="S18" i="13"/>
  <c r="G24" i="15"/>
  <c r="F19" i="15"/>
  <c r="G23" i="15"/>
  <c r="G26" i="15"/>
  <c r="G27" i="15"/>
  <c r="G28" i="15"/>
  <c r="G8" i="15"/>
  <c r="H8" i="15"/>
  <c r="C8" i="15"/>
  <c r="I8" i="15"/>
  <c r="K8" i="15"/>
  <c r="G9" i="15"/>
  <c r="H9" i="15"/>
  <c r="C9" i="15"/>
  <c r="I9" i="15"/>
  <c r="K9" i="15"/>
  <c r="G10" i="15"/>
  <c r="H10" i="15"/>
  <c r="C10" i="15"/>
  <c r="I10" i="15"/>
  <c r="K10" i="15"/>
  <c r="G11" i="15"/>
  <c r="H11" i="15"/>
  <c r="C11" i="15"/>
  <c r="I11" i="15"/>
  <c r="K11" i="15"/>
  <c r="G12" i="15"/>
  <c r="H12" i="15"/>
  <c r="C12" i="15"/>
  <c r="I12" i="15"/>
  <c r="K12" i="15"/>
  <c r="G14" i="15"/>
  <c r="H14" i="15"/>
  <c r="C14" i="15"/>
  <c r="I14" i="15"/>
  <c r="K14" i="15"/>
  <c r="G15" i="15"/>
  <c r="H15" i="15"/>
  <c r="C15" i="15"/>
  <c r="I15" i="15"/>
  <c r="K15" i="15"/>
  <c r="H17" i="15"/>
  <c r="C17" i="15"/>
  <c r="I17" i="15"/>
  <c r="K17" i="15"/>
  <c r="K19" i="15"/>
  <c r="I19" i="15"/>
  <c r="J8" i="15"/>
  <c r="J9" i="15"/>
  <c r="J10" i="15"/>
  <c r="J11" i="15"/>
  <c r="J12" i="15"/>
  <c r="J14" i="15"/>
  <c r="J15" i="15"/>
  <c r="J17" i="15"/>
  <c r="J19" i="15"/>
  <c r="H19" i="15"/>
  <c r="D19" i="15"/>
  <c r="G27" i="14"/>
  <c r="G31" i="14"/>
  <c r="G24" i="14"/>
  <c r="H17" i="14"/>
  <c r="I17" i="14"/>
  <c r="K17" i="14"/>
  <c r="G8" i="14"/>
  <c r="H8" i="14"/>
  <c r="I8" i="14"/>
  <c r="G9" i="14"/>
  <c r="H9" i="14"/>
  <c r="I9" i="14"/>
  <c r="G10" i="14"/>
  <c r="H10" i="14"/>
  <c r="I10" i="14"/>
  <c r="G11" i="14"/>
  <c r="H11" i="14"/>
  <c r="I11" i="14"/>
  <c r="G12" i="14"/>
  <c r="H12" i="14"/>
  <c r="I12" i="14"/>
  <c r="G14" i="14"/>
  <c r="H14" i="14"/>
  <c r="I14" i="14"/>
  <c r="G15" i="14"/>
  <c r="H15" i="14"/>
  <c r="I15" i="14"/>
  <c r="I19" i="14"/>
  <c r="J17" i="14"/>
  <c r="C17" i="14"/>
  <c r="F19" i="14"/>
  <c r="H19" i="14"/>
  <c r="K8" i="14"/>
  <c r="K9" i="14"/>
  <c r="K10" i="14"/>
  <c r="K11" i="14"/>
  <c r="K12" i="14"/>
  <c r="K14" i="14"/>
  <c r="K15" i="14"/>
  <c r="K19" i="14"/>
  <c r="J8" i="14"/>
  <c r="J9" i="14"/>
  <c r="J10" i="14"/>
  <c r="J11" i="14"/>
  <c r="J12" i="14"/>
  <c r="J14" i="14"/>
  <c r="J15" i="14"/>
  <c r="J19" i="14"/>
  <c r="D19" i="14"/>
  <c r="G23" i="14"/>
  <c r="G26" i="14"/>
  <c r="G28" i="14"/>
  <c r="C8" i="14"/>
  <c r="C9" i="14"/>
  <c r="C10" i="14"/>
  <c r="C11" i="14"/>
  <c r="C12" i="14"/>
  <c r="C14" i="14"/>
  <c r="C15" i="14"/>
  <c r="M16" i="13"/>
  <c r="M8" i="13"/>
  <c r="M9" i="13"/>
  <c r="M10" i="13"/>
  <c r="M11" i="13"/>
  <c r="M12" i="13"/>
  <c r="M14" i="13"/>
  <c r="M15" i="13"/>
  <c r="M18" i="13"/>
  <c r="F18" i="13"/>
  <c r="D18" i="13"/>
  <c r="G22" i="13"/>
  <c r="K18" i="13"/>
  <c r="G25" i="12"/>
  <c r="G23" i="12"/>
  <c r="F17" i="12"/>
  <c r="G21" i="12"/>
  <c r="G24" i="12"/>
  <c r="J8" i="12"/>
  <c r="K8" i="12"/>
  <c r="C8" i="12"/>
  <c r="L8" i="12"/>
  <c r="N8" i="12"/>
  <c r="J9" i="12"/>
  <c r="K9" i="12"/>
  <c r="C9" i="12"/>
  <c r="L9" i="12"/>
  <c r="N9" i="12"/>
  <c r="J10" i="12"/>
  <c r="K10" i="12"/>
  <c r="C10" i="12"/>
  <c r="L10" i="12"/>
  <c r="N10" i="12"/>
  <c r="J11" i="12"/>
  <c r="K11" i="12"/>
  <c r="C11" i="12"/>
  <c r="L11" i="12"/>
  <c r="N11" i="12"/>
  <c r="J12" i="12"/>
  <c r="K12" i="12"/>
  <c r="C12" i="12"/>
  <c r="L12" i="12"/>
  <c r="N12" i="12"/>
  <c r="J14" i="12"/>
  <c r="K14" i="12"/>
  <c r="C14" i="12"/>
  <c r="L14" i="12"/>
  <c r="N14" i="12"/>
  <c r="J15" i="12"/>
  <c r="K15" i="12"/>
  <c r="C15" i="12"/>
  <c r="L15" i="12"/>
  <c r="N15" i="12"/>
  <c r="N17" i="12"/>
  <c r="L17" i="12"/>
  <c r="M8" i="12"/>
  <c r="M9" i="12"/>
  <c r="M10" i="12"/>
  <c r="M11" i="12"/>
  <c r="M12" i="12"/>
  <c r="M14" i="12"/>
  <c r="M15" i="12"/>
  <c r="M17" i="12"/>
  <c r="K17" i="12"/>
  <c r="D17" i="12"/>
  <c r="N25" i="11"/>
  <c r="N14" i="11"/>
  <c r="N16" i="11"/>
  <c r="O16" i="11"/>
  <c r="P16" i="11"/>
  <c r="N15" i="11"/>
  <c r="O15" i="11"/>
  <c r="P15" i="11"/>
  <c r="O14" i="11"/>
  <c r="P14" i="11"/>
  <c r="N12" i="11"/>
  <c r="O12" i="11"/>
  <c r="P12" i="11"/>
  <c r="N11" i="11"/>
  <c r="O11" i="11"/>
  <c r="P11" i="11"/>
  <c r="N10" i="11"/>
  <c r="O10" i="11"/>
  <c r="P10" i="11"/>
  <c r="N9" i="11"/>
  <c r="O9" i="11"/>
  <c r="P9" i="11"/>
  <c r="N8" i="11"/>
  <c r="O8" i="11"/>
  <c r="P8" i="11"/>
  <c r="P18" i="11"/>
  <c r="Q8" i="11"/>
  <c r="Q9" i="11"/>
  <c r="Q10" i="11"/>
  <c r="Q11" i="11"/>
  <c r="Q12" i="11"/>
  <c r="Q14" i="11"/>
  <c r="Q15" i="11"/>
  <c r="Q16" i="11"/>
  <c r="Q18" i="11"/>
  <c r="O18" i="11"/>
  <c r="R8" i="11"/>
  <c r="R9" i="11"/>
  <c r="R10" i="11"/>
  <c r="R11" i="11"/>
  <c r="R12" i="11"/>
  <c r="R14" i="11"/>
  <c r="R15" i="11"/>
  <c r="R16" i="11"/>
  <c r="R18" i="11"/>
  <c r="M18" i="11"/>
  <c r="J18" i="11"/>
  <c r="K18" i="11"/>
  <c r="I18" i="11"/>
  <c r="H18" i="11"/>
  <c r="F18" i="11"/>
  <c r="D18" i="11"/>
  <c r="G16" i="11"/>
  <c r="H16" i="11"/>
  <c r="C16" i="11"/>
  <c r="I16" i="11"/>
  <c r="J16" i="11"/>
  <c r="J8" i="11"/>
  <c r="J9" i="11"/>
  <c r="J10" i="11"/>
  <c r="J11" i="11"/>
  <c r="J12" i="11"/>
  <c r="J14" i="11"/>
  <c r="J15" i="11"/>
  <c r="K16" i="11"/>
  <c r="G25" i="11"/>
  <c r="G8" i="11"/>
  <c r="H8" i="11"/>
  <c r="C8" i="11"/>
  <c r="I8" i="11"/>
  <c r="G9" i="11"/>
  <c r="H9" i="11"/>
  <c r="C9" i="11"/>
  <c r="I9" i="11"/>
  <c r="G10" i="11"/>
  <c r="H10" i="11"/>
  <c r="C10" i="11"/>
  <c r="I10" i="11"/>
  <c r="G11" i="11"/>
  <c r="H11" i="11"/>
  <c r="C11" i="11"/>
  <c r="I11" i="11"/>
  <c r="G12" i="11"/>
  <c r="H12" i="11"/>
  <c r="C12" i="11"/>
  <c r="I12" i="11"/>
  <c r="G14" i="11"/>
  <c r="H14" i="11"/>
  <c r="C14" i="11"/>
  <c r="I14" i="11"/>
  <c r="G15" i="11"/>
  <c r="H15" i="11"/>
  <c r="C15" i="11"/>
  <c r="I15" i="11"/>
  <c r="N22" i="11"/>
  <c r="N24" i="11"/>
  <c r="N26" i="11"/>
  <c r="G22" i="11"/>
  <c r="G24" i="11"/>
  <c r="G26" i="11"/>
  <c r="K8" i="11"/>
  <c r="K9" i="11"/>
  <c r="K10" i="11"/>
  <c r="K11" i="11"/>
  <c r="K12" i="11"/>
  <c r="K14" i="11"/>
  <c r="K15" i="11"/>
  <c r="G24" i="10"/>
  <c r="G8" i="10"/>
  <c r="H8" i="10"/>
  <c r="C8" i="10"/>
  <c r="I8" i="10"/>
  <c r="G9" i="10"/>
  <c r="H9" i="10"/>
  <c r="C9" i="10"/>
  <c r="I9" i="10"/>
  <c r="G10" i="10"/>
  <c r="H10" i="10"/>
  <c r="C10" i="10"/>
  <c r="I10" i="10"/>
  <c r="G11" i="10"/>
  <c r="H11" i="10"/>
  <c r="C11" i="10"/>
  <c r="I11" i="10"/>
  <c r="G12" i="10"/>
  <c r="H12" i="10"/>
  <c r="C12" i="10"/>
  <c r="I12" i="10"/>
  <c r="G14" i="10"/>
  <c r="H14" i="10"/>
  <c r="C14" i="10"/>
  <c r="I14" i="10"/>
  <c r="G15" i="10"/>
  <c r="H15" i="10"/>
  <c r="C15" i="10"/>
  <c r="I15" i="10"/>
  <c r="I17" i="10"/>
  <c r="J8" i="10"/>
  <c r="J9" i="10"/>
  <c r="J10" i="10"/>
  <c r="J11" i="10"/>
  <c r="J12" i="10"/>
  <c r="J14" i="10"/>
  <c r="J15" i="10"/>
  <c r="J17" i="10"/>
  <c r="K15" i="10"/>
  <c r="K14" i="10"/>
  <c r="K12" i="10"/>
  <c r="K11" i="10"/>
  <c r="K10" i="10"/>
  <c r="K9" i="10"/>
  <c r="K8" i="10"/>
  <c r="F17" i="10"/>
  <c r="G21" i="10"/>
  <c r="G23" i="10"/>
  <c r="G25" i="10"/>
  <c r="K17" i="10"/>
  <c r="H17" i="10"/>
  <c r="D17" i="10"/>
  <c r="D35" i="24"/>
  <c r="E35" i="24"/>
  <c r="F35" i="24"/>
  <c r="G35" i="24"/>
  <c r="H35" i="24"/>
  <c r="I35" i="24"/>
  <c r="E96" i="24"/>
  <c r="E97" i="24"/>
  <c r="F96" i="24"/>
  <c r="F97" i="24"/>
  <c r="G96" i="24"/>
  <c r="G97" i="24"/>
  <c r="H96" i="24"/>
  <c r="H97" i="24"/>
  <c r="I96" i="24"/>
  <c r="I97" i="24"/>
  <c r="E61" i="24"/>
  <c r="F61" i="24"/>
  <c r="G61" i="24"/>
  <c r="H61" i="24"/>
  <c r="I61" i="24"/>
  <c r="D61" i="24"/>
  <c r="I98" i="24"/>
  <c r="H98" i="24"/>
  <c r="G98" i="24"/>
  <c r="F98" i="24"/>
  <c r="E98" i="24"/>
  <c r="D98" i="24"/>
  <c r="D65" i="20"/>
  <c r="D72" i="20"/>
  <c r="D78" i="20"/>
  <c r="D66" i="20"/>
  <c r="D76" i="20"/>
  <c r="D77" i="20"/>
  <c r="D80" i="20"/>
  <c r="D79" i="20"/>
  <c r="D67" i="20"/>
  <c r="D68" i="20"/>
  <c r="D55" i="20"/>
  <c r="D82" i="20"/>
  <c r="D83" i="20"/>
  <c r="E65" i="20"/>
  <c r="E72" i="20"/>
  <c r="E78" i="20"/>
  <c r="E66" i="20"/>
  <c r="E76" i="20"/>
  <c r="E77" i="20"/>
  <c r="E80" i="20"/>
  <c r="E79" i="20"/>
  <c r="E67" i="20"/>
  <c r="E68" i="20"/>
  <c r="E55" i="20"/>
  <c r="E82" i="20"/>
  <c r="E83" i="20"/>
  <c r="F95" i="20"/>
  <c r="F65" i="20"/>
  <c r="F66" i="20"/>
  <c r="F67" i="20"/>
  <c r="F72" i="20"/>
  <c r="F78" i="20"/>
  <c r="F76" i="20"/>
  <c r="F77" i="20"/>
  <c r="F80" i="20"/>
  <c r="F79" i="20"/>
  <c r="F68" i="20"/>
  <c r="F55" i="20"/>
  <c r="F82" i="20"/>
  <c r="F83" i="20"/>
  <c r="G95" i="20"/>
  <c r="G65" i="20"/>
  <c r="G66" i="20"/>
  <c r="G67" i="20"/>
  <c r="G72" i="20"/>
  <c r="G78" i="20"/>
  <c r="G76" i="20"/>
  <c r="G77" i="20"/>
  <c r="G80" i="20"/>
  <c r="G79" i="20"/>
  <c r="G68" i="20"/>
  <c r="G55" i="20"/>
  <c r="G82" i="20"/>
  <c r="G83" i="20"/>
  <c r="H65" i="20"/>
  <c r="H66" i="20"/>
  <c r="H67" i="20"/>
  <c r="H72" i="20"/>
  <c r="H78" i="20"/>
  <c r="H76" i="20"/>
  <c r="H77" i="20"/>
  <c r="H80" i="20"/>
  <c r="H79" i="20"/>
  <c r="H68" i="20"/>
  <c r="H55" i="20"/>
  <c r="H82" i="20"/>
  <c r="H83" i="20"/>
  <c r="D11" i="20"/>
  <c r="D56" i="20"/>
  <c r="E56" i="20"/>
  <c r="F56" i="20"/>
  <c r="G56" i="20"/>
  <c r="H56" i="20"/>
  <c r="D69" i="20"/>
  <c r="E69" i="20"/>
  <c r="F69" i="20"/>
  <c r="G69" i="20"/>
  <c r="H69" i="20"/>
  <c r="D73" i="20"/>
  <c r="E73" i="20"/>
  <c r="F73" i="20"/>
  <c r="G73" i="20"/>
  <c r="H73" i="20"/>
  <c r="D74" i="20"/>
  <c r="E74" i="20"/>
  <c r="F74" i="20"/>
  <c r="G74" i="20"/>
  <c r="H74" i="20"/>
  <c r="D86" i="20"/>
  <c r="E86" i="20"/>
  <c r="F86" i="20"/>
  <c r="G86" i="20"/>
  <c r="H86" i="20"/>
  <c r="D87" i="20"/>
  <c r="E87" i="20"/>
  <c r="F87" i="20"/>
  <c r="G87" i="20"/>
  <c r="H87" i="20"/>
  <c r="D88" i="20"/>
  <c r="E88" i="20"/>
  <c r="F88" i="20"/>
  <c r="G88" i="20"/>
  <c r="H88" i="20"/>
  <c r="D89" i="20"/>
  <c r="E89" i="20"/>
  <c r="F89" i="20"/>
  <c r="G89" i="20"/>
  <c r="H89" i="20"/>
  <c r="D95" i="20"/>
  <c r="E95" i="20"/>
  <c r="D100" i="20"/>
  <c r="E100" i="20"/>
  <c r="F100" i="20"/>
  <c r="G100" i="20"/>
  <c r="H100" i="20"/>
  <c r="D101" i="20"/>
  <c r="E101" i="20"/>
  <c r="F101" i="20"/>
  <c r="G101" i="20"/>
  <c r="H101" i="20"/>
  <c r="D102" i="20"/>
  <c r="E102" i="20"/>
  <c r="F102" i="20"/>
  <c r="G102" i="20"/>
  <c r="H102" i="20"/>
  <c r="D103" i="20"/>
  <c r="E103" i="20"/>
  <c r="F103" i="20"/>
  <c r="G103" i="20"/>
  <c r="H103" i="20"/>
  <c r="D104" i="20"/>
  <c r="E104" i="20"/>
  <c r="F104" i="20"/>
  <c r="G104" i="20"/>
  <c r="H104" i="20"/>
  <c r="D105" i="20"/>
  <c r="E105" i="20"/>
  <c r="F105" i="20"/>
  <c r="G105" i="20"/>
  <c r="H105" i="20"/>
  <c r="D106" i="20"/>
  <c r="E106" i="20"/>
  <c r="F106" i="20"/>
  <c r="G106" i="20"/>
  <c r="H106" i="20"/>
  <c r="D107" i="20"/>
  <c r="E107" i="20"/>
  <c r="F107" i="20"/>
  <c r="G107" i="20"/>
  <c r="H107" i="20"/>
  <c r="D108" i="20"/>
  <c r="E108" i="20"/>
  <c r="F108" i="20"/>
  <c r="G108" i="20"/>
  <c r="H108" i="20"/>
  <c r="D113" i="20"/>
  <c r="E113" i="20"/>
  <c r="F113" i="20"/>
  <c r="G113" i="20"/>
  <c r="H113" i="20"/>
  <c r="D114" i="20"/>
  <c r="E114" i="20"/>
  <c r="F114" i="20"/>
  <c r="G114" i="20"/>
  <c r="H114" i="20"/>
  <c r="D115" i="20"/>
  <c r="E115" i="20"/>
  <c r="F115" i="20"/>
  <c r="G115" i="20"/>
  <c r="H115" i="20"/>
  <c r="D116" i="20"/>
  <c r="E116" i="20"/>
  <c r="F116" i="20"/>
  <c r="G116" i="20"/>
  <c r="H116" i="20"/>
  <c r="D117" i="20"/>
  <c r="E117" i="20"/>
  <c r="F117" i="20"/>
  <c r="G117" i="20"/>
  <c r="H117" i="20"/>
  <c r="D118" i="20"/>
  <c r="E118" i="20"/>
  <c r="F118" i="20"/>
  <c r="G118" i="20"/>
  <c r="H118" i="20"/>
  <c r="D119" i="20"/>
  <c r="E119" i="20"/>
  <c r="F119" i="20"/>
  <c r="G119" i="20"/>
  <c r="H119" i="20"/>
  <c r="D120" i="20"/>
  <c r="E120" i="20"/>
  <c r="F120" i="20"/>
  <c r="G120" i="20"/>
  <c r="H120" i="20"/>
  <c r="D121" i="20"/>
  <c r="E121" i="20"/>
  <c r="F121" i="20"/>
  <c r="G121" i="20"/>
  <c r="H121" i="20"/>
  <c r="W8" i="27"/>
  <c r="Y8" i="27"/>
  <c r="Z8" i="27"/>
  <c r="W9" i="27"/>
  <c r="Y9" i="27"/>
  <c r="Z9" i="27"/>
  <c r="W10" i="27"/>
  <c r="Y10" i="27"/>
  <c r="Z10" i="27"/>
  <c r="W11" i="27"/>
  <c r="Y11" i="27"/>
  <c r="Z11" i="27"/>
  <c r="W12" i="27"/>
  <c r="Y12" i="27"/>
  <c r="Z12" i="27"/>
  <c r="W14" i="27"/>
  <c r="X14" i="27"/>
  <c r="Y14" i="27"/>
  <c r="Z14" i="27"/>
  <c r="W15" i="27"/>
  <c r="X15" i="27"/>
  <c r="Y15" i="27"/>
  <c r="Z15" i="27"/>
  <c r="W16" i="27"/>
  <c r="Y16" i="27"/>
  <c r="Z16" i="27"/>
  <c r="S37" i="27"/>
  <c r="Y19" i="27"/>
  <c r="Z19" i="27"/>
  <c r="Z21" i="27"/>
  <c r="AA8" i="27"/>
  <c r="AB8" i="27"/>
  <c r="AC8" i="27"/>
  <c r="AC9" i="27"/>
  <c r="AC10" i="27"/>
  <c r="AC11" i="27"/>
  <c r="AC12" i="27"/>
  <c r="AC14" i="27"/>
  <c r="AC15" i="27"/>
  <c r="AC16" i="27"/>
  <c r="AC18" i="27"/>
  <c r="AC19" i="27"/>
  <c r="AC21" i="27"/>
  <c r="AD8" i="27"/>
  <c r="AA9" i="27"/>
  <c r="AB9" i="27"/>
  <c r="AD9" i="27"/>
  <c r="AA10" i="27"/>
  <c r="AB10" i="27"/>
  <c r="AD10" i="27"/>
  <c r="AA11" i="27"/>
  <c r="AB11" i="27"/>
  <c r="AD11" i="27"/>
  <c r="AA12" i="27"/>
  <c r="AB12" i="27"/>
  <c r="AD12" i="27"/>
  <c r="AA14" i="27"/>
  <c r="AB14" i="27"/>
  <c r="AD14" i="27"/>
  <c r="AA15" i="27"/>
  <c r="AB15" i="27"/>
  <c r="AD15" i="27"/>
  <c r="AA16" i="27"/>
  <c r="AB16" i="27"/>
  <c r="AD16" i="27"/>
  <c r="W18" i="27"/>
  <c r="AA18" i="27"/>
  <c r="AB18" i="27"/>
  <c r="AD18" i="27"/>
  <c r="W19" i="27"/>
  <c r="AA19" i="27"/>
  <c r="AB19" i="27"/>
  <c r="AD19" i="27"/>
  <c r="Y21" i="27"/>
  <c r="AA21" i="27"/>
  <c r="AB21" i="27"/>
  <c r="AD21" i="27"/>
  <c r="S43" i="27"/>
  <c r="V8" i="17"/>
  <c r="V9" i="17"/>
  <c r="V10" i="17"/>
  <c r="V11" i="17"/>
  <c r="V12" i="17"/>
  <c r="V14" i="17"/>
  <c r="V15" i="17"/>
  <c r="V16" i="17"/>
  <c r="V18" i="17"/>
  <c r="S24" i="17"/>
  <c r="S25" i="17"/>
  <c r="S29" i="17"/>
  <c r="W15" i="17"/>
  <c r="X15" i="17"/>
  <c r="X19" i="17"/>
  <c r="W8" i="17"/>
  <c r="Y8" i="17"/>
  <c r="Z8" i="17"/>
  <c r="AC8" i="17"/>
  <c r="W9" i="17"/>
  <c r="Y9" i="17"/>
  <c r="Z9" i="17"/>
  <c r="AC9" i="17"/>
  <c r="W10" i="17"/>
  <c r="Y10" i="17"/>
  <c r="Z10" i="17"/>
  <c r="AC10" i="17"/>
  <c r="W11" i="17"/>
  <c r="Y11" i="17"/>
  <c r="Z11" i="17"/>
  <c r="AC11" i="17"/>
  <c r="W12" i="17"/>
  <c r="Y12" i="17"/>
  <c r="Z12" i="17"/>
  <c r="AC12" i="17"/>
  <c r="W14" i="17"/>
  <c r="X14" i="17"/>
  <c r="Y14" i="17"/>
  <c r="Z14" i="17"/>
  <c r="AC14" i="17"/>
  <c r="Y15" i="17"/>
  <c r="Z15" i="17"/>
  <c r="AC15" i="17"/>
  <c r="W16" i="17"/>
  <c r="Y16" i="17"/>
  <c r="Z16" i="17"/>
  <c r="AC16" i="17"/>
  <c r="AC18" i="17"/>
  <c r="AD8" i="17"/>
  <c r="AD9" i="17"/>
  <c r="AD10" i="17"/>
  <c r="AD11" i="17"/>
  <c r="AD12" i="17"/>
  <c r="AD14" i="17"/>
  <c r="AD15" i="17"/>
  <c r="AD16" i="17"/>
  <c r="AD18" i="17"/>
  <c r="AB8" i="17"/>
  <c r="AB9" i="17"/>
  <c r="AB10" i="17"/>
  <c r="AB11" i="17"/>
  <c r="AB12" i="17"/>
  <c r="AB14" i="17"/>
  <c r="AB15" i="17"/>
  <c r="AB16" i="17"/>
  <c r="AB18" i="17"/>
  <c r="Z18" i="17"/>
  <c r="AA8" i="17"/>
  <c r="AA9" i="17"/>
  <c r="AA10" i="17"/>
  <c r="AA11" i="17"/>
  <c r="AA12" i="17"/>
  <c r="AA14" i="17"/>
  <c r="AA15" i="17"/>
  <c r="AA16" i="17"/>
  <c r="AA18" i="17"/>
  <c r="Y18" i="17"/>
  <c r="V8" i="16"/>
  <c r="V9" i="16"/>
  <c r="V10" i="16"/>
  <c r="V11" i="16"/>
  <c r="V12" i="16"/>
  <c r="V14" i="16"/>
  <c r="V15" i="16"/>
  <c r="V16" i="16"/>
  <c r="V18" i="16"/>
  <c r="S24" i="16"/>
  <c r="S25" i="16"/>
  <c r="S28" i="16"/>
  <c r="W8" i="16"/>
  <c r="Y8" i="16"/>
  <c r="Z8" i="16"/>
  <c r="AC8" i="16"/>
  <c r="W9" i="16"/>
  <c r="Y9" i="16"/>
  <c r="Z9" i="16"/>
  <c r="AC9" i="16"/>
  <c r="W10" i="16"/>
  <c r="Y10" i="16"/>
  <c r="Z10" i="16"/>
  <c r="AC10" i="16"/>
  <c r="W11" i="16"/>
  <c r="Y11" i="16"/>
  <c r="Z11" i="16"/>
  <c r="AC11" i="16"/>
  <c r="W12" i="16"/>
  <c r="Y12" i="16"/>
  <c r="Z12" i="16"/>
  <c r="AC12" i="16"/>
  <c r="W14" i="16"/>
  <c r="X14" i="16"/>
  <c r="Y14" i="16"/>
  <c r="Z14" i="16"/>
  <c r="AC14" i="16"/>
  <c r="W15" i="16"/>
  <c r="X15" i="16"/>
  <c r="Y15" i="16"/>
  <c r="Z15" i="16"/>
  <c r="AC15" i="16"/>
  <c r="W16" i="16"/>
  <c r="Y16" i="16"/>
  <c r="Z16" i="16"/>
  <c r="AC16" i="16"/>
  <c r="AC18" i="16"/>
  <c r="AD8" i="16"/>
  <c r="AD9" i="16"/>
  <c r="AD10" i="16"/>
  <c r="AD11" i="16"/>
  <c r="AD12" i="16"/>
  <c r="AD14" i="16"/>
  <c r="AD15" i="16"/>
  <c r="AD16" i="16"/>
  <c r="AD18" i="16"/>
  <c r="AB8" i="16"/>
  <c r="AB9" i="16"/>
  <c r="AB10" i="16"/>
  <c r="AB11" i="16"/>
  <c r="AB12" i="16"/>
  <c r="AB14" i="16"/>
  <c r="AB15" i="16"/>
  <c r="AB16" i="16"/>
  <c r="AB18" i="16"/>
  <c r="Z18" i="16"/>
  <c r="AA8" i="16"/>
  <c r="AA9" i="16"/>
  <c r="AA10" i="16"/>
  <c r="AA11" i="16"/>
  <c r="AA12" i="16"/>
  <c r="AA14" i="16"/>
  <c r="AA15" i="16"/>
  <c r="AA16" i="16"/>
  <c r="AA18" i="16"/>
  <c r="Y18" i="16"/>
  <c r="ES28" i="29"/>
  <c r="EQ28" i="29"/>
  <c r="EQ29" i="29"/>
  <c r="AS28" i="29"/>
  <c r="ER28" i="29"/>
  <c r="ER29" i="29"/>
  <c r="ES29" i="29"/>
  <c r="AT34" i="29"/>
  <c r="ES34" i="29"/>
  <c r="AR34" i="29"/>
  <c r="AR36" i="29"/>
  <c r="AS34" i="29"/>
  <c r="AS36" i="29"/>
  <c r="AT36" i="29"/>
  <c r="EQ34" i="29"/>
  <c r="EQ36" i="29"/>
  <c r="ER34" i="29"/>
  <c r="ER36" i="29"/>
  <c r="ES36" i="29"/>
  <c r="AR39" i="29"/>
  <c r="AS39" i="29"/>
  <c r="AT39" i="29"/>
  <c r="AT54" i="29"/>
  <c r="ES54" i="29"/>
  <c r="AR54" i="29"/>
  <c r="AR55" i="29"/>
  <c r="AS54" i="29"/>
  <c r="AS55" i="29"/>
  <c r="AT55" i="29"/>
  <c r="EQ54" i="29"/>
  <c r="EQ55" i="29"/>
  <c r="ER54" i="29"/>
  <c r="ER55" i="29"/>
  <c r="ES55" i="29"/>
  <c r="AS29" i="29"/>
  <c r="AM68" i="29"/>
  <c r="AT29" i="29"/>
  <c r="AR29" i="29"/>
  <c r="AM67" i="29"/>
  <c r="AM66" i="29"/>
  <c r="EI40" i="29"/>
  <c r="EH40" i="29"/>
  <c r="EF40" i="29"/>
  <c r="ED40" i="29"/>
  <c r="EB40" i="29"/>
  <c r="EA40" i="29"/>
  <c r="DN40" i="29"/>
  <c r="DM40" i="29"/>
  <c r="DK40" i="29"/>
  <c r="DI40" i="29"/>
  <c r="DG40" i="29"/>
  <c r="DF40" i="29"/>
  <c r="CS40" i="29"/>
  <c r="CR40" i="29"/>
  <c r="CP40" i="29"/>
  <c r="CL40" i="29"/>
  <c r="CK40" i="29"/>
  <c r="BX40" i="29"/>
  <c r="BW40" i="29"/>
  <c r="BU40" i="29"/>
  <c r="BS40" i="29"/>
  <c r="BQ40" i="29"/>
  <c r="BP40" i="29"/>
  <c r="BC40" i="29"/>
  <c r="BB40" i="29"/>
  <c r="AZ40" i="29"/>
  <c r="AX40" i="29"/>
  <c r="AV40" i="29"/>
  <c r="AU40" i="29"/>
  <c r="R73" i="29"/>
  <c r="R85" i="29"/>
  <c r="R86" i="29"/>
  <c r="AB28" i="29"/>
  <c r="AD28" i="29"/>
  <c r="AW27" i="29"/>
  <c r="AE28" i="29"/>
  <c r="AE29" i="29"/>
  <c r="AM61" i="29"/>
  <c r="AM62" i="29"/>
  <c r="AM85" i="29"/>
  <c r="AM86" i="29"/>
  <c r="AW28" i="29"/>
  <c r="AY28" i="29"/>
  <c r="BR27" i="29"/>
  <c r="AU6" i="29"/>
  <c r="AV6" i="29"/>
  <c r="AX6" i="29"/>
  <c r="AZ6" i="29"/>
  <c r="AU8" i="29"/>
  <c r="AV8" i="29"/>
  <c r="AX8" i="29"/>
  <c r="AZ8" i="29"/>
  <c r="AU9" i="29"/>
  <c r="AV9" i="29"/>
  <c r="AX9" i="29"/>
  <c r="AZ9" i="29"/>
  <c r="AU10" i="29"/>
  <c r="AV10" i="29"/>
  <c r="AX10" i="29"/>
  <c r="AZ10" i="29"/>
  <c r="AU11" i="29"/>
  <c r="AV11" i="29"/>
  <c r="AX11" i="29"/>
  <c r="AZ11" i="29"/>
  <c r="AU12" i="29"/>
  <c r="AV12" i="29"/>
  <c r="AX12" i="29"/>
  <c r="AZ12" i="29"/>
  <c r="AU13" i="29"/>
  <c r="AV13" i="29"/>
  <c r="AX13" i="29"/>
  <c r="AZ13" i="29"/>
  <c r="AU14" i="29"/>
  <c r="AV14" i="29"/>
  <c r="AX14" i="29"/>
  <c r="AZ14" i="29"/>
  <c r="AU15" i="29"/>
  <c r="AV15" i="29"/>
  <c r="AX15" i="29"/>
  <c r="AZ15" i="29"/>
  <c r="AU16" i="29"/>
  <c r="AV16" i="29"/>
  <c r="AX16" i="29"/>
  <c r="AZ16" i="29"/>
  <c r="AU17" i="29"/>
  <c r="AV17" i="29"/>
  <c r="AX17" i="29"/>
  <c r="AZ17" i="29"/>
  <c r="AU18" i="29"/>
  <c r="AV18" i="29"/>
  <c r="AX18" i="29"/>
  <c r="AZ18" i="29"/>
  <c r="AU19" i="29"/>
  <c r="AV19" i="29"/>
  <c r="AX19" i="29"/>
  <c r="AZ19" i="29"/>
  <c r="AU20" i="29"/>
  <c r="AV20" i="29"/>
  <c r="AX20" i="29"/>
  <c r="AZ20" i="29"/>
  <c r="AU21" i="29"/>
  <c r="AV21" i="29"/>
  <c r="AX21" i="29"/>
  <c r="AZ21" i="29"/>
  <c r="AU22" i="29"/>
  <c r="AV22" i="29"/>
  <c r="AX22" i="29"/>
  <c r="AZ22" i="29"/>
  <c r="AU23" i="29"/>
  <c r="AV23" i="29"/>
  <c r="AX23" i="29"/>
  <c r="AZ23" i="29"/>
  <c r="AU24" i="29"/>
  <c r="AV24" i="29"/>
  <c r="AX24" i="29"/>
  <c r="AZ24" i="29"/>
  <c r="AU25" i="29"/>
  <c r="AV25" i="29"/>
  <c r="AX25" i="29"/>
  <c r="AZ25" i="29"/>
  <c r="AU26" i="29"/>
  <c r="AV26" i="29"/>
  <c r="AX26" i="29"/>
  <c r="AZ26" i="29"/>
  <c r="AY27" i="29"/>
  <c r="AU27" i="29"/>
  <c r="AV27" i="29"/>
  <c r="AX27" i="29"/>
  <c r="AZ27" i="29"/>
  <c r="AU28" i="29"/>
  <c r="AV28" i="29"/>
  <c r="AX28" i="29"/>
  <c r="AZ28" i="29"/>
  <c r="AZ29" i="29"/>
  <c r="BH61" i="29"/>
  <c r="BH62" i="29"/>
  <c r="BH85" i="29"/>
  <c r="BH86" i="29"/>
  <c r="BR28" i="29"/>
  <c r="BT28" i="29"/>
  <c r="CM27" i="29"/>
  <c r="BP6" i="29"/>
  <c r="BQ6" i="29"/>
  <c r="BS6" i="29"/>
  <c r="BU6" i="29"/>
  <c r="BP8" i="29"/>
  <c r="BQ8" i="29"/>
  <c r="BS8" i="29"/>
  <c r="BU8" i="29"/>
  <c r="BP9" i="29"/>
  <c r="BQ9" i="29"/>
  <c r="BS9" i="29"/>
  <c r="BU9" i="29"/>
  <c r="BP10" i="29"/>
  <c r="BQ10" i="29"/>
  <c r="BS10" i="29"/>
  <c r="BU10" i="29"/>
  <c r="BP11" i="29"/>
  <c r="BQ11" i="29"/>
  <c r="BS11" i="29"/>
  <c r="BU11" i="29"/>
  <c r="BP12" i="29"/>
  <c r="BQ12" i="29"/>
  <c r="BS12" i="29"/>
  <c r="BU12" i="29"/>
  <c r="BP13" i="29"/>
  <c r="BQ13" i="29"/>
  <c r="BS13" i="29"/>
  <c r="BU13" i="29"/>
  <c r="BP14" i="29"/>
  <c r="BQ14" i="29"/>
  <c r="BS14" i="29"/>
  <c r="BU14" i="29"/>
  <c r="BP15" i="29"/>
  <c r="BQ15" i="29"/>
  <c r="BS15" i="29"/>
  <c r="BU15" i="29"/>
  <c r="BP16" i="29"/>
  <c r="BQ16" i="29"/>
  <c r="BS16" i="29"/>
  <c r="BU16" i="29"/>
  <c r="BP17" i="29"/>
  <c r="BQ17" i="29"/>
  <c r="BS17" i="29"/>
  <c r="BU17" i="29"/>
  <c r="BP18" i="29"/>
  <c r="BQ18" i="29"/>
  <c r="BS18" i="29"/>
  <c r="BU18" i="29"/>
  <c r="BP19" i="29"/>
  <c r="BQ19" i="29"/>
  <c r="BS19" i="29"/>
  <c r="BU19" i="29"/>
  <c r="BP20" i="29"/>
  <c r="BQ20" i="29"/>
  <c r="BS20" i="29"/>
  <c r="BU20" i="29"/>
  <c r="BP21" i="29"/>
  <c r="BQ21" i="29"/>
  <c r="BS21" i="29"/>
  <c r="BU21" i="29"/>
  <c r="BP22" i="29"/>
  <c r="BQ22" i="29"/>
  <c r="BS22" i="29"/>
  <c r="BU22" i="29"/>
  <c r="BP23" i="29"/>
  <c r="BQ23" i="29"/>
  <c r="BS23" i="29"/>
  <c r="BU23" i="29"/>
  <c r="BP24" i="29"/>
  <c r="BQ24" i="29"/>
  <c r="BS24" i="29"/>
  <c r="BU24" i="29"/>
  <c r="BP25" i="29"/>
  <c r="BQ25" i="29"/>
  <c r="BS25" i="29"/>
  <c r="BU25" i="29"/>
  <c r="BP26" i="29"/>
  <c r="BQ26" i="29"/>
  <c r="BS26" i="29"/>
  <c r="BU26" i="29"/>
  <c r="BT27" i="29"/>
  <c r="BP27" i="29"/>
  <c r="BQ27" i="29"/>
  <c r="BS27" i="29"/>
  <c r="BU27" i="29"/>
  <c r="BP28" i="29"/>
  <c r="BQ28" i="29"/>
  <c r="BS28" i="29"/>
  <c r="BU28" i="29"/>
  <c r="BU29" i="29"/>
  <c r="CC61" i="29"/>
  <c r="CC62" i="29"/>
  <c r="CC85" i="29"/>
  <c r="CC86" i="29"/>
  <c r="CM28" i="29"/>
  <c r="CO28" i="29"/>
  <c r="DH27" i="29"/>
  <c r="CK6" i="29"/>
  <c r="CL6" i="29"/>
  <c r="CN6" i="29"/>
  <c r="CP6" i="29"/>
  <c r="CK8" i="29"/>
  <c r="CL8" i="29"/>
  <c r="CN8" i="29"/>
  <c r="CP8" i="29"/>
  <c r="CK9" i="29"/>
  <c r="CL9" i="29"/>
  <c r="CN9" i="29"/>
  <c r="CP9" i="29"/>
  <c r="CK10" i="29"/>
  <c r="CL10" i="29"/>
  <c r="CN10" i="29"/>
  <c r="CP10" i="29"/>
  <c r="CK11" i="29"/>
  <c r="CL11" i="29"/>
  <c r="CN11" i="29"/>
  <c r="CP11" i="29"/>
  <c r="CK12" i="29"/>
  <c r="CL12" i="29"/>
  <c r="CN12" i="29"/>
  <c r="CP12" i="29"/>
  <c r="CK13" i="29"/>
  <c r="CL13" i="29"/>
  <c r="CN13" i="29"/>
  <c r="CP13" i="29"/>
  <c r="CK14" i="29"/>
  <c r="CL14" i="29"/>
  <c r="CN14" i="29"/>
  <c r="CP14" i="29"/>
  <c r="CK15" i="29"/>
  <c r="CL15" i="29"/>
  <c r="CN15" i="29"/>
  <c r="CP15" i="29"/>
  <c r="CK16" i="29"/>
  <c r="CL16" i="29"/>
  <c r="CN16" i="29"/>
  <c r="CP16" i="29"/>
  <c r="CK17" i="29"/>
  <c r="CL17" i="29"/>
  <c r="CN17" i="29"/>
  <c r="CP17" i="29"/>
  <c r="CK18" i="29"/>
  <c r="CL18" i="29"/>
  <c r="CN18" i="29"/>
  <c r="CP18" i="29"/>
  <c r="CK19" i="29"/>
  <c r="CL19" i="29"/>
  <c r="CN19" i="29"/>
  <c r="CP19" i="29"/>
  <c r="CK20" i="29"/>
  <c r="CL20" i="29"/>
  <c r="CN20" i="29"/>
  <c r="CP20" i="29"/>
  <c r="CK21" i="29"/>
  <c r="CL21" i="29"/>
  <c r="CN21" i="29"/>
  <c r="CP21" i="29"/>
  <c r="CK22" i="29"/>
  <c r="CL22" i="29"/>
  <c r="CN22" i="29"/>
  <c r="CP22" i="29"/>
  <c r="CK23" i="29"/>
  <c r="CL23" i="29"/>
  <c r="CN23" i="29"/>
  <c r="CP23" i="29"/>
  <c r="CK24" i="29"/>
  <c r="CL24" i="29"/>
  <c r="CN24" i="29"/>
  <c r="CP24" i="29"/>
  <c r="CK25" i="29"/>
  <c r="CL25" i="29"/>
  <c r="CN25" i="29"/>
  <c r="CP25" i="29"/>
  <c r="CK26" i="29"/>
  <c r="CL26" i="29"/>
  <c r="CN26" i="29"/>
  <c r="CP26" i="29"/>
  <c r="CO27" i="29"/>
  <c r="CK27" i="29"/>
  <c r="CL27" i="29"/>
  <c r="CN27" i="29"/>
  <c r="CP27" i="29"/>
  <c r="CK28" i="29"/>
  <c r="CL28" i="29"/>
  <c r="CN28" i="29"/>
  <c r="CP28" i="29"/>
  <c r="CP29" i="29"/>
  <c r="CX61" i="29"/>
  <c r="CX62" i="29"/>
  <c r="CX85" i="29"/>
  <c r="CX86" i="29"/>
  <c r="DH28" i="29"/>
  <c r="DJ28" i="29"/>
  <c r="DF28" i="29"/>
  <c r="DG28" i="29"/>
  <c r="DI28" i="29"/>
  <c r="DK28" i="29"/>
  <c r="DF6" i="29"/>
  <c r="DG6" i="29"/>
  <c r="DI6" i="29"/>
  <c r="DK6" i="29"/>
  <c r="DF8" i="29"/>
  <c r="DG8" i="29"/>
  <c r="DI8" i="29"/>
  <c r="DK8" i="29"/>
  <c r="DF9" i="29"/>
  <c r="DG9" i="29"/>
  <c r="DI9" i="29"/>
  <c r="DK9" i="29"/>
  <c r="DF10" i="29"/>
  <c r="DG10" i="29"/>
  <c r="DI10" i="29"/>
  <c r="DK10" i="29"/>
  <c r="DF11" i="29"/>
  <c r="DG11" i="29"/>
  <c r="DI11" i="29"/>
  <c r="DK11" i="29"/>
  <c r="DF12" i="29"/>
  <c r="DG12" i="29"/>
  <c r="DI12" i="29"/>
  <c r="DK12" i="29"/>
  <c r="DF13" i="29"/>
  <c r="DG13" i="29"/>
  <c r="DI13" i="29"/>
  <c r="DK13" i="29"/>
  <c r="DF14" i="29"/>
  <c r="DG14" i="29"/>
  <c r="DI14" i="29"/>
  <c r="DK14" i="29"/>
  <c r="DF15" i="29"/>
  <c r="DG15" i="29"/>
  <c r="DI15" i="29"/>
  <c r="DK15" i="29"/>
  <c r="DF16" i="29"/>
  <c r="DG16" i="29"/>
  <c r="DI16" i="29"/>
  <c r="DK16" i="29"/>
  <c r="DF17" i="29"/>
  <c r="DG17" i="29"/>
  <c r="DI17" i="29"/>
  <c r="DK17" i="29"/>
  <c r="DF18" i="29"/>
  <c r="DG18" i="29"/>
  <c r="DI18" i="29"/>
  <c r="DK18" i="29"/>
  <c r="DF19" i="29"/>
  <c r="DG19" i="29"/>
  <c r="DI19" i="29"/>
  <c r="DK19" i="29"/>
  <c r="DF20" i="29"/>
  <c r="DG20" i="29"/>
  <c r="DI20" i="29"/>
  <c r="DK20" i="29"/>
  <c r="DF21" i="29"/>
  <c r="DG21" i="29"/>
  <c r="DI21" i="29"/>
  <c r="DK21" i="29"/>
  <c r="DF22" i="29"/>
  <c r="DG22" i="29"/>
  <c r="DI22" i="29"/>
  <c r="DK22" i="29"/>
  <c r="DF23" i="29"/>
  <c r="DG23" i="29"/>
  <c r="DI23" i="29"/>
  <c r="DK23" i="29"/>
  <c r="DF24" i="29"/>
  <c r="DG24" i="29"/>
  <c r="DI24" i="29"/>
  <c r="DK24" i="29"/>
  <c r="DF25" i="29"/>
  <c r="DG25" i="29"/>
  <c r="DI25" i="29"/>
  <c r="DK25" i="29"/>
  <c r="DF26" i="29"/>
  <c r="DG26" i="29"/>
  <c r="DI26" i="29"/>
  <c r="DK26" i="29"/>
  <c r="DJ27" i="29"/>
  <c r="DF27" i="29"/>
  <c r="DG27" i="29"/>
  <c r="DI27" i="29"/>
  <c r="DK27" i="29"/>
  <c r="DK29" i="29"/>
  <c r="CX88" i="29"/>
  <c r="BH88" i="29"/>
  <c r="R88" i="29"/>
  <c r="DS61" i="29"/>
  <c r="DS62" i="29"/>
  <c r="EA6" i="29"/>
  <c r="EB6" i="29"/>
  <c r="ED6" i="29"/>
  <c r="EF6" i="29"/>
  <c r="EA8" i="29"/>
  <c r="EB8" i="29"/>
  <c r="ED8" i="29"/>
  <c r="EF8" i="29"/>
  <c r="EA9" i="29"/>
  <c r="EB9" i="29"/>
  <c r="ED9" i="29"/>
  <c r="EF9" i="29"/>
  <c r="EA10" i="29"/>
  <c r="EB10" i="29"/>
  <c r="ED10" i="29"/>
  <c r="EF10" i="29"/>
  <c r="EA11" i="29"/>
  <c r="EB11" i="29"/>
  <c r="ED11" i="29"/>
  <c r="EF11" i="29"/>
  <c r="EA12" i="29"/>
  <c r="EB12" i="29"/>
  <c r="ED12" i="29"/>
  <c r="EF12" i="29"/>
  <c r="EA13" i="29"/>
  <c r="EB13" i="29"/>
  <c r="ED13" i="29"/>
  <c r="EF13" i="29"/>
  <c r="EA14" i="29"/>
  <c r="EB14" i="29"/>
  <c r="ED14" i="29"/>
  <c r="EF14" i="29"/>
  <c r="EA15" i="29"/>
  <c r="EB15" i="29"/>
  <c r="ED15" i="29"/>
  <c r="EF15" i="29"/>
  <c r="EA16" i="29"/>
  <c r="EB16" i="29"/>
  <c r="ED16" i="29"/>
  <c r="EF16" i="29"/>
  <c r="EA17" i="29"/>
  <c r="EB17" i="29"/>
  <c r="ED17" i="29"/>
  <c r="EF17" i="29"/>
  <c r="EA18" i="29"/>
  <c r="EB18" i="29"/>
  <c r="ED18" i="29"/>
  <c r="EF18" i="29"/>
  <c r="EA19" i="29"/>
  <c r="EB19" i="29"/>
  <c r="ED19" i="29"/>
  <c r="EF19" i="29"/>
  <c r="EA20" i="29"/>
  <c r="EB20" i="29"/>
  <c r="ED20" i="29"/>
  <c r="EF20" i="29"/>
  <c r="EA21" i="29"/>
  <c r="EB21" i="29"/>
  <c r="ED21" i="29"/>
  <c r="EF21" i="29"/>
  <c r="EA22" i="29"/>
  <c r="EB22" i="29"/>
  <c r="ED22" i="29"/>
  <c r="EF22" i="29"/>
  <c r="EA23" i="29"/>
  <c r="EB23" i="29"/>
  <c r="ED23" i="29"/>
  <c r="EF23" i="29"/>
  <c r="EA24" i="29"/>
  <c r="EB24" i="29"/>
  <c r="ED24" i="29"/>
  <c r="EF24" i="29"/>
  <c r="EA25" i="29"/>
  <c r="EB25" i="29"/>
  <c r="ED25" i="29"/>
  <c r="EF25" i="29"/>
  <c r="EA26" i="29"/>
  <c r="EB26" i="29"/>
  <c r="ED26" i="29"/>
  <c r="EF26" i="29"/>
  <c r="EC27" i="29"/>
  <c r="EE27" i="29"/>
  <c r="EA27" i="29"/>
  <c r="EB27" i="29"/>
  <c r="ED27" i="29"/>
  <c r="EF27" i="29"/>
  <c r="DS85" i="29"/>
  <c r="DS86" i="29"/>
  <c r="EC28" i="29"/>
  <c r="EE28" i="29"/>
  <c r="EA28" i="29"/>
  <c r="EB28" i="29"/>
  <c r="ED28" i="29"/>
  <c r="EF28" i="29"/>
  <c r="EF29" i="29"/>
  <c r="DS100" i="29"/>
  <c r="DS101" i="29"/>
  <c r="DS102" i="29"/>
  <c r="D7" i="30"/>
  <c r="L42" i="30"/>
  <c r="EB54" i="29"/>
  <c r="D18" i="30"/>
  <c r="EB47" i="29"/>
  <c r="EB48" i="29"/>
  <c r="EB49" i="29"/>
  <c r="EB55" i="29"/>
  <c r="D19" i="30"/>
  <c r="D27" i="30"/>
  <c r="L52" i="30"/>
  <c r="L49" i="30"/>
  <c r="EB29" i="29"/>
  <c r="EA29" i="29"/>
  <c r="DS76" i="29"/>
  <c r="D30" i="30"/>
  <c r="D31" i="30"/>
  <c r="D34" i="30"/>
  <c r="L50" i="30"/>
  <c r="L53" i="30"/>
  <c r="L54" i="30"/>
  <c r="L60" i="30"/>
  <c r="L48" i="30"/>
  <c r="L61" i="30"/>
  <c r="DG29" i="29"/>
  <c r="CX98" i="29"/>
  <c r="E18" i="30"/>
  <c r="E27" i="30"/>
  <c r="L65" i="30"/>
  <c r="L62" i="30"/>
  <c r="DF29" i="29"/>
  <c r="CX76" i="29"/>
  <c r="E30" i="30"/>
  <c r="E31" i="30"/>
  <c r="E34" i="30"/>
  <c r="L63" i="30"/>
  <c r="L66" i="30"/>
  <c r="L73" i="30"/>
  <c r="L67" i="30"/>
  <c r="L74" i="30"/>
  <c r="CL29" i="29"/>
  <c r="CC98" i="29"/>
  <c r="F19" i="30"/>
  <c r="F27" i="30"/>
  <c r="L78" i="30"/>
  <c r="L75" i="30"/>
  <c r="CK29" i="29"/>
  <c r="CC76" i="29"/>
  <c r="F30" i="30"/>
  <c r="F31" i="30"/>
  <c r="F34" i="30"/>
  <c r="L76" i="30"/>
  <c r="L79" i="30"/>
  <c r="L86" i="30"/>
  <c r="L80" i="30"/>
  <c r="L87" i="30"/>
  <c r="BQ29" i="29"/>
  <c r="BH98" i="29"/>
  <c r="G20" i="30"/>
  <c r="G27" i="30"/>
  <c r="L91" i="30"/>
  <c r="L88" i="30"/>
  <c r="BP29" i="29"/>
  <c r="BH76" i="29"/>
  <c r="G30" i="30"/>
  <c r="G31" i="30"/>
  <c r="G34" i="30"/>
  <c r="L89" i="30"/>
  <c r="L92" i="30"/>
  <c r="L99" i="30"/>
  <c r="L93" i="30"/>
  <c r="L100" i="30"/>
  <c r="AV29" i="29"/>
  <c r="AM98" i="29"/>
  <c r="H21" i="30"/>
  <c r="H27" i="30"/>
  <c r="L104" i="30"/>
  <c r="L101" i="30"/>
  <c r="AU29" i="29"/>
  <c r="AM76" i="29"/>
  <c r="H30" i="30"/>
  <c r="H31" i="30"/>
  <c r="H34" i="30"/>
  <c r="L102" i="30"/>
  <c r="L105" i="30"/>
  <c r="L112" i="30"/>
  <c r="L106" i="30"/>
  <c r="L113" i="30"/>
  <c r="L114" i="30"/>
  <c r="L118" i="30"/>
  <c r="L125" i="30"/>
  <c r="L131" i="30"/>
  <c r="L119" i="30"/>
  <c r="L129" i="30"/>
  <c r="R99" i="29"/>
  <c r="AM99" i="29"/>
  <c r="BH99" i="29"/>
  <c r="K24" i="30"/>
  <c r="K27" i="30"/>
  <c r="L128" i="30"/>
  <c r="L130" i="30"/>
  <c r="L133" i="30"/>
  <c r="L56" i="30"/>
  <c r="L57" i="30"/>
  <c r="L69" i="30"/>
  <c r="L70" i="30"/>
  <c r="L82" i="30"/>
  <c r="L83" i="30"/>
  <c r="L95" i="30"/>
  <c r="L96" i="30"/>
  <c r="L108" i="30"/>
  <c r="L109" i="30"/>
  <c r="L121" i="30"/>
  <c r="L122" i="30"/>
  <c r="L277" i="30"/>
  <c r="L278" i="30"/>
  <c r="L279" i="30"/>
  <c r="L280" i="30"/>
  <c r="L281" i="30"/>
  <c r="L282" i="30"/>
  <c r="L283" i="30"/>
  <c r="L284" i="30"/>
  <c r="L285" i="30"/>
  <c r="L286" i="30"/>
  <c r="L287" i="30"/>
  <c r="L288" i="30"/>
  <c r="L289" i="30"/>
  <c r="L290" i="30"/>
  <c r="L291" i="30"/>
  <c r="L292" i="30"/>
  <c r="L293" i="30"/>
  <c r="L294" i="30"/>
  <c r="L295" i="30"/>
  <c r="L296" i="30"/>
  <c r="L297" i="30"/>
  <c r="L276" i="30"/>
  <c r="L299" i="30"/>
  <c r="L300" i="30"/>
  <c r="K42" i="30"/>
  <c r="K52" i="30"/>
  <c r="K49" i="30"/>
  <c r="K50" i="30"/>
  <c r="K53" i="30"/>
  <c r="K54" i="30"/>
  <c r="K60" i="30"/>
  <c r="K48" i="30"/>
  <c r="K61" i="30"/>
  <c r="K65" i="30"/>
  <c r="K62" i="30"/>
  <c r="K63" i="30"/>
  <c r="K66" i="30"/>
  <c r="K73" i="30"/>
  <c r="K67" i="30"/>
  <c r="K74" i="30"/>
  <c r="K78" i="30"/>
  <c r="K75" i="30"/>
  <c r="K76" i="30"/>
  <c r="K79" i="30"/>
  <c r="K86" i="30"/>
  <c r="K80" i="30"/>
  <c r="K87" i="30"/>
  <c r="K91" i="30"/>
  <c r="K88" i="30"/>
  <c r="K89" i="30"/>
  <c r="K92" i="30"/>
  <c r="K99" i="30"/>
  <c r="K93" i="30"/>
  <c r="K100" i="30"/>
  <c r="K104" i="30"/>
  <c r="K101" i="30"/>
  <c r="K102" i="30"/>
  <c r="K105" i="30"/>
  <c r="K112" i="30"/>
  <c r="K106" i="30"/>
  <c r="K113" i="30"/>
  <c r="K114" i="30"/>
  <c r="K118" i="30"/>
  <c r="K125" i="30"/>
  <c r="K131" i="30"/>
  <c r="K119" i="30"/>
  <c r="K129" i="30"/>
  <c r="K128" i="30"/>
  <c r="K130" i="30"/>
  <c r="K133" i="30"/>
  <c r="K56" i="30"/>
  <c r="K57" i="30"/>
  <c r="K69" i="30"/>
  <c r="K70" i="30"/>
  <c r="K82" i="30"/>
  <c r="K83" i="30"/>
  <c r="K95" i="30"/>
  <c r="K96" i="30"/>
  <c r="K108" i="30"/>
  <c r="K109" i="30"/>
  <c r="K121" i="30"/>
  <c r="K122" i="30"/>
  <c r="K277" i="30"/>
  <c r="K278" i="30"/>
  <c r="K279" i="30"/>
  <c r="K280" i="30"/>
  <c r="K281" i="30"/>
  <c r="K282" i="30"/>
  <c r="K283" i="30"/>
  <c r="K284" i="30"/>
  <c r="K285" i="30"/>
  <c r="K286" i="30"/>
  <c r="K287" i="30"/>
  <c r="K288" i="30"/>
  <c r="K289" i="30"/>
  <c r="K290" i="30"/>
  <c r="K291" i="30"/>
  <c r="K292" i="30"/>
  <c r="K293" i="30"/>
  <c r="K294" i="30"/>
  <c r="K295" i="30"/>
  <c r="K296" i="30"/>
  <c r="K297" i="30"/>
  <c r="K276" i="30"/>
  <c r="K299" i="30"/>
  <c r="K300" i="30"/>
  <c r="J42" i="30"/>
  <c r="J52" i="30"/>
  <c r="J49" i="30"/>
  <c r="J50" i="30"/>
  <c r="J53" i="30"/>
  <c r="J54" i="30"/>
  <c r="J60" i="30"/>
  <c r="J48" i="30"/>
  <c r="J61" i="30"/>
  <c r="J65" i="30"/>
  <c r="J62" i="30"/>
  <c r="J63" i="30"/>
  <c r="J66" i="30"/>
  <c r="J73" i="30"/>
  <c r="J67" i="30"/>
  <c r="J74" i="30"/>
  <c r="J78" i="30"/>
  <c r="J75" i="30"/>
  <c r="J76" i="30"/>
  <c r="J79" i="30"/>
  <c r="J86" i="30"/>
  <c r="J80" i="30"/>
  <c r="J87" i="30"/>
  <c r="J91" i="30"/>
  <c r="J88" i="30"/>
  <c r="J89" i="30"/>
  <c r="J92" i="30"/>
  <c r="J99" i="30"/>
  <c r="J93" i="30"/>
  <c r="J100" i="30"/>
  <c r="J104" i="30"/>
  <c r="J101" i="30"/>
  <c r="J102" i="30"/>
  <c r="J105" i="30"/>
  <c r="J112" i="30"/>
  <c r="J106" i="30"/>
  <c r="J113" i="30"/>
  <c r="J114" i="30"/>
  <c r="J118" i="30"/>
  <c r="J125" i="30"/>
  <c r="J131" i="30"/>
  <c r="J119" i="30"/>
  <c r="J129" i="30"/>
  <c r="J128" i="30"/>
  <c r="J130" i="30"/>
  <c r="J133" i="30"/>
  <c r="J56" i="30"/>
  <c r="J57" i="30"/>
  <c r="J69" i="30"/>
  <c r="J70" i="30"/>
  <c r="J82" i="30"/>
  <c r="J83" i="30"/>
  <c r="J95" i="30"/>
  <c r="J96" i="30"/>
  <c r="J108" i="30"/>
  <c r="J109" i="30"/>
  <c r="J121" i="30"/>
  <c r="J122" i="30"/>
  <c r="J277" i="30"/>
  <c r="J278" i="30"/>
  <c r="J279" i="30"/>
  <c r="J280" i="30"/>
  <c r="J281" i="30"/>
  <c r="J282" i="30"/>
  <c r="J283" i="30"/>
  <c r="J284" i="30"/>
  <c r="J285" i="30"/>
  <c r="J286" i="30"/>
  <c r="J287" i="30"/>
  <c r="J288" i="30"/>
  <c r="J289" i="30"/>
  <c r="J290" i="30"/>
  <c r="J291" i="30"/>
  <c r="J292" i="30"/>
  <c r="J293" i="30"/>
  <c r="J294" i="30"/>
  <c r="J295" i="30"/>
  <c r="J296" i="30"/>
  <c r="J297" i="30"/>
  <c r="J276" i="30"/>
  <c r="J299" i="30"/>
  <c r="J300" i="30"/>
  <c r="I42" i="30"/>
  <c r="I52" i="30"/>
  <c r="I49" i="30"/>
  <c r="I50" i="30"/>
  <c r="I53" i="30"/>
  <c r="I54" i="30"/>
  <c r="I60" i="30"/>
  <c r="I48" i="30"/>
  <c r="I61" i="30"/>
  <c r="I65" i="30"/>
  <c r="I62" i="30"/>
  <c r="I63" i="30"/>
  <c r="I66" i="30"/>
  <c r="I73" i="30"/>
  <c r="I67" i="30"/>
  <c r="I74" i="30"/>
  <c r="I78" i="30"/>
  <c r="I75" i="30"/>
  <c r="I76" i="30"/>
  <c r="I79" i="30"/>
  <c r="I86" i="30"/>
  <c r="I80" i="30"/>
  <c r="I87" i="30"/>
  <c r="I91" i="30"/>
  <c r="I88" i="30"/>
  <c r="I89" i="30"/>
  <c r="I92" i="30"/>
  <c r="I99" i="30"/>
  <c r="I93" i="30"/>
  <c r="I100" i="30"/>
  <c r="I104" i="30"/>
  <c r="I101" i="30"/>
  <c r="I102" i="30"/>
  <c r="I105" i="30"/>
  <c r="I112" i="30"/>
  <c r="I106" i="30"/>
  <c r="I113" i="30"/>
  <c r="I114" i="30"/>
  <c r="I118" i="30"/>
  <c r="I125" i="30"/>
  <c r="I131" i="30"/>
  <c r="I119" i="30"/>
  <c r="I129" i="30"/>
  <c r="I128" i="30"/>
  <c r="I130" i="30"/>
  <c r="I133" i="30"/>
  <c r="I56" i="30"/>
  <c r="I57" i="30"/>
  <c r="I69" i="30"/>
  <c r="I70" i="30"/>
  <c r="I82" i="30"/>
  <c r="I83" i="30"/>
  <c r="I95" i="30"/>
  <c r="I96" i="30"/>
  <c r="I108" i="30"/>
  <c r="I109" i="30"/>
  <c r="I121" i="30"/>
  <c r="I122" i="30"/>
  <c r="I277" i="30"/>
  <c r="I278" i="30"/>
  <c r="I279" i="30"/>
  <c r="I280" i="30"/>
  <c r="I281" i="30"/>
  <c r="I282" i="30"/>
  <c r="I283" i="30"/>
  <c r="I284" i="30"/>
  <c r="I285" i="30"/>
  <c r="I286" i="30"/>
  <c r="I287" i="30"/>
  <c r="I288" i="30"/>
  <c r="I289" i="30"/>
  <c r="I290" i="30"/>
  <c r="I291" i="30"/>
  <c r="I292" i="30"/>
  <c r="I293" i="30"/>
  <c r="I294" i="30"/>
  <c r="I295" i="30"/>
  <c r="I296" i="30"/>
  <c r="I297" i="30"/>
  <c r="I276" i="30"/>
  <c r="I299" i="30"/>
  <c r="I300" i="30"/>
  <c r="H42" i="30"/>
  <c r="H52" i="30"/>
  <c r="H49" i="30"/>
  <c r="H50" i="30"/>
  <c r="H53" i="30"/>
  <c r="H54" i="30"/>
  <c r="H60" i="30"/>
  <c r="H48" i="30"/>
  <c r="H61" i="30"/>
  <c r="H65" i="30"/>
  <c r="H62" i="30"/>
  <c r="H63" i="30"/>
  <c r="H66" i="30"/>
  <c r="H73" i="30"/>
  <c r="H67" i="30"/>
  <c r="H74" i="30"/>
  <c r="H78" i="30"/>
  <c r="H75" i="30"/>
  <c r="H76" i="30"/>
  <c r="H79" i="30"/>
  <c r="H86" i="30"/>
  <c r="H80" i="30"/>
  <c r="H87" i="30"/>
  <c r="H91" i="30"/>
  <c r="H88" i="30"/>
  <c r="H89" i="30"/>
  <c r="H92" i="30"/>
  <c r="H99" i="30"/>
  <c r="H93" i="30"/>
  <c r="H100" i="30"/>
  <c r="H104" i="30"/>
  <c r="H101" i="30"/>
  <c r="H102" i="30"/>
  <c r="H105" i="30"/>
  <c r="H112" i="30"/>
  <c r="H106" i="30"/>
  <c r="H113" i="30"/>
  <c r="H114" i="30"/>
  <c r="H118" i="30"/>
  <c r="H125" i="30"/>
  <c r="H131" i="30"/>
  <c r="H119" i="30"/>
  <c r="H129" i="30"/>
  <c r="H128" i="30"/>
  <c r="H130" i="30"/>
  <c r="H133" i="30"/>
  <c r="H56" i="30"/>
  <c r="H57" i="30"/>
  <c r="H69" i="30"/>
  <c r="H70" i="30"/>
  <c r="H82" i="30"/>
  <c r="H83" i="30"/>
  <c r="H95" i="30"/>
  <c r="H96" i="30"/>
  <c r="H108" i="30"/>
  <c r="H109" i="30"/>
  <c r="H121" i="30"/>
  <c r="H122" i="30"/>
  <c r="H277" i="30"/>
  <c r="H278" i="30"/>
  <c r="H279" i="30"/>
  <c r="H280" i="30"/>
  <c r="H281" i="30"/>
  <c r="H282" i="30"/>
  <c r="H283" i="30"/>
  <c r="H284" i="30"/>
  <c r="H285" i="30"/>
  <c r="H286" i="30"/>
  <c r="H287" i="30"/>
  <c r="H288" i="30"/>
  <c r="H289" i="30"/>
  <c r="H290" i="30"/>
  <c r="H291" i="30"/>
  <c r="H292" i="30"/>
  <c r="H293" i="30"/>
  <c r="H294" i="30"/>
  <c r="H295" i="30"/>
  <c r="H296" i="30"/>
  <c r="H297" i="30"/>
  <c r="H276" i="30"/>
  <c r="H299" i="30"/>
  <c r="H300" i="30"/>
  <c r="G42" i="30"/>
  <c r="G52" i="30"/>
  <c r="G49" i="30"/>
  <c r="G50" i="30"/>
  <c r="G53" i="30"/>
  <c r="G54" i="30"/>
  <c r="G60" i="30"/>
  <c r="G48" i="30"/>
  <c r="G61" i="30"/>
  <c r="G65" i="30"/>
  <c r="G62" i="30"/>
  <c r="G63" i="30"/>
  <c r="G66" i="30"/>
  <c r="G73" i="30"/>
  <c r="G67" i="30"/>
  <c r="G74" i="30"/>
  <c r="G78" i="30"/>
  <c r="G75" i="30"/>
  <c r="G76" i="30"/>
  <c r="G79" i="30"/>
  <c r="G86" i="30"/>
  <c r="G80" i="30"/>
  <c r="G87" i="30"/>
  <c r="G91" i="30"/>
  <c r="G88" i="30"/>
  <c r="G89" i="30"/>
  <c r="G92" i="30"/>
  <c r="G99" i="30"/>
  <c r="G93" i="30"/>
  <c r="G100" i="30"/>
  <c r="G104" i="30"/>
  <c r="G101" i="30"/>
  <c r="G102" i="30"/>
  <c r="G105" i="30"/>
  <c r="G112" i="30"/>
  <c r="G106" i="30"/>
  <c r="G113" i="30"/>
  <c r="G114" i="30"/>
  <c r="G118" i="30"/>
  <c r="G125" i="30"/>
  <c r="G131" i="30"/>
  <c r="G119" i="30"/>
  <c r="G129" i="30"/>
  <c r="G128" i="30"/>
  <c r="G130" i="30"/>
  <c r="G133" i="30"/>
  <c r="G56" i="30"/>
  <c r="G57" i="30"/>
  <c r="G69" i="30"/>
  <c r="G70" i="30"/>
  <c r="G82" i="30"/>
  <c r="G83" i="30"/>
  <c r="G95" i="30"/>
  <c r="G96" i="30"/>
  <c r="G108" i="30"/>
  <c r="G109" i="30"/>
  <c r="G121" i="30"/>
  <c r="G122" i="30"/>
  <c r="G277" i="30"/>
  <c r="G278" i="30"/>
  <c r="G279" i="30"/>
  <c r="G280" i="30"/>
  <c r="G281" i="30"/>
  <c r="G282" i="30"/>
  <c r="G283" i="30"/>
  <c r="G284" i="30"/>
  <c r="G285" i="30"/>
  <c r="G286" i="30"/>
  <c r="G287" i="30"/>
  <c r="G288" i="30"/>
  <c r="G289" i="30"/>
  <c r="G290" i="30"/>
  <c r="G291" i="30"/>
  <c r="G292" i="30"/>
  <c r="G293" i="30"/>
  <c r="G294" i="30"/>
  <c r="G295" i="30"/>
  <c r="G296" i="30"/>
  <c r="G297" i="30"/>
  <c r="G276" i="30"/>
  <c r="G299" i="30"/>
  <c r="G300" i="30"/>
  <c r="F42" i="30"/>
  <c r="F52" i="30"/>
  <c r="F49" i="30"/>
  <c r="F50" i="30"/>
  <c r="F53" i="30"/>
  <c r="F54" i="30"/>
  <c r="F60" i="30"/>
  <c r="F48" i="30"/>
  <c r="F61" i="30"/>
  <c r="F65" i="30"/>
  <c r="F62" i="30"/>
  <c r="F63" i="30"/>
  <c r="F66" i="30"/>
  <c r="F73" i="30"/>
  <c r="F67" i="30"/>
  <c r="F74" i="30"/>
  <c r="F78" i="30"/>
  <c r="F75" i="30"/>
  <c r="F76" i="30"/>
  <c r="F79" i="30"/>
  <c r="F86" i="30"/>
  <c r="F80" i="30"/>
  <c r="F87" i="30"/>
  <c r="F91" i="30"/>
  <c r="F88" i="30"/>
  <c r="F89" i="30"/>
  <c r="F92" i="30"/>
  <c r="F99" i="30"/>
  <c r="F93" i="30"/>
  <c r="F100" i="30"/>
  <c r="F104" i="30"/>
  <c r="F101" i="30"/>
  <c r="F102" i="30"/>
  <c r="F105" i="30"/>
  <c r="F112" i="30"/>
  <c r="F106" i="30"/>
  <c r="F113" i="30"/>
  <c r="F114" i="30"/>
  <c r="F118" i="30"/>
  <c r="F125" i="30"/>
  <c r="F131" i="30"/>
  <c r="F119" i="30"/>
  <c r="F129" i="30"/>
  <c r="F128" i="30"/>
  <c r="F130" i="30"/>
  <c r="F133" i="30"/>
  <c r="F56" i="30"/>
  <c r="F57" i="30"/>
  <c r="F69" i="30"/>
  <c r="F70" i="30"/>
  <c r="F82" i="30"/>
  <c r="F83" i="30"/>
  <c r="F95" i="30"/>
  <c r="F96" i="30"/>
  <c r="F108" i="30"/>
  <c r="F109" i="30"/>
  <c r="F121" i="30"/>
  <c r="F122" i="30"/>
  <c r="F277" i="30"/>
  <c r="F278" i="30"/>
  <c r="F279" i="30"/>
  <c r="F280" i="30"/>
  <c r="F281" i="30"/>
  <c r="F282" i="30"/>
  <c r="F283" i="30"/>
  <c r="F284" i="30"/>
  <c r="F285" i="30"/>
  <c r="F286" i="30"/>
  <c r="F287" i="30"/>
  <c r="F288" i="30"/>
  <c r="F289" i="30"/>
  <c r="F290" i="30"/>
  <c r="F291" i="30"/>
  <c r="F292" i="30"/>
  <c r="F293" i="30"/>
  <c r="F294" i="30"/>
  <c r="F295" i="30"/>
  <c r="F296" i="30"/>
  <c r="F297" i="30"/>
  <c r="F276" i="30"/>
  <c r="F299" i="30"/>
  <c r="F300" i="30"/>
  <c r="E42" i="30"/>
  <c r="E52" i="30"/>
  <c r="E49" i="30"/>
  <c r="E50" i="30"/>
  <c r="E53" i="30"/>
  <c r="E54" i="30"/>
  <c r="E60" i="30"/>
  <c r="E48" i="30"/>
  <c r="E61" i="30"/>
  <c r="E65" i="30"/>
  <c r="E62" i="30"/>
  <c r="E63" i="30"/>
  <c r="E66" i="30"/>
  <c r="E73" i="30"/>
  <c r="E67" i="30"/>
  <c r="E74" i="30"/>
  <c r="E78" i="30"/>
  <c r="E75" i="30"/>
  <c r="E76" i="30"/>
  <c r="E79" i="30"/>
  <c r="E86" i="30"/>
  <c r="E80" i="30"/>
  <c r="E87" i="30"/>
  <c r="E91" i="30"/>
  <c r="E88" i="30"/>
  <c r="E89" i="30"/>
  <c r="E92" i="30"/>
  <c r="E99" i="30"/>
  <c r="E93" i="30"/>
  <c r="E100" i="30"/>
  <c r="E104" i="30"/>
  <c r="E101" i="30"/>
  <c r="E102" i="30"/>
  <c r="E105" i="30"/>
  <c r="E112" i="30"/>
  <c r="E106" i="30"/>
  <c r="E113" i="30"/>
  <c r="E114" i="30"/>
  <c r="E118" i="30"/>
  <c r="E125" i="30"/>
  <c r="E131" i="30"/>
  <c r="E119" i="30"/>
  <c r="E129" i="30"/>
  <c r="E128" i="30"/>
  <c r="E130" i="30"/>
  <c r="E133" i="30"/>
  <c r="E56" i="30"/>
  <c r="E57" i="30"/>
  <c r="E69" i="30"/>
  <c r="E70" i="30"/>
  <c r="E82" i="30"/>
  <c r="E83" i="30"/>
  <c r="E95" i="30"/>
  <c r="E96" i="30"/>
  <c r="E108" i="30"/>
  <c r="E109" i="30"/>
  <c r="E121" i="30"/>
  <c r="E122" i="30"/>
  <c r="E277" i="30"/>
  <c r="E278" i="30"/>
  <c r="E279" i="30"/>
  <c r="E280" i="30"/>
  <c r="E281" i="30"/>
  <c r="E282" i="30"/>
  <c r="E283" i="30"/>
  <c r="E284" i="30"/>
  <c r="E285" i="30"/>
  <c r="E286" i="30"/>
  <c r="E287" i="30"/>
  <c r="E288" i="30"/>
  <c r="E289" i="30"/>
  <c r="E290" i="30"/>
  <c r="E291" i="30"/>
  <c r="E292" i="30"/>
  <c r="E293" i="30"/>
  <c r="E294" i="30"/>
  <c r="E295" i="30"/>
  <c r="E296" i="30"/>
  <c r="E297" i="30"/>
  <c r="E276" i="30"/>
  <c r="E299" i="30"/>
  <c r="E300" i="30"/>
  <c r="D42" i="30"/>
  <c r="D52" i="30"/>
  <c r="D49" i="30"/>
  <c r="D50" i="30"/>
  <c r="D53" i="30"/>
  <c r="D54" i="30"/>
  <c r="D60" i="30"/>
  <c r="D48" i="30"/>
  <c r="D61" i="30"/>
  <c r="D65" i="30"/>
  <c r="D62" i="30"/>
  <c r="D63" i="30"/>
  <c r="D66" i="30"/>
  <c r="D73" i="30"/>
  <c r="D67" i="30"/>
  <c r="D74" i="30"/>
  <c r="D78" i="30"/>
  <c r="D75" i="30"/>
  <c r="D76" i="30"/>
  <c r="D79" i="30"/>
  <c r="D86" i="30"/>
  <c r="D80" i="30"/>
  <c r="D87" i="30"/>
  <c r="D91" i="30"/>
  <c r="D88" i="30"/>
  <c r="D89" i="30"/>
  <c r="D92" i="30"/>
  <c r="D99" i="30"/>
  <c r="D93" i="30"/>
  <c r="D100" i="30"/>
  <c r="D104" i="30"/>
  <c r="D101" i="30"/>
  <c r="D102" i="30"/>
  <c r="D105" i="30"/>
  <c r="D112" i="30"/>
  <c r="D106" i="30"/>
  <c r="D113" i="30"/>
  <c r="D114" i="30"/>
  <c r="D118" i="30"/>
  <c r="D125" i="30"/>
  <c r="D131" i="30"/>
  <c r="D119" i="30"/>
  <c r="D129" i="30"/>
  <c r="D128" i="30"/>
  <c r="D130" i="30"/>
  <c r="D133" i="30"/>
  <c r="D56" i="30"/>
  <c r="D57" i="30"/>
  <c r="D69" i="30"/>
  <c r="D70" i="30"/>
  <c r="D82" i="30"/>
  <c r="D83" i="30"/>
  <c r="D95" i="30"/>
  <c r="D96" i="30"/>
  <c r="D108" i="30"/>
  <c r="D109" i="30"/>
  <c r="D121" i="30"/>
  <c r="D122" i="30"/>
  <c r="D277" i="30"/>
  <c r="D278" i="30"/>
  <c r="D279" i="30"/>
  <c r="D280" i="30"/>
  <c r="D281" i="30"/>
  <c r="D282" i="30"/>
  <c r="D283" i="30"/>
  <c r="D284" i="30"/>
  <c r="D285" i="30"/>
  <c r="D286" i="30"/>
  <c r="D287" i="30"/>
  <c r="D288" i="30"/>
  <c r="D289" i="30"/>
  <c r="D290" i="30"/>
  <c r="D291" i="30"/>
  <c r="D292" i="30"/>
  <c r="D293" i="30"/>
  <c r="D294" i="30"/>
  <c r="D295" i="30"/>
  <c r="D296" i="30"/>
  <c r="D297" i="30"/>
  <c r="D276" i="30"/>
  <c r="D299" i="30"/>
  <c r="D300" i="30"/>
  <c r="L161" i="30"/>
  <c r="L169" i="30"/>
  <c r="K31" i="30"/>
  <c r="L31" i="30"/>
  <c r="L207" i="30"/>
  <c r="K161" i="30"/>
  <c r="K169" i="30"/>
  <c r="K207" i="30"/>
  <c r="J161" i="30"/>
  <c r="J169" i="30"/>
  <c r="J207" i="30"/>
  <c r="I161" i="30"/>
  <c r="I169" i="30"/>
  <c r="I207" i="30"/>
  <c r="H161" i="30"/>
  <c r="H169" i="30"/>
  <c r="H207" i="30"/>
  <c r="G161" i="30"/>
  <c r="G169" i="30"/>
  <c r="G207" i="30"/>
  <c r="F161" i="30"/>
  <c r="F169" i="30"/>
  <c r="F207" i="30"/>
  <c r="E161" i="30"/>
  <c r="E169" i="30"/>
  <c r="E207" i="30"/>
  <c r="D161" i="30"/>
  <c r="D169" i="30"/>
  <c r="D207" i="30"/>
  <c r="L168" i="30"/>
  <c r="L206" i="30"/>
  <c r="K168" i="30"/>
  <c r="K206" i="30"/>
  <c r="J168" i="30"/>
  <c r="J206" i="30"/>
  <c r="I168" i="30"/>
  <c r="I206" i="30"/>
  <c r="H168" i="30"/>
  <c r="H206" i="30"/>
  <c r="G168" i="30"/>
  <c r="G206" i="30"/>
  <c r="F168" i="30"/>
  <c r="F206" i="30"/>
  <c r="E168" i="30"/>
  <c r="E206" i="30"/>
  <c r="D168" i="30"/>
  <c r="D206" i="30"/>
  <c r="L167" i="30"/>
  <c r="L205" i="30"/>
  <c r="K167" i="30"/>
  <c r="K205" i="30"/>
  <c r="J167" i="30"/>
  <c r="J205" i="30"/>
  <c r="I167" i="30"/>
  <c r="I205" i="30"/>
  <c r="H167" i="30"/>
  <c r="H205" i="30"/>
  <c r="G167" i="30"/>
  <c r="G205" i="30"/>
  <c r="F167" i="30"/>
  <c r="F205" i="30"/>
  <c r="E167" i="30"/>
  <c r="E205" i="30"/>
  <c r="D167" i="30"/>
  <c r="D205" i="30"/>
  <c r="L166" i="30"/>
  <c r="L204" i="30"/>
  <c r="K166" i="30"/>
  <c r="K204" i="30"/>
  <c r="J166" i="30"/>
  <c r="J204" i="30"/>
  <c r="I166" i="30"/>
  <c r="I204" i="30"/>
  <c r="H166" i="30"/>
  <c r="H204" i="30"/>
  <c r="G166" i="30"/>
  <c r="G204" i="30"/>
  <c r="F166" i="30"/>
  <c r="F204" i="30"/>
  <c r="E166" i="30"/>
  <c r="E204" i="30"/>
  <c r="D166" i="30"/>
  <c r="D204" i="30"/>
  <c r="L165" i="30"/>
  <c r="L203" i="30"/>
  <c r="K165" i="30"/>
  <c r="K203" i="30"/>
  <c r="J165" i="30"/>
  <c r="J203" i="30"/>
  <c r="I165" i="30"/>
  <c r="I203" i="30"/>
  <c r="H165" i="30"/>
  <c r="H203" i="30"/>
  <c r="G165" i="30"/>
  <c r="G203" i="30"/>
  <c r="F165" i="30"/>
  <c r="F203" i="30"/>
  <c r="E165" i="30"/>
  <c r="E203" i="30"/>
  <c r="D165" i="30"/>
  <c r="D203" i="30"/>
  <c r="L164" i="30"/>
  <c r="L202" i="30"/>
  <c r="K164" i="30"/>
  <c r="K202" i="30"/>
  <c r="J164" i="30"/>
  <c r="J202" i="30"/>
  <c r="I164" i="30"/>
  <c r="I202" i="30"/>
  <c r="H164" i="30"/>
  <c r="H202" i="30"/>
  <c r="G164" i="30"/>
  <c r="G202" i="30"/>
  <c r="F164" i="30"/>
  <c r="F202" i="30"/>
  <c r="E164" i="30"/>
  <c r="E202" i="30"/>
  <c r="D164" i="30"/>
  <c r="D202" i="30"/>
  <c r="L163" i="30"/>
  <c r="L201" i="30"/>
  <c r="K163" i="30"/>
  <c r="K201" i="30"/>
  <c r="J163" i="30"/>
  <c r="J201" i="30"/>
  <c r="I163" i="30"/>
  <c r="I201" i="30"/>
  <c r="H163" i="30"/>
  <c r="H201" i="30"/>
  <c r="G163" i="30"/>
  <c r="G201" i="30"/>
  <c r="F163" i="30"/>
  <c r="F201" i="30"/>
  <c r="E163" i="30"/>
  <c r="E201" i="30"/>
  <c r="D163" i="30"/>
  <c r="D201" i="30"/>
  <c r="L162" i="30"/>
  <c r="L200" i="30"/>
  <c r="K162" i="30"/>
  <c r="K200" i="30"/>
  <c r="J162" i="30"/>
  <c r="J200" i="30"/>
  <c r="I162" i="30"/>
  <c r="I200" i="30"/>
  <c r="H162" i="30"/>
  <c r="H200" i="30"/>
  <c r="G162" i="30"/>
  <c r="G200" i="30"/>
  <c r="F162" i="30"/>
  <c r="F200" i="30"/>
  <c r="E162" i="30"/>
  <c r="E200" i="30"/>
  <c r="D162" i="30"/>
  <c r="D200" i="30"/>
  <c r="L199" i="30"/>
  <c r="K199" i="30"/>
  <c r="J199" i="30"/>
  <c r="I199" i="30"/>
  <c r="H199" i="30"/>
  <c r="G199" i="30"/>
  <c r="F199" i="30"/>
  <c r="E199" i="30"/>
  <c r="D199" i="30"/>
  <c r="L194" i="30"/>
  <c r="K194" i="30"/>
  <c r="J194" i="30"/>
  <c r="I194" i="30"/>
  <c r="H194" i="30"/>
  <c r="G194" i="30"/>
  <c r="F194" i="30"/>
  <c r="E194" i="30"/>
  <c r="D194" i="30"/>
  <c r="L193" i="30"/>
  <c r="K193" i="30"/>
  <c r="J193" i="30"/>
  <c r="I193" i="30"/>
  <c r="H193" i="30"/>
  <c r="G193" i="30"/>
  <c r="F193" i="30"/>
  <c r="E193" i="30"/>
  <c r="D193" i="30"/>
  <c r="L192" i="30"/>
  <c r="K192" i="30"/>
  <c r="J192" i="30"/>
  <c r="I192" i="30"/>
  <c r="H192" i="30"/>
  <c r="G192" i="30"/>
  <c r="F192" i="30"/>
  <c r="E192" i="30"/>
  <c r="D192" i="30"/>
  <c r="L191" i="30"/>
  <c r="K191" i="30"/>
  <c r="J191" i="30"/>
  <c r="I191" i="30"/>
  <c r="H191" i="30"/>
  <c r="G191" i="30"/>
  <c r="F191" i="30"/>
  <c r="E191" i="30"/>
  <c r="D191" i="30"/>
  <c r="L190" i="30"/>
  <c r="K190" i="30"/>
  <c r="J190" i="30"/>
  <c r="I190" i="30"/>
  <c r="H190" i="30"/>
  <c r="G190" i="30"/>
  <c r="F190" i="30"/>
  <c r="E190" i="30"/>
  <c r="D190" i="30"/>
  <c r="L189" i="30"/>
  <c r="K189" i="30"/>
  <c r="J189" i="30"/>
  <c r="I189" i="30"/>
  <c r="H189" i="30"/>
  <c r="G189" i="30"/>
  <c r="F189" i="30"/>
  <c r="E189" i="30"/>
  <c r="D189" i="30"/>
  <c r="L188" i="30"/>
  <c r="K188" i="30"/>
  <c r="J188" i="30"/>
  <c r="I188" i="30"/>
  <c r="H188" i="30"/>
  <c r="G188" i="30"/>
  <c r="F188" i="30"/>
  <c r="E188" i="30"/>
  <c r="D188" i="30"/>
  <c r="L187" i="30"/>
  <c r="K187" i="30"/>
  <c r="J187" i="30"/>
  <c r="I187" i="30"/>
  <c r="H187" i="30"/>
  <c r="G187" i="30"/>
  <c r="F187" i="30"/>
  <c r="E187" i="30"/>
  <c r="D187" i="30"/>
  <c r="L182" i="30"/>
  <c r="K182" i="30"/>
  <c r="J182" i="30"/>
  <c r="I182" i="30"/>
  <c r="H182" i="30"/>
  <c r="G182" i="30"/>
  <c r="F182" i="30"/>
  <c r="E182" i="30"/>
  <c r="D182" i="30"/>
  <c r="L181" i="30"/>
  <c r="K181" i="30"/>
  <c r="J181" i="30"/>
  <c r="I181" i="30"/>
  <c r="H181" i="30"/>
  <c r="G181" i="30"/>
  <c r="F181" i="30"/>
  <c r="E181" i="30"/>
  <c r="D181" i="30"/>
  <c r="L180" i="30"/>
  <c r="K180" i="30"/>
  <c r="J180" i="30"/>
  <c r="I180" i="30"/>
  <c r="H180" i="30"/>
  <c r="G180" i="30"/>
  <c r="F180" i="30"/>
  <c r="E180" i="30"/>
  <c r="D180" i="30"/>
  <c r="L179" i="30"/>
  <c r="K179" i="30"/>
  <c r="J179" i="30"/>
  <c r="I179" i="30"/>
  <c r="H179" i="30"/>
  <c r="G179" i="30"/>
  <c r="F179" i="30"/>
  <c r="E179" i="30"/>
  <c r="D179" i="30"/>
  <c r="L178" i="30"/>
  <c r="K178" i="30"/>
  <c r="J178" i="30"/>
  <c r="I178" i="30"/>
  <c r="H178" i="30"/>
  <c r="G178" i="30"/>
  <c r="F178" i="30"/>
  <c r="E178" i="30"/>
  <c r="D178" i="30"/>
  <c r="L177" i="30"/>
  <c r="K177" i="30"/>
  <c r="J177" i="30"/>
  <c r="I177" i="30"/>
  <c r="H177" i="30"/>
  <c r="G177" i="30"/>
  <c r="F177" i="30"/>
  <c r="E177" i="30"/>
  <c r="D177" i="30"/>
  <c r="L176" i="30"/>
  <c r="K176" i="30"/>
  <c r="J176" i="30"/>
  <c r="I176" i="30"/>
  <c r="H176" i="30"/>
  <c r="G176" i="30"/>
  <c r="F176" i="30"/>
  <c r="E176" i="30"/>
  <c r="D176" i="30"/>
  <c r="L175" i="30"/>
  <c r="K175" i="30"/>
  <c r="J175" i="30"/>
  <c r="I175" i="30"/>
  <c r="H175" i="30"/>
  <c r="G175" i="30"/>
  <c r="F175" i="30"/>
  <c r="E175" i="30"/>
  <c r="D175" i="30"/>
  <c r="L174" i="30"/>
  <c r="K174" i="30"/>
  <c r="J174" i="30"/>
  <c r="I174" i="30"/>
  <c r="H174" i="30"/>
  <c r="G174" i="30"/>
  <c r="F174" i="30"/>
  <c r="E174" i="30"/>
  <c r="D174" i="30"/>
  <c r="L150" i="30"/>
  <c r="L151" i="30"/>
  <c r="L152" i="30"/>
  <c r="L153" i="30"/>
  <c r="L154" i="30"/>
  <c r="L149" i="30"/>
  <c r="L156" i="30"/>
  <c r="K150" i="30"/>
  <c r="K151" i="30"/>
  <c r="K152" i="30"/>
  <c r="K153" i="30"/>
  <c r="K154" i="30"/>
  <c r="K149" i="30"/>
  <c r="K156" i="30"/>
  <c r="J150" i="30"/>
  <c r="J151" i="30"/>
  <c r="J152" i="30"/>
  <c r="J153" i="30"/>
  <c r="J154" i="30"/>
  <c r="J149" i="30"/>
  <c r="J156" i="30"/>
  <c r="I150" i="30"/>
  <c r="I151" i="30"/>
  <c r="I152" i="30"/>
  <c r="I153" i="30"/>
  <c r="I154" i="30"/>
  <c r="I149" i="30"/>
  <c r="I156" i="30"/>
  <c r="H150" i="30"/>
  <c r="H151" i="30"/>
  <c r="H152" i="30"/>
  <c r="H153" i="30"/>
  <c r="H154" i="30"/>
  <c r="H149" i="30"/>
  <c r="H156" i="30"/>
  <c r="G150" i="30"/>
  <c r="G151" i="30"/>
  <c r="G152" i="30"/>
  <c r="G153" i="30"/>
  <c r="G154" i="30"/>
  <c r="G149" i="30"/>
  <c r="G156" i="30"/>
  <c r="F150" i="30"/>
  <c r="F151" i="30"/>
  <c r="F152" i="30"/>
  <c r="F153" i="30"/>
  <c r="F154" i="30"/>
  <c r="F149" i="30"/>
  <c r="F156" i="30"/>
  <c r="E150" i="30"/>
  <c r="E151" i="30"/>
  <c r="E152" i="30"/>
  <c r="E153" i="30"/>
  <c r="E154" i="30"/>
  <c r="E149" i="30"/>
  <c r="E156" i="30"/>
  <c r="D150" i="30"/>
  <c r="D151" i="30"/>
  <c r="D152" i="30"/>
  <c r="D153" i="30"/>
  <c r="D154" i="30"/>
  <c r="D149" i="30"/>
  <c r="D156" i="30"/>
  <c r="L140" i="30"/>
  <c r="L141" i="30"/>
  <c r="L142" i="30"/>
  <c r="L143" i="30"/>
  <c r="L144" i="30"/>
  <c r="L132" i="30"/>
  <c r="L145" i="30"/>
  <c r="L139" i="30"/>
  <c r="L146" i="30"/>
  <c r="K140" i="30"/>
  <c r="K141" i="30"/>
  <c r="K142" i="30"/>
  <c r="K143" i="30"/>
  <c r="K144" i="30"/>
  <c r="K132" i="30"/>
  <c r="K145" i="30"/>
  <c r="K139" i="30"/>
  <c r="K146" i="30"/>
  <c r="J140" i="30"/>
  <c r="J141" i="30"/>
  <c r="J142" i="30"/>
  <c r="J143" i="30"/>
  <c r="J144" i="30"/>
  <c r="J132" i="30"/>
  <c r="J145" i="30"/>
  <c r="J139" i="30"/>
  <c r="J146" i="30"/>
  <c r="I140" i="30"/>
  <c r="I141" i="30"/>
  <c r="I142" i="30"/>
  <c r="I143" i="30"/>
  <c r="I144" i="30"/>
  <c r="I132" i="30"/>
  <c r="I145" i="30"/>
  <c r="I139" i="30"/>
  <c r="I146" i="30"/>
  <c r="H140" i="30"/>
  <c r="H141" i="30"/>
  <c r="H142" i="30"/>
  <c r="H143" i="30"/>
  <c r="H144" i="30"/>
  <c r="H132" i="30"/>
  <c r="H145" i="30"/>
  <c r="H139" i="30"/>
  <c r="H146" i="30"/>
  <c r="G140" i="30"/>
  <c r="G141" i="30"/>
  <c r="G142" i="30"/>
  <c r="G143" i="30"/>
  <c r="G144" i="30"/>
  <c r="G132" i="30"/>
  <c r="G145" i="30"/>
  <c r="G139" i="30"/>
  <c r="G146" i="30"/>
  <c r="F140" i="30"/>
  <c r="F141" i="30"/>
  <c r="F142" i="30"/>
  <c r="F143" i="30"/>
  <c r="F144" i="30"/>
  <c r="F132" i="30"/>
  <c r="F145" i="30"/>
  <c r="F139" i="30"/>
  <c r="F146" i="30"/>
  <c r="E140" i="30"/>
  <c r="E141" i="30"/>
  <c r="E142" i="30"/>
  <c r="E143" i="30"/>
  <c r="E144" i="30"/>
  <c r="E132" i="30"/>
  <c r="E145" i="30"/>
  <c r="E139" i="30"/>
  <c r="E146" i="30"/>
  <c r="D140" i="30"/>
  <c r="D141" i="30"/>
  <c r="D142" i="30"/>
  <c r="D143" i="30"/>
  <c r="D144" i="30"/>
  <c r="D132" i="30"/>
  <c r="D145" i="30"/>
  <c r="D139" i="30"/>
  <c r="D146" i="30"/>
  <c r="L135" i="30"/>
  <c r="L136" i="30"/>
  <c r="L127" i="30"/>
  <c r="K127" i="30"/>
  <c r="J127" i="30"/>
  <c r="I127" i="30"/>
  <c r="H127" i="30"/>
  <c r="G127" i="30"/>
  <c r="F127" i="30"/>
  <c r="E127" i="30"/>
  <c r="D127" i="30"/>
  <c r="L126" i="30"/>
  <c r="K126" i="30"/>
  <c r="J126" i="30"/>
  <c r="I126" i="30"/>
  <c r="H126" i="30"/>
  <c r="G126" i="30"/>
  <c r="F126" i="30"/>
  <c r="E126" i="30"/>
  <c r="D126" i="30"/>
  <c r="L44" i="30"/>
  <c r="K44" i="30"/>
  <c r="J44" i="30"/>
  <c r="I44" i="30"/>
  <c r="H44" i="30"/>
  <c r="G44" i="30"/>
  <c r="F44" i="30"/>
  <c r="E44" i="30"/>
  <c r="D44" i="30"/>
  <c r="L43" i="30"/>
  <c r="K43" i="30"/>
  <c r="J43" i="30"/>
  <c r="I43" i="30"/>
  <c r="H43" i="30"/>
  <c r="G43" i="30"/>
  <c r="F43" i="30"/>
  <c r="E43" i="30"/>
  <c r="D43" i="30"/>
  <c r="L34" i="30"/>
  <c r="K34" i="30"/>
  <c r="L30" i="30"/>
  <c r="L18" i="30"/>
  <c r="L19" i="30"/>
  <c r="L20" i="30"/>
  <c r="L21" i="30"/>
  <c r="L24" i="30"/>
  <c r="L27" i="30"/>
  <c r="L28" i="30"/>
  <c r="K28" i="30"/>
  <c r="J28" i="30"/>
  <c r="I28" i="30"/>
  <c r="H28" i="30"/>
  <c r="G28" i="30"/>
  <c r="F28" i="30"/>
  <c r="E28" i="30"/>
  <c r="D28" i="30"/>
  <c r="E135" i="30"/>
  <c r="E136" i="30"/>
  <c r="F135" i="30"/>
  <c r="F136" i="30"/>
  <c r="G135" i="30"/>
  <c r="G136" i="30"/>
  <c r="H135" i="30"/>
  <c r="H136" i="30"/>
  <c r="I135" i="30"/>
  <c r="I136" i="30"/>
  <c r="J135" i="30"/>
  <c r="J136" i="30"/>
  <c r="K135" i="30"/>
  <c r="K136" i="30"/>
  <c r="D135" i="30"/>
  <c r="D136" i="30"/>
  <c r="D12" i="30"/>
  <c r="D8" i="30"/>
  <c r="CX100" i="29"/>
  <c r="CX101" i="29"/>
  <c r="CX102" i="29"/>
  <c r="CC100" i="29"/>
  <c r="CC101" i="29"/>
  <c r="CC102" i="29"/>
  <c r="BH100" i="29"/>
  <c r="BH101" i="29"/>
  <c r="BH102" i="29"/>
  <c r="AM100" i="29"/>
  <c r="AM101" i="29"/>
  <c r="AM102" i="29"/>
  <c r="R100" i="29"/>
  <c r="R101" i="29"/>
  <c r="R102" i="29"/>
  <c r="DS99" i="29"/>
  <c r="CX99" i="29"/>
  <c r="CC99" i="29"/>
  <c r="DS98" i="29"/>
  <c r="DS69" i="29"/>
  <c r="DS75" i="29"/>
  <c r="CX69" i="29"/>
  <c r="CX75" i="29"/>
  <c r="CC69" i="29"/>
  <c r="CC75" i="29"/>
  <c r="BH69" i="29"/>
  <c r="BH75" i="29"/>
  <c r="AM69" i="29"/>
  <c r="AM75" i="29"/>
  <c r="R69" i="29"/>
  <c r="R75" i="29"/>
  <c r="EI6" i="29"/>
  <c r="FB6" i="29"/>
  <c r="FB47" i="29"/>
  <c r="EI8" i="29"/>
  <c r="FB8" i="29"/>
  <c r="FB48" i="29"/>
  <c r="EI9" i="29"/>
  <c r="FB9" i="29"/>
  <c r="FB49" i="29"/>
  <c r="EI10" i="29"/>
  <c r="FB10" i="29"/>
  <c r="EI11" i="29"/>
  <c r="FB11" i="29"/>
  <c r="EI12" i="29"/>
  <c r="FB12" i="29"/>
  <c r="EI13" i="29"/>
  <c r="FB13" i="29"/>
  <c r="EI14" i="29"/>
  <c r="FB14" i="29"/>
  <c r="EI15" i="29"/>
  <c r="FB15" i="29"/>
  <c r="EI16" i="29"/>
  <c r="FB16" i="29"/>
  <c r="EI17" i="29"/>
  <c r="FB17" i="29"/>
  <c r="EI18" i="29"/>
  <c r="FB18" i="29"/>
  <c r="EI19" i="29"/>
  <c r="FB19" i="29"/>
  <c r="EI20" i="29"/>
  <c r="FB20" i="29"/>
  <c r="EI21" i="29"/>
  <c r="FB21" i="29"/>
  <c r="EI22" i="29"/>
  <c r="FB22" i="29"/>
  <c r="EI23" i="29"/>
  <c r="FB23" i="29"/>
  <c r="EI24" i="29"/>
  <c r="FB24" i="29"/>
  <c r="EI25" i="29"/>
  <c r="FB25" i="29"/>
  <c r="EI26" i="29"/>
  <c r="FB26" i="29"/>
  <c r="EI27" i="29"/>
  <c r="FB27" i="29"/>
  <c r="EI28" i="29"/>
  <c r="FB28" i="29"/>
  <c r="FB54" i="29"/>
  <c r="FB55" i="29"/>
  <c r="FB29" i="29"/>
  <c r="FC55" i="29"/>
  <c r="EH6" i="29"/>
  <c r="FA6" i="29"/>
  <c r="EH7" i="29"/>
  <c r="FA7" i="29"/>
  <c r="FA47" i="29"/>
  <c r="EH8" i="29"/>
  <c r="FA8" i="29"/>
  <c r="FA48" i="29"/>
  <c r="EH9" i="29"/>
  <c r="FA9" i="29"/>
  <c r="FA49" i="29"/>
  <c r="EH10" i="29"/>
  <c r="FA10" i="29"/>
  <c r="EH11" i="29"/>
  <c r="FA11" i="29"/>
  <c r="EH12" i="29"/>
  <c r="FA12" i="29"/>
  <c r="EH13" i="29"/>
  <c r="FA13" i="29"/>
  <c r="EH14" i="29"/>
  <c r="FA14" i="29"/>
  <c r="EH15" i="29"/>
  <c r="FA15" i="29"/>
  <c r="EH16" i="29"/>
  <c r="FA16" i="29"/>
  <c r="EH17" i="29"/>
  <c r="FA17" i="29"/>
  <c r="EH18" i="29"/>
  <c r="FA18" i="29"/>
  <c r="EH19" i="29"/>
  <c r="FA19" i="29"/>
  <c r="EH20" i="29"/>
  <c r="FA20" i="29"/>
  <c r="EH21" i="29"/>
  <c r="FA21" i="29"/>
  <c r="EH22" i="29"/>
  <c r="FA22" i="29"/>
  <c r="EH23" i="29"/>
  <c r="FA23" i="29"/>
  <c r="EH24" i="29"/>
  <c r="FA24" i="29"/>
  <c r="EH25" i="29"/>
  <c r="FA25" i="29"/>
  <c r="EH26" i="29"/>
  <c r="FA26" i="29"/>
  <c r="EH27" i="29"/>
  <c r="FA27" i="29"/>
  <c r="EH28" i="29"/>
  <c r="FA28" i="29"/>
  <c r="FA54" i="29"/>
  <c r="FA55" i="29"/>
  <c r="EY6" i="29"/>
  <c r="EY47" i="29"/>
  <c r="EY8" i="29"/>
  <c r="EY48" i="29"/>
  <c r="EY9" i="29"/>
  <c r="EY49" i="29"/>
  <c r="EY10" i="29"/>
  <c r="EY11" i="29"/>
  <c r="EY12" i="29"/>
  <c r="EY13" i="29"/>
  <c r="EY14" i="29"/>
  <c r="EY15" i="29"/>
  <c r="EY16" i="29"/>
  <c r="EY17" i="29"/>
  <c r="EY18" i="29"/>
  <c r="EY19" i="29"/>
  <c r="EY20" i="29"/>
  <c r="EY21" i="29"/>
  <c r="EY22" i="29"/>
  <c r="EY23" i="29"/>
  <c r="EY24" i="29"/>
  <c r="EY25" i="29"/>
  <c r="EY26" i="29"/>
  <c r="EY27" i="29"/>
  <c r="EY28" i="29"/>
  <c r="EY54" i="29"/>
  <c r="EY55" i="29"/>
  <c r="EY29" i="29"/>
  <c r="EZ55" i="29"/>
  <c r="EX27" i="29"/>
  <c r="EX28" i="29"/>
  <c r="EX54" i="29"/>
  <c r="EX55" i="29"/>
  <c r="EW6" i="29"/>
  <c r="EW47" i="29"/>
  <c r="EW8" i="29"/>
  <c r="EW48" i="29"/>
  <c r="EW9" i="29"/>
  <c r="EW49" i="29"/>
  <c r="EW10" i="29"/>
  <c r="EW11" i="29"/>
  <c r="EW12" i="29"/>
  <c r="EW13" i="29"/>
  <c r="EW14" i="29"/>
  <c r="EW15" i="29"/>
  <c r="EW16" i="29"/>
  <c r="EW17" i="29"/>
  <c r="EW18" i="29"/>
  <c r="EW19" i="29"/>
  <c r="EW20" i="29"/>
  <c r="EW21" i="29"/>
  <c r="EW22" i="29"/>
  <c r="EW23" i="29"/>
  <c r="EW24" i="29"/>
  <c r="EW25" i="29"/>
  <c r="EW26" i="29"/>
  <c r="EW27" i="29"/>
  <c r="EW28" i="29"/>
  <c r="EW54" i="29"/>
  <c r="EW55" i="29"/>
  <c r="EV27" i="29"/>
  <c r="EV28" i="29"/>
  <c r="EV54" i="29"/>
  <c r="EV55" i="29"/>
  <c r="EU6" i="29"/>
  <c r="EU47" i="29"/>
  <c r="EU8" i="29"/>
  <c r="EU48" i="29"/>
  <c r="EU9" i="29"/>
  <c r="EU49" i="29"/>
  <c r="EU10" i="29"/>
  <c r="EU11" i="29"/>
  <c r="EU12" i="29"/>
  <c r="EU13" i="29"/>
  <c r="EU14" i="29"/>
  <c r="EU15" i="29"/>
  <c r="EU16" i="29"/>
  <c r="EU17" i="29"/>
  <c r="EU18" i="29"/>
  <c r="EU19" i="29"/>
  <c r="EU20" i="29"/>
  <c r="EU21" i="29"/>
  <c r="EU22" i="29"/>
  <c r="EU23" i="29"/>
  <c r="EU24" i="29"/>
  <c r="EU25" i="29"/>
  <c r="EU26" i="29"/>
  <c r="EU27" i="29"/>
  <c r="EU28" i="29"/>
  <c r="EU54" i="29"/>
  <c r="EU55" i="29"/>
  <c r="ET55" i="29"/>
  <c r="EI47" i="29"/>
  <c r="EI48" i="29"/>
  <c r="EI49" i="29"/>
  <c r="EI54" i="29"/>
  <c r="EI55" i="29"/>
  <c r="EI29" i="29"/>
  <c r="EJ55" i="29"/>
  <c r="EH47" i="29"/>
  <c r="EH48" i="29"/>
  <c r="EH49" i="29"/>
  <c r="EH54" i="29"/>
  <c r="EH55" i="29"/>
  <c r="EF47" i="29"/>
  <c r="EF48" i="29"/>
  <c r="EF49" i="29"/>
  <c r="EF54" i="29"/>
  <c r="EF55" i="29"/>
  <c r="EG55" i="29"/>
  <c r="EE54" i="29"/>
  <c r="EE55" i="29"/>
  <c r="ED47" i="29"/>
  <c r="ED48" i="29"/>
  <c r="ED49" i="29"/>
  <c r="ED54" i="29"/>
  <c r="ED55" i="29"/>
  <c r="EC54" i="29"/>
  <c r="EC55" i="29"/>
  <c r="EA55" i="29"/>
  <c r="DN6" i="29"/>
  <c r="DN47" i="29"/>
  <c r="DN8" i="29"/>
  <c r="DN48" i="29"/>
  <c r="DN9" i="29"/>
  <c r="DN49" i="29"/>
  <c r="DN10" i="29"/>
  <c r="DN11" i="29"/>
  <c r="DN12" i="29"/>
  <c r="DN13" i="29"/>
  <c r="DN14" i="29"/>
  <c r="DN15" i="29"/>
  <c r="DN16" i="29"/>
  <c r="DN17" i="29"/>
  <c r="DN18" i="29"/>
  <c r="DN19" i="29"/>
  <c r="DN20" i="29"/>
  <c r="DN21" i="29"/>
  <c r="DN22" i="29"/>
  <c r="DN23" i="29"/>
  <c r="DN24" i="29"/>
  <c r="DN25" i="29"/>
  <c r="DN26" i="29"/>
  <c r="DN27" i="29"/>
  <c r="DN28" i="29"/>
  <c r="DN54" i="29"/>
  <c r="DN55" i="29"/>
  <c r="DN29" i="29"/>
  <c r="DO55" i="29"/>
  <c r="DM6" i="29"/>
  <c r="DM7" i="29"/>
  <c r="DM47" i="29"/>
  <c r="DM8" i="29"/>
  <c r="DM48" i="29"/>
  <c r="DM9" i="29"/>
  <c r="DM49" i="29"/>
  <c r="DM10" i="29"/>
  <c r="DM11" i="29"/>
  <c r="DM12" i="29"/>
  <c r="DM13" i="29"/>
  <c r="DM14" i="29"/>
  <c r="DM15" i="29"/>
  <c r="DM16" i="29"/>
  <c r="DM17" i="29"/>
  <c r="DM18" i="29"/>
  <c r="DM19" i="29"/>
  <c r="DM20" i="29"/>
  <c r="DM21" i="29"/>
  <c r="DM22" i="29"/>
  <c r="DM23" i="29"/>
  <c r="DM24" i="29"/>
  <c r="DM25" i="29"/>
  <c r="DM26" i="29"/>
  <c r="DM27" i="29"/>
  <c r="DM28" i="29"/>
  <c r="DM54" i="29"/>
  <c r="DM55" i="29"/>
  <c r="DK47" i="29"/>
  <c r="DK48" i="29"/>
  <c r="DK49" i="29"/>
  <c r="DK54" i="29"/>
  <c r="DK55" i="29"/>
  <c r="DL55" i="29"/>
  <c r="DJ54" i="29"/>
  <c r="DJ55" i="29"/>
  <c r="DI47" i="29"/>
  <c r="DI48" i="29"/>
  <c r="DI49" i="29"/>
  <c r="DI54" i="29"/>
  <c r="DI55" i="29"/>
  <c r="DH54" i="29"/>
  <c r="DH55" i="29"/>
  <c r="DG47" i="29"/>
  <c r="DG48" i="29"/>
  <c r="DG49" i="29"/>
  <c r="DG54" i="29"/>
  <c r="DG55" i="29"/>
  <c r="DF55" i="29"/>
  <c r="CS6" i="29"/>
  <c r="CS47" i="29"/>
  <c r="CS8" i="29"/>
  <c r="CS48" i="29"/>
  <c r="CS9" i="29"/>
  <c r="CS49" i="29"/>
  <c r="CS10" i="29"/>
  <c r="CS11" i="29"/>
  <c r="CS12" i="29"/>
  <c r="CS13" i="29"/>
  <c r="CS14" i="29"/>
  <c r="CS15" i="29"/>
  <c r="CS16" i="29"/>
  <c r="CS17" i="29"/>
  <c r="CS18" i="29"/>
  <c r="CS19" i="29"/>
  <c r="CS20" i="29"/>
  <c r="CS21" i="29"/>
  <c r="CS22" i="29"/>
  <c r="CS23" i="29"/>
  <c r="CS24" i="29"/>
  <c r="CS25" i="29"/>
  <c r="CS26" i="29"/>
  <c r="CS27" i="29"/>
  <c r="CS28" i="29"/>
  <c r="CS54" i="29"/>
  <c r="CS55" i="29"/>
  <c r="CS29" i="29"/>
  <c r="CT55" i="29"/>
  <c r="CR6" i="29"/>
  <c r="CR7" i="29"/>
  <c r="CR47" i="29"/>
  <c r="CR8" i="29"/>
  <c r="CR48" i="29"/>
  <c r="CR9" i="29"/>
  <c r="CR49" i="29"/>
  <c r="CR10" i="29"/>
  <c r="CR11" i="29"/>
  <c r="CR12" i="29"/>
  <c r="CR13" i="29"/>
  <c r="CR14" i="29"/>
  <c r="CR15" i="29"/>
  <c r="CR16" i="29"/>
  <c r="CR17" i="29"/>
  <c r="CR18" i="29"/>
  <c r="CR19" i="29"/>
  <c r="CR20" i="29"/>
  <c r="CR21" i="29"/>
  <c r="CR22" i="29"/>
  <c r="CR23" i="29"/>
  <c r="CR24" i="29"/>
  <c r="CR25" i="29"/>
  <c r="CR26" i="29"/>
  <c r="CR27" i="29"/>
  <c r="CR28" i="29"/>
  <c r="CR54" i="29"/>
  <c r="CR55" i="29"/>
  <c r="CP47" i="29"/>
  <c r="CP48" i="29"/>
  <c r="CP49" i="29"/>
  <c r="CP54" i="29"/>
  <c r="CP55" i="29"/>
  <c r="CQ55" i="29"/>
  <c r="CO54" i="29"/>
  <c r="CO55" i="29"/>
  <c r="CN47" i="29"/>
  <c r="CN48" i="29"/>
  <c r="CN49" i="29"/>
  <c r="CN54" i="29"/>
  <c r="CN55" i="29"/>
  <c r="CM54" i="29"/>
  <c r="CM55" i="29"/>
  <c r="CL47" i="29"/>
  <c r="CL48" i="29"/>
  <c r="CL49" i="29"/>
  <c r="CL54" i="29"/>
  <c r="CL55" i="29"/>
  <c r="CK55" i="29"/>
  <c r="BX6" i="29"/>
  <c r="BX47" i="29"/>
  <c r="BX8" i="29"/>
  <c r="BX48" i="29"/>
  <c r="BX9" i="29"/>
  <c r="BX49" i="29"/>
  <c r="BX10" i="29"/>
  <c r="BX11" i="29"/>
  <c r="BX12" i="29"/>
  <c r="BX13" i="29"/>
  <c r="BX14" i="29"/>
  <c r="BX15" i="29"/>
  <c r="BX16" i="29"/>
  <c r="BX17" i="29"/>
  <c r="BX18" i="29"/>
  <c r="BX19" i="29"/>
  <c r="BX20" i="29"/>
  <c r="BX21" i="29"/>
  <c r="BX22" i="29"/>
  <c r="BX23" i="29"/>
  <c r="BX24" i="29"/>
  <c r="BX25" i="29"/>
  <c r="BX26" i="29"/>
  <c r="BX27" i="29"/>
  <c r="BX28" i="29"/>
  <c r="BX54" i="29"/>
  <c r="BX55" i="29"/>
  <c r="BX29" i="29"/>
  <c r="BY55" i="29"/>
  <c r="BW6" i="29"/>
  <c r="BW7" i="29"/>
  <c r="BW47" i="29"/>
  <c r="BW8" i="29"/>
  <c r="BW48" i="29"/>
  <c r="BW9" i="29"/>
  <c r="BW49" i="29"/>
  <c r="BW10" i="29"/>
  <c r="BW11" i="29"/>
  <c r="BW12" i="29"/>
  <c r="BW13" i="29"/>
  <c r="BW14" i="29"/>
  <c r="BW15" i="29"/>
  <c r="BW16" i="29"/>
  <c r="BW17" i="29"/>
  <c r="BW18" i="29"/>
  <c r="BW19" i="29"/>
  <c r="BW20" i="29"/>
  <c r="BW21" i="29"/>
  <c r="BW22" i="29"/>
  <c r="BW23" i="29"/>
  <c r="BW24" i="29"/>
  <c r="BW25" i="29"/>
  <c r="BW26" i="29"/>
  <c r="BW27" i="29"/>
  <c r="BW28" i="29"/>
  <c r="BW54" i="29"/>
  <c r="BW55" i="29"/>
  <c r="BU47" i="29"/>
  <c r="BU48" i="29"/>
  <c r="BU49" i="29"/>
  <c r="BU54" i="29"/>
  <c r="BU55" i="29"/>
  <c r="BV55" i="29"/>
  <c r="BT54" i="29"/>
  <c r="BT55" i="29"/>
  <c r="BS47" i="29"/>
  <c r="BS48" i="29"/>
  <c r="BS49" i="29"/>
  <c r="BS54" i="29"/>
  <c r="BS55" i="29"/>
  <c r="BR54" i="29"/>
  <c r="BR55" i="29"/>
  <c r="BQ47" i="29"/>
  <c r="BQ48" i="29"/>
  <c r="BQ49" i="29"/>
  <c r="BQ54" i="29"/>
  <c r="BQ55" i="29"/>
  <c r="BP55" i="29"/>
  <c r="BC6" i="29"/>
  <c r="BC47" i="29"/>
  <c r="BC8" i="29"/>
  <c r="BC48" i="29"/>
  <c r="BC9" i="29"/>
  <c r="BC49" i="29"/>
  <c r="BC10" i="29"/>
  <c r="BC11" i="29"/>
  <c r="BC12" i="29"/>
  <c r="BC13" i="29"/>
  <c r="BC14" i="29"/>
  <c r="BC15" i="29"/>
  <c r="BC16" i="29"/>
  <c r="BC17" i="29"/>
  <c r="BC18" i="29"/>
  <c r="BC19" i="29"/>
  <c r="BC20" i="29"/>
  <c r="BC21" i="29"/>
  <c r="BC22" i="29"/>
  <c r="BC23" i="29"/>
  <c r="BC24" i="29"/>
  <c r="BC25" i="29"/>
  <c r="BC26" i="29"/>
  <c r="BC27" i="29"/>
  <c r="BC28" i="29"/>
  <c r="BC54" i="29"/>
  <c r="BC55" i="29"/>
  <c r="BC29" i="29"/>
  <c r="BD55" i="29"/>
  <c r="BB6" i="29"/>
  <c r="BB7" i="29"/>
  <c r="BB47" i="29"/>
  <c r="BB8" i="29"/>
  <c r="BB48" i="29"/>
  <c r="BB9" i="29"/>
  <c r="BB49" i="29"/>
  <c r="BB10" i="29"/>
  <c r="BB11" i="29"/>
  <c r="BB12" i="29"/>
  <c r="BB13" i="29"/>
  <c r="BB14" i="29"/>
  <c r="BB15" i="29"/>
  <c r="BB16" i="29"/>
  <c r="BB17" i="29"/>
  <c r="BB18" i="29"/>
  <c r="BB19" i="29"/>
  <c r="BB20" i="29"/>
  <c r="BB21" i="29"/>
  <c r="BB22" i="29"/>
  <c r="BB23" i="29"/>
  <c r="BB24" i="29"/>
  <c r="BB25" i="29"/>
  <c r="BB26" i="29"/>
  <c r="BB27" i="29"/>
  <c r="BB28" i="29"/>
  <c r="BB54" i="29"/>
  <c r="BB55" i="29"/>
  <c r="AZ47" i="29"/>
  <c r="AZ48" i="29"/>
  <c r="AZ49" i="29"/>
  <c r="AZ54" i="29"/>
  <c r="AZ55" i="29"/>
  <c r="BA55" i="29"/>
  <c r="AY54" i="29"/>
  <c r="AY55" i="29"/>
  <c r="AX47" i="29"/>
  <c r="AX48" i="29"/>
  <c r="AX49" i="29"/>
  <c r="AX54" i="29"/>
  <c r="AX55" i="29"/>
  <c r="AW54" i="29"/>
  <c r="AW55" i="29"/>
  <c r="AV47" i="29"/>
  <c r="AV48" i="29"/>
  <c r="AV49" i="29"/>
  <c r="AV54" i="29"/>
  <c r="AV55" i="29"/>
  <c r="AU55" i="29"/>
  <c r="AH28" i="29"/>
  <c r="AH54" i="29"/>
  <c r="AH55" i="29"/>
  <c r="AH29" i="29"/>
  <c r="AI55" i="29"/>
  <c r="AG28" i="29"/>
  <c r="AG54" i="29"/>
  <c r="AG55" i="29"/>
  <c r="AE54" i="29"/>
  <c r="AE55" i="29"/>
  <c r="AF55" i="29"/>
  <c r="AD54" i="29"/>
  <c r="AD55" i="29"/>
  <c r="AB54" i="29"/>
  <c r="AB55" i="29"/>
  <c r="FC54" i="29"/>
  <c r="EZ54" i="29"/>
  <c r="ET54" i="29"/>
  <c r="EJ54" i="29"/>
  <c r="EG54" i="29"/>
  <c r="EA54" i="29"/>
  <c r="DO54" i="29"/>
  <c r="DL54" i="29"/>
  <c r="DF54" i="29"/>
  <c r="CT54" i="29"/>
  <c r="CQ54" i="29"/>
  <c r="CK54" i="29"/>
  <c r="BY54" i="29"/>
  <c r="BV54" i="29"/>
  <c r="BP54" i="29"/>
  <c r="BD54" i="29"/>
  <c r="BA54" i="29"/>
  <c r="AU54" i="29"/>
  <c r="AI54" i="29"/>
  <c r="AF54" i="29"/>
  <c r="FC53" i="29"/>
  <c r="EZ53" i="29"/>
  <c r="EJ53" i="29"/>
  <c r="EG53" i="29"/>
  <c r="DO53" i="29"/>
  <c r="DL53" i="29"/>
  <c r="CT53" i="29"/>
  <c r="CQ53" i="29"/>
  <c r="BY53" i="29"/>
  <c r="BV53" i="29"/>
  <c r="BD53" i="29"/>
  <c r="BA53" i="29"/>
  <c r="AI53" i="29"/>
  <c r="AF53" i="29"/>
  <c r="FC52" i="29"/>
  <c r="EZ52" i="29"/>
  <c r="EJ52" i="29"/>
  <c r="EG52" i="29"/>
  <c r="DO52" i="29"/>
  <c r="DL52" i="29"/>
  <c r="CT52" i="29"/>
  <c r="CQ52" i="29"/>
  <c r="BY52" i="29"/>
  <c r="BV52" i="29"/>
  <c r="BD52" i="29"/>
  <c r="BA52" i="29"/>
  <c r="AI52" i="29"/>
  <c r="AF52" i="29"/>
  <c r="FC51" i="29"/>
  <c r="EZ51" i="29"/>
  <c r="EJ51" i="29"/>
  <c r="EG51" i="29"/>
  <c r="DO51" i="29"/>
  <c r="DL51" i="29"/>
  <c r="CT51" i="29"/>
  <c r="CQ51" i="29"/>
  <c r="BY51" i="29"/>
  <c r="BV51" i="29"/>
  <c r="BD51" i="29"/>
  <c r="BA51" i="29"/>
  <c r="AI51" i="29"/>
  <c r="AF51" i="29"/>
  <c r="FC50" i="29"/>
  <c r="EZ50" i="29"/>
  <c r="EJ50" i="29"/>
  <c r="EG50" i="29"/>
  <c r="DO50" i="29"/>
  <c r="DL50" i="29"/>
  <c r="CT50" i="29"/>
  <c r="CQ50" i="29"/>
  <c r="BY50" i="29"/>
  <c r="BV50" i="29"/>
  <c r="BD50" i="29"/>
  <c r="BA50" i="29"/>
  <c r="AI50" i="29"/>
  <c r="AF50" i="29"/>
  <c r="FC49" i="29"/>
  <c r="EZ49" i="29"/>
  <c r="ET49" i="29"/>
  <c r="EJ49" i="29"/>
  <c r="EG49" i="29"/>
  <c r="EA49" i="29"/>
  <c r="DO49" i="29"/>
  <c r="DL49" i="29"/>
  <c r="DF49" i="29"/>
  <c r="CT49" i="29"/>
  <c r="CQ49" i="29"/>
  <c r="CK49" i="29"/>
  <c r="BY49" i="29"/>
  <c r="BV49" i="29"/>
  <c r="BP49" i="29"/>
  <c r="BD49" i="29"/>
  <c r="BA49" i="29"/>
  <c r="AU49" i="29"/>
  <c r="AI49" i="29"/>
  <c r="AF49" i="29"/>
  <c r="FC48" i="29"/>
  <c r="EZ48" i="29"/>
  <c r="ET48" i="29"/>
  <c r="EJ48" i="29"/>
  <c r="EG48" i="29"/>
  <c r="EA48" i="29"/>
  <c r="DO48" i="29"/>
  <c r="DL48" i="29"/>
  <c r="DF48" i="29"/>
  <c r="CT48" i="29"/>
  <c r="CQ48" i="29"/>
  <c r="CK48" i="29"/>
  <c r="BY48" i="29"/>
  <c r="BV48" i="29"/>
  <c r="BP48" i="29"/>
  <c r="BD48" i="29"/>
  <c r="BA48" i="29"/>
  <c r="AU48" i="29"/>
  <c r="AI48" i="29"/>
  <c r="AF48" i="29"/>
  <c r="FC47" i="29"/>
  <c r="EZ47" i="29"/>
  <c r="ET47" i="29"/>
  <c r="EJ47" i="29"/>
  <c r="EG47" i="29"/>
  <c r="EA47" i="29"/>
  <c r="DO47" i="29"/>
  <c r="DL47" i="29"/>
  <c r="DF47" i="29"/>
  <c r="CT47" i="29"/>
  <c r="CQ47" i="29"/>
  <c r="CK47" i="29"/>
  <c r="BY47" i="29"/>
  <c r="BV47" i="29"/>
  <c r="BP47" i="29"/>
  <c r="BD47" i="29"/>
  <c r="BA47" i="29"/>
  <c r="AU47" i="29"/>
  <c r="AI47" i="29"/>
  <c r="AF47" i="29"/>
  <c r="EJ44" i="29"/>
  <c r="EG44" i="29"/>
  <c r="DO44" i="29"/>
  <c r="DL44" i="29"/>
  <c r="CT44" i="29"/>
  <c r="CQ44" i="29"/>
  <c r="CM29" i="29"/>
  <c r="CN44" i="29"/>
  <c r="BY44" i="29"/>
  <c r="BV44" i="29"/>
  <c r="BD44" i="29"/>
  <c r="BA44" i="29"/>
  <c r="AH39" i="29"/>
  <c r="AH44" i="29"/>
  <c r="AI44" i="29"/>
  <c r="AG39" i="29"/>
  <c r="AG44" i="29"/>
  <c r="AE39" i="29"/>
  <c r="AE44" i="29"/>
  <c r="AF44" i="29"/>
  <c r="AD39" i="29"/>
  <c r="AD44" i="29"/>
  <c r="AB39" i="29"/>
  <c r="AB44" i="29"/>
  <c r="EJ43" i="29"/>
  <c r="EG43" i="29"/>
  <c r="DO43" i="29"/>
  <c r="DL43" i="29"/>
  <c r="CT43" i="29"/>
  <c r="CQ43" i="29"/>
  <c r="CN43" i="29"/>
  <c r="BY43" i="29"/>
  <c r="BV43" i="29"/>
  <c r="BD43" i="29"/>
  <c r="BA43" i="29"/>
  <c r="AI43" i="29"/>
  <c r="AF43" i="29"/>
  <c r="EJ42" i="29"/>
  <c r="EG42" i="29"/>
  <c r="DO42" i="29"/>
  <c r="DL42" i="29"/>
  <c r="CT42" i="29"/>
  <c r="CQ42" i="29"/>
  <c r="CN42" i="29"/>
  <c r="BY42" i="29"/>
  <c r="BV42" i="29"/>
  <c r="BD42" i="29"/>
  <c r="BA42" i="29"/>
  <c r="AI42" i="29"/>
  <c r="AF42" i="29"/>
  <c r="EJ41" i="29"/>
  <c r="EG41" i="29"/>
  <c r="DO41" i="29"/>
  <c r="DL41" i="29"/>
  <c r="CT41" i="29"/>
  <c r="CQ41" i="29"/>
  <c r="CN41" i="29"/>
  <c r="BY41" i="29"/>
  <c r="BV41" i="29"/>
  <c r="BD41" i="29"/>
  <c r="BA41" i="29"/>
  <c r="AI41" i="29"/>
  <c r="AF41" i="29"/>
  <c r="EJ40" i="29"/>
  <c r="EG40" i="29"/>
  <c r="DO40" i="29"/>
  <c r="DL40" i="29"/>
  <c r="CT40" i="29"/>
  <c r="CQ40" i="29"/>
  <c r="CN40" i="29"/>
  <c r="BY40" i="29"/>
  <c r="BV40" i="29"/>
  <c r="BD40" i="29"/>
  <c r="BA40" i="29"/>
  <c r="AI40" i="29"/>
  <c r="AF40" i="29"/>
  <c r="EI39" i="29"/>
  <c r="EJ39" i="29"/>
  <c r="EH39" i="29"/>
  <c r="EF39" i="29"/>
  <c r="EG39" i="29"/>
  <c r="EE39" i="29"/>
  <c r="ED39" i="29"/>
  <c r="EC39" i="29"/>
  <c r="EB39" i="29"/>
  <c r="EA39" i="29"/>
  <c r="DN39" i="29"/>
  <c r="DO39" i="29"/>
  <c r="DM39" i="29"/>
  <c r="DK39" i="29"/>
  <c r="DL39" i="29"/>
  <c r="DJ39" i="29"/>
  <c r="DI39" i="29"/>
  <c r="DH39" i="29"/>
  <c r="DG39" i="29"/>
  <c r="DF39" i="29"/>
  <c r="CS39" i="29"/>
  <c r="CT39" i="29"/>
  <c r="CR39" i="29"/>
  <c r="CP39" i="29"/>
  <c r="CQ39" i="29"/>
  <c r="CO39" i="29"/>
  <c r="CM39" i="29"/>
  <c r="CN39" i="29"/>
  <c r="CL39" i="29"/>
  <c r="CK39" i="29"/>
  <c r="BX39" i="29"/>
  <c r="BY39" i="29"/>
  <c r="BW39" i="29"/>
  <c r="BU39" i="29"/>
  <c r="BV39" i="29"/>
  <c r="BT39" i="29"/>
  <c r="BS39" i="29"/>
  <c r="BR39" i="29"/>
  <c r="BQ39" i="29"/>
  <c r="BP39" i="29"/>
  <c r="BC39" i="29"/>
  <c r="BD39" i="29"/>
  <c r="BB39" i="29"/>
  <c r="AZ39" i="29"/>
  <c r="BA39" i="29"/>
  <c r="AY39" i="29"/>
  <c r="AX39" i="29"/>
  <c r="AW39" i="29"/>
  <c r="AV39" i="29"/>
  <c r="AU39" i="29"/>
  <c r="AI39" i="29"/>
  <c r="AF39" i="29"/>
  <c r="FB32" i="29"/>
  <c r="FB34" i="29"/>
  <c r="FB36" i="29"/>
  <c r="FC36" i="29"/>
  <c r="FA32" i="29"/>
  <c r="FA34" i="29"/>
  <c r="FA36" i="29"/>
  <c r="EY32" i="29"/>
  <c r="EY34" i="29"/>
  <c r="EY36" i="29"/>
  <c r="EZ36" i="29"/>
  <c r="EX34" i="29"/>
  <c r="EX36" i="29"/>
  <c r="EW32" i="29"/>
  <c r="EW34" i="29"/>
  <c r="EW36" i="29"/>
  <c r="EV34" i="29"/>
  <c r="EV36" i="29"/>
  <c r="EU32" i="29"/>
  <c r="EU34" i="29"/>
  <c r="EU36" i="29"/>
  <c r="ET36" i="29"/>
  <c r="EI32" i="29"/>
  <c r="EI34" i="29"/>
  <c r="EI36" i="29"/>
  <c r="EJ36" i="29"/>
  <c r="EH32" i="29"/>
  <c r="EH34" i="29"/>
  <c r="EH36" i="29"/>
  <c r="EF32" i="29"/>
  <c r="EF34" i="29"/>
  <c r="EF36" i="29"/>
  <c r="EG36" i="29"/>
  <c r="EE34" i="29"/>
  <c r="EE36" i="29"/>
  <c r="ED32" i="29"/>
  <c r="ED34" i="29"/>
  <c r="ED36" i="29"/>
  <c r="EC34" i="29"/>
  <c r="EC36" i="29"/>
  <c r="EB32" i="29"/>
  <c r="EB34" i="29"/>
  <c r="EB36" i="29"/>
  <c r="EA36" i="29"/>
  <c r="DN32" i="29"/>
  <c r="DN34" i="29"/>
  <c r="DN36" i="29"/>
  <c r="DO36" i="29"/>
  <c r="DM32" i="29"/>
  <c r="DM34" i="29"/>
  <c r="DM36" i="29"/>
  <c r="DK32" i="29"/>
  <c r="DK34" i="29"/>
  <c r="DK36" i="29"/>
  <c r="DL36" i="29"/>
  <c r="DJ34" i="29"/>
  <c r="DJ36" i="29"/>
  <c r="DI32" i="29"/>
  <c r="DI34" i="29"/>
  <c r="DI36" i="29"/>
  <c r="DH34" i="29"/>
  <c r="DH36" i="29"/>
  <c r="DG32" i="29"/>
  <c r="DG34" i="29"/>
  <c r="DG36" i="29"/>
  <c r="DF36" i="29"/>
  <c r="CS32" i="29"/>
  <c r="CS34" i="29"/>
  <c r="CS36" i="29"/>
  <c r="CT36" i="29"/>
  <c r="CR32" i="29"/>
  <c r="CR34" i="29"/>
  <c r="CR36" i="29"/>
  <c r="CP32" i="29"/>
  <c r="CP34" i="29"/>
  <c r="CP36" i="29"/>
  <c r="CQ36" i="29"/>
  <c r="CO34" i="29"/>
  <c r="CO36" i="29"/>
  <c r="CN32" i="29"/>
  <c r="CN34" i="29"/>
  <c r="CN36" i="29"/>
  <c r="CM34" i="29"/>
  <c r="CM36" i="29"/>
  <c r="CL32" i="29"/>
  <c r="CL34" i="29"/>
  <c r="CL36" i="29"/>
  <c r="CK36" i="29"/>
  <c r="BX32" i="29"/>
  <c r="BX34" i="29"/>
  <c r="BX36" i="29"/>
  <c r="BY36" i="29"/>
  <c r="BW32" i="29"/>
  <c r="BW34" i="29"/>
  <c r="BW36" i="29"/>
  <c r="BU32" i="29"/>
  <c r="BU34" i="29"/>
  <c r="BU36" i="29"/>
  <c r="BV36" i="29"/>
  <c r="BT34" i="29"/>
  <c r="BT36" i="29"/>
  <c r="BS32" i="29"/>
  <c r="BS34" i="29"/>
  <c r="BS36" i="29"/>
  <c r="BR34" i="29"/>
  <c r="BR36" i="29"/>
  <c r="BQ32" i="29"/>
  <c r="BQ34" i="29"/>
  <c r="BQ36" i="29"/>
  <c r="BP36" i="29"/>
  <c r="BC32" i="29"/>
  <c r="BC34" i="29"/>
  <c r="BC36" i="29"/>
  <c r="BD36" i="29"/>
  <c r="BB32" i="29"/>
  <c r="BB34" i="29"/>
  <c r="BB36" i="29"/>
  <c r="AZ32" i="29"/>
  <c r="AZ34" i="29"/>
  <c r="AZ36" i="29"/>
  <c r="BA36" i="29"/>
  <c r="AY34" i="29"/>
  <c r="AY36" i="29"/>
  <c r="AX32" i="29"/>
  <c r="AX34" i="29"/>
  <c r="AX36" i="29"/>
  <c r="AW34" i="29"/>
  <c r="AW36" i="29"/>
  <c r="AV32" i="29"/>
  <c r="AV34" i="29"/>
  <c r="AV36" i="29"/>
  <c r="AU36" i="29"/>
  <c r="AH34" i="29"/>
  <c r="AH36" i="29"/>
  <c r="AI36" i="29"/>
  <c r="AG34" i="29"/>
  <c r="AG36" i="29"/>
  <c r="AE34" i="29"/>
  <c r="AE36" i="29"/>
  <c r="AF36" i="29"/>
  <c r="AD34" i="29"/>
  <c r="AD36" i="29"/>
  <c r="AB34" i="29"/>
  <c r="AB36" i="29"/>
  <c r="FC35" i="29"/>
  <c r="EZ35" i="29"/>
  <c r="EJ35" i="29"/>
  <c r="EG35" i="29"/>
  <c r="DO35" i="29"/>
  <c r="DL35" i="29"/>
  <c r="CT35" i="29"/>
  <c r="CQ35" i="29"/>
  <c r="BY35" i="29"/>
  <c r="BV35" i="29"/>
  <c r="BD35" i="29"/>
  <c r="BA35" i="29"/>
  <c r="AI35" i="29"/>
  <c r="AF35" i="29"/>
  <c r="FC34" i="29"/>
  <c r="EZ34" i="29"/>
  <c r="ET34" i="29"/>
  <c r="EJ34" i="29"/>
  <c r="EG34" i="29"/>
  <c r="EA34" i="29"/>
  <c r="DO34" i="29"/>
  <c r="DL34" i="29"/>
  <c r="DF34" i="29"/>
  <c r="CT34" i="29"/>
  <c r="CQ34" i="29"/>
  <c r="CK34" i="29"/>
  <c r="BY34" i="29"/>
  <c r="BV34" i="29"/>
  <c r="BP34" i="29"/>
  <c r="BD34" i="29"/>
  <c r="BA34" i="29"/>
  <c r="AU34" i="29"/>
  <c r="AI34" i="29"/>
  <c r="AF34" i="29"/>
  <c r="FC33" i="29"/>
  <c r="EZ33" i="29"/>
  <c r="EJ33" i="29"/>
  <c r="EG33" i="29"/>
  <c r="DO33" i="29"/>
  <c r="DL33" i="29"/>
  <c r="CT33" i="29"/>
  <c r="CQ33" i="29"/>
  <c r="BY33" i="29"/>
  <c r="BV33" i="29"/>
  <c r="BD33" i="29"/>
  <c r="BA33" i="29"/>
  <c r="AI33" i="29"/>
  <c r="AF33" i="29"/>
  <c r="FC32" i="29"/>
  <c r="EZ32" i="29"/>
  <c r="ET32" i="29"/>
  <c r="EJ32" i="29"/>
  <c r="EG32" i="29"/>
  <c r="EA32" i="29"/>
  <c r="DO32" i="29"/>
  <c r="DL32" i="29"/>
  <c r="DF32" i="29"/>
  <c r="CT32" i="29"/>
  <c r="CQ32" i="29"/>
  <c r="CK32" i="29"/>
  <c r="BY32" i="29"/>
  <c r="BV32" i="29"/>
  <c r="BP32" i="29"/>
  <c r="BD32" i="29"/>
  <c r="BA32" i="29"/>
  <c r="AU32" i="29"/>
  <c r="AI32" i="29"/>
  <c r="AF32" i="29"/>
  <c r="FC29" i="29"/>
  <c r="FA29" i="29"/>
  <c r="EZ29" i="29"/>
  <c r="EX29" i="29"/>
  <c r="EW29" i="29"/>
  <c r="EV29" i="29"/>
  <c r="EU29" i="29"/>
  <c r="ET29" i="29"/>
  <c r="EJ6" i="29"/>
  <c r="EJ7" i="29"/>
  <c r="EJ8" i="29"/>
  <c r="EJ9" i="29"/>
  <c r="EJ10" i="29"/>
  <c r="EJ11" i="29"/>
  <c r="EJ12" i="29"/>
  <c r="EJ13" i="29"/>
  <c r="EJ14" i="29"/>
  <c r="EJ15" i="29"/>
  <c r="EJ16" i="29"/>
  <c r="EJ17" i="29"/>
  <c r="EJ18" i="29"/>
  <c r="EJ19" i="29"/>
  <c r="EJ20" i="29"/>
  <c r="EJ21" i="29"/>
  <c r="EJ22" i="29"/>
  <c r="EJ23" i="29"/>
  <c r="EJ24" i="29"/>
  <c r="EJ25" i="29"/>
  <c r="EJ26" i="29"/>
  <c r="EJ27" i="29"/>
  <c r="EJ28" i="29"/>
  <c r="EJ29" i="29"/>
  <c r="EH29" i="29"/>
  <c r="EG6" i="29"/>
  <c r="EG7" i="29"/>
  <c r="EG8" i="29"/>
  <c r="EG9" i="29"/>
  <c r="EG10" i="29"/>
  <c r="EG11" i="29"/>
  <c r="EG12" i="29"/>
  <c r="EG13" i="29"/>
  <c r="EG14" i="29"/>
  <c r="EG15" i="29"/>
  <c r="EG16" i="29"/>
  <c r="EG17" i="29"/>
  <c r="EG18" i="29"/>
  <c r="EG19" i="29"/>
  <c r="EG20" i="29"/>
  <c r="EG21" i="29"/>
  <c r="EG22" i="29"/>
  <c r="EG23" i="29"/>
  <c r="EG24" i="29"/>
  <c r="EG25" i="29"/>
  <c r="EG26" i="29"/>
  <c r="EG27" i="29"/>
  <c r="EG28" i="29"/>
  <c r="EG29" i="29"/>
  <c r="EE29" i="29"/>
  <c r="ED29" i="29"/>
  <c r="EC29" i="29"/>
  <c r="DO6" i="29"/>
  <c r="DO7" i="29"/>
  <c r="DO8" i="29"/>
  <c r="DO9" i="29"/>
  <c r="DO10" i="29"/>
  <c r="DO11" i="29"/>
  <c r="DO12" i="29"/>
  <c r="DO13" i="29"/>
  <c r="DO14" i="29"/>
  <c r="DO15" i="29"/>
  <c r="DO16" i="29"/>
  <c r="DO17" i="29"/>
  <c r="DO18" i="29"/>
  <c r="DO19" i="29"/>
  <c r="DO20" i="29"/>
  <c r="DO21" i="29"/>
  <c r="DO22" i="29"/>
  <c r="DO23" i="29"/>
  <c r="DO24" i="29"/>
  <c r="DO25" i="29"/>
  <c r="DO26" i="29"/>
  <c r="DO27" i="29"/>
  <c r="DO28" i="29"/>
  <c r="DO29" i="29"/>
  <c r="DM29" i="29"/>
  <c r="DL6" i="29"/>
  <c r="DL7" i="29"/>
  <c r="DL8" i="29"/>
  <c r="DL9" i="29"/>
  <c r="DL10" i="29"/>
  <c r="DL11" i="29"/>
  <c r="DL12" i="29"/>
  <c r="DL13" i="29"/>
  <c r="DL14" i="29"/>
  <c r="DL15" i="29"/>
  <c r="DL16" i="29"/>
  <c r="DL17" i="29"/>
  <c r="DL18" i="29"/>
  <c r="DL19" i="29"/>
  <c r="DL20" i="29"/>
  <c r="DL21" i="29"/>
  <c r="DL22" i="29"/>
  <c r="DL23" i="29"/>
  <c r="DL24" i="29"/>
  <c r="DL25" i="29"/>
  <c r="DL26" i="29"/>
  <c r="DL27" i="29"/>
  <c r="DL28" i="29"/>
  <c r="DL29" i="29"/>
  <c r="DJ29" i="29"/>
  <c r="DI29" i="29"/>
  <c r="DH29" i="29"/>
  <c r="CT6" i="29"/>
  <c r="CT7" i="29"/>
  <c r="CT8" i="29"/>
  <c r="CT9" i="29"/>
  <c r="CT10" i="29"/>
  <c r="CT11" i="29"/>
  <c r="CT12" i="29"/>
  <c r="CT13" i="29"/>
  <c r="CT14" i="29"/>
  <c r="CT15" i="29"/>
  <c r="CT16" i="29"/>
  <c r="CT17" i="29"/>
  <c r="CT18" i="29"/>
  <c r="CT19" i="29"/>
  <c r="CT20" i="29"/>
  <c r="CT21" i="29"/>
  <c r="CT22" i="29"/>
  <c r="CT23" i="29"/>
  <c r="CT24" i="29"/>
  <c r="CT25" i="29"/>
  <c r="CT26" i="29"/>
  <c r="CT27" i="29"/>
  <c r="CT28" i="29"/>
  <c r="CT29" i="29"/>
  <c r="CR29" i="29"/>
  <c r="CQ6" i="29"/>
  <c r="CQ7" i="29"/>
  <c r="CQ8" i="29"/>
  <c r="CQ9" i="29"/>
  <c r="CQ10" i="29"/>
  <c r="CQ11" i="29"/>
  <c r="CQ12" i="29"/>
  <c r="CQ13" i="29"/>
  <c r="CQ14" i="29"/>
  <c r="CQ15" i="29"/>
  <c r="CQ16" i="29"/>
  <c r="CQ17" i="29"/>
  <c r="CQ18" i="29"/>
  <c r="CQ19" i="29"/>
  <c r="CQ20" i="29"/>
  <c r="CQ21" i="29"/>
  <c r="CQ22" i="29"/>
  <c r="CQ23" i="29"/>
  <c r="CQ24" i="29"/>
  <c r="CQ25" i="29"/>
  <c r="CQ26" i="29"/>
  <c r="CQ27" i="29"/>
  <c r="CQ28" i="29"/>
  <c r="CQ29" i="29"/>
  <c r="CO29" i="29"/>
  <c r="CN29" i="29"/>
  <c r="BY6" i="29"/>
  <c r="BY7" i="29"/>
  <c r="BY8" i="29"/>
  <c r="BY9" i="29"/>
  <c r="BY10" i="29"/>
  <c r="BY11" i="29"/>
  <c r="BY12" i="29"/>
  <c r="BY13" i="29"/>
  <c r="BY14" i="29"/>
  <c r="BY15" i="29"/>
  <c r="BY16" i="29"/>
  <c r="BY17" i="29"/>
  <c r="BY18" i="29"/>
  <c r="BY19" i="29"/>
  <c r="BY20" i="29"/>
  <c r="BY21" i="29"/>
  <c r="BY22" i="29"/>
  <c r="BY23" i="29"/>
  <c r="BY24" i="29"/>
  <c r="BY25" i="29"/>
  <c r="BY26" i="29"/>
  <c r="BY27" i="29"/>
  <c r="BY28" i="29"/>
  <c r="BY29" i="29"/>
  <c r="BW29" i="29"/>
  <c r="BV6" i="29"/>
  <c r="BV7" i="29"/>
  <c r="BV8" i="29"/>
  <c r="BV9" i="29"/>
  <c r="BV10" i="29"/>
  <c r="BV11" i="29"/>
  <c r="BV12" i="29"/>
  <c r="BV13" i="29"/>
  <c r="BV14" i="29"/>
  <c r="BV15" i="29"/>
  <c r="BV16" i="29"/>
  <c r="BV17" i="29"/>
  <c r="BV18" i="29"/>
  <c r="BV19" i="29"/>
  <c r="BV20" i="29"/>
  <c r="BV21" i="29"/>
  <c r="BV22" i="29"/>
  <c r="BV23" i="29"/>
  <c r="BV24" i="29"/>
  <c r="BV25" i="29"/>
  <c r="BV26" i="29"/>
  <c r="BV27" i="29"/>
  <c r="BV28" i="29"/>
  <c r="BV29" i="29"/>
  <c r="BT29" i="29"/>
  <c r="BS29" i="29"/>
  <c r="BR29" i="29"/>
  <c r="BD6" i="29"/>
  <c r="BD7" i="29"/>
  <c r="BD8" i="29"/>
  <c r="BD9" i="29"/>
  <c r="BD10" i="29"/>
  <c r="BD11" i="29"/>
  <c r="BD12" i="29"/>
  <c r="BD13" i="29"/>
  <c r="BD14" i="29"/>
  <c r="BD15" i="29"/>
  <c r="BD16" i="29"/>
  <c r="BD17" i="29"/>
  <c r="BD18" i="29"/>
  <c r="BD19" i="29"/>
  <c r="BD20" i="29"/>
  <c r="BD21" i="29"/>
  <c r="BD22" i="29"/>
  <c r="BD23" i="29"/>
  <c r="BD24" i="29"/>
  <c r="BD25" i="29"/>
  <c r="BD26" i="29"/>
  <c r="BD27" i="29"/>
  <c r="BD28" i="29"/>
  <c r="BD29" i="29"/>
  <c r="BB29" i="29"/>
  <c r="BA6" i="29"/>
  <c r="BA7" i="29"/>
  <c r="BA8" i="29"/>
  <c r="BA9" i="29"/>
  <c r="BA10" i="29"/>
  <c r="BA11" i="29"/>
  <c r="BA12" i="29"/>
  <c r="BA13" i="29"/>
  <c r="BA14" i="29"/>
  <c r="BA15" i="29"/>
  <c r="BA16" i="29"/>
  <c r="BA17" i="29"/>
  <c r="BA18" i="29"/>
  <c r="BA19" i="29"/>
  <c r="BA20" i="29"/>
  <c r="BA21" i="29"/>
  <c r="BA22" i="29"/>
  <c r="BA23" i="29"/>
  <c r="BA24" i="29"/>
  <c r="BA25" i="29"/>
  <c r="BA26" i="29"/>
  <c r="BA27" i="29"/>
  <c r="BA28" i="29"/>
  <c r="BA29" i="29"/>
  <c r="AY29" i="29"/>
  <c r="AX29" i="29"/>
  <c r="AW29" i="29"/>
  <c r="AI6" i="29"/>
  <c r="AI7" i="29"/>
  <c r="AI8" i="29"/>
  <c r="AI9" i="29"/>
  <c r="AI10" i="29"/>
  <c r="AI11" i="29"/>
  <c r="AI12" i="29"/>
  <c r="AI13" i="29"/>
  <c r="AI14" i="29"/>
  <c r="AI15" i="29"/>
  <c r="AI16" i="29"/>
  <c r="AI17" i="29"/>
  <c r="AI18" i="29"/>
  <c r="AI19" i="29"/>
  <c r="AI20" i="29"/>
  <c r="AI21" i="29"/>
  <c r="AI22" i="29"/>
  <c r="AI23" i="29"/>
  <c r="AI24" i="29"/>
  <c r="AI25" i="29"/>
  <c r="AI26" i="29"/>
  <c r="AI27" i="29"/>
  <c r="AI28" i="29"/>
  <c r="AI29" i="29"/>
  <c r="AG29" i="29"/>
  <c r="AF6" i="29"/>
  <c r="AF7" i="29"/>
  <c r="AF8" i="29"/>
  <c r="AF9" i="29"/>
  <c r="AF10" i="29"/>
  <c r="AF11" i="29"/>
  <c r="AF12" i="29"/>
  <c r="AF13" i="29"/>
  <c r="AF14" i="29"/>
  <c r="AF15" i="29"/>
  <c r="AF16" i="29"/>
  <c r="AF17" i="29"/>
  <c r="AF18" i="29"/>
  <c r="AF19" i="29"/>
  <c r="AF20" i="29"/>
  <c r="AF21" i="29"/>
  <c r="AF22" i="29"/>
  <c r="AF23" i="29"/>
  <c r="AF24" i="29"/>
  <c r="AF25" i="29"/>
  <c r="AF26" i="29"/>
  <c r="AF27" i="29"/>
  <c r="AF28" i="29"/>
  <c r="AF29" i="29"/>
  <c r="AD29" i="29"/>
  <c r="AB29" i="29"/>
  <c r="FC28" i="29"/>
  <c r="EZ28" i="29"/>
  <c r="ET28" i="29"/>
  <c r="FC27" i="29"/>
  <c r="EZ27" i="29"/>
  <c r="ET27" i="29"/>
  <c r="FC26" i="29"/>
  <c r="EZ26" i="29"/>
  <c r="ET26" i="29"/>
  <c r="FC25" i="29"/>
  <c r="EZ25" i="29"/>
  <c r="ET25" i="29"/>
  <c r="FC24" i="29"/>
  <c r="EZ24" i="29"/>
  <c r="ET24" i="29"/>
  <c r="FC23" i="29"/>
  <c r="EZ23" i="29"/>
  <c r="ET23" i="29"/>
  <c r="FC22" i="29"/>
  <c r="EZ22" i="29"/>
  <c r="ET22" i="29"/>
  <c r="FC21" i="29"/>
  <c r="EZ21" i="29"/>
  <c r="ET21" i="29"/>
  <c r="FC20" i="29"/>
  <c r="EZ20" i="29"/>
  <c r="ET20" i="29"/>
  <c r="FC19" i="29"/>
  <c r="EZ19" i="29"/>
  <c r="ET19" i="29"/>
  <c r="FC18" i="29"/>
  <c r="EZ18" i="29"/>
  <c r="ET18" i="29"/>
  <c r="FC17" i="29"/>
  <c r="EZ17" i="29"/>
  <c r="ET17" i="29"/>
  <c r="FC16" i="29"/>
  <c r="EZ16" i="29"/>
  <c r="ET16" i="29"/>
  <c r="FC15" i="29"/>
  <c r="EZ15" i="29"/>
  <c r="ET15" i="29"/>
  <c r="FC14" i="29"/>
  <c r="EZ14" i="29"/>
  <c r="ET14" i="29"/>
  <c r="FC13" i="29"/>
  <c r="EZ13" i="29"/>
  <c r="ET13" i="29"/>
  <c r="FC12" i="29"/>
  <c r="EZ12" i="29"/>
  <c r="ET12" i="29"/>
  <c r="FC11" i="29"/>
  <c r="EZ11" i="29"/>
  <c r="ET11" i="29"/>
  <c r="FC10" i="29"/>
  <c r="EZ10" i="29"/>
  <c r="ET10" i="29"/>
  <c r="FC9" i="29"/>
  <c r="EZ9" i="29"/>
  <c r="ET9" i="29"/>
  <c r="FC8" i="29"/>
  <c r="EZ8" i="29"/>
  <c r="ET8" i="29"/>
  <c r="FC7" i="29"/>
  <c r="EZ7" i="29"/>
  <c r="EA7" i="29"/>
  <c r="DF7" i="29"/>
  <c r="CK7" i="29"/>
  <c r="BP7" i="29"/>
  <c r="AU7" i="29"/>
  <c r="FC6" i="29"/>
  <c r="EZ6" i="29"/>
  <c r="ET6" i="29"/>
  <c r="AM88" i="29"/>
  <c r="CC88" i="29"/>
  <c r="DS88" i="29"/>
</calcChain>
</file>

<file path=xl/sharedStrings.xml><?xml version="1.0" encoding="utf-8"?>
<sst xmlns="http://schemas.openxmlformats.org/spreadsheetml/2006/main" count="2647" uniqueCount="679">
  <si>
    <t>Total Common</t>
  </si>
  <si>
    <t>Co-Founder 1</t>
  </si>
  <si>
    <t>"Round" could be Seed, Friends and Family, etc. This is only used for labeling, it doesn't automatically change variables in the model.</t>
  </si>
  <si>
    <t>This sample cap table is created for entrepreneurs, not investors (investors, if you want a full portfolio prediction model, check out http://foresight.is/venture-fund-model )</t>
  </si>
  <si>
    <t>Therefore, I took a couple simplifying assumptions in terms of how each round is allocated among investors, because for the purposes of the math behind this sample model, it doesn't matter.</t>
  </si>
  <si>
    <t>If you want to create a cap table that accurately projects the ownership of all your investors and their varying potential pro-ratas, ownership, etc., there's a couple options:</t>
  </si>
  <si>
    <t>a) Extend this model by creating new lines in the cap table to create spaces for each of your investors</t>
  </si>
  <si>
    <t>As a reminder, this model is created to be a sample cap table to help you understand how a cap table works, and how ownership is impacted by investment rounds and valuations.</t>
  </si>
  <si>
    <t>b) Use a cap table management software to keep accurate details of your cap table. For suggestions, see next question.</t>
  </si>
  <si>
    <t>Should I use this to manage my cap table?</t>
  </si>
  <si>
    <t>How do I get started?</t>
  </si>
  <si>
    <t>- Capshare (http://www.capshare.com)</t>
  </si>
  <si>
    <t>The model accounts for a number of "rounds". You could choose for this to be multiple notes (with different caps), or for just a simple set of rounds.</t>
  </si>
  <si>
    <t>by Foresight</t>
  </si>
  <si>
    <t>Options - Granted</t>
  </si>
  <si>
    <t>% Discount Rate</t>
  </si>
  <si>
    <t>NEED HELP?</t>
  </si>
  <si>
    <t>A couple simplifying assumptions are built into the model.</t>
  </si>
  <si>
    <t>- Captable (https://captable.io/ )</t>
  </si>
  <si>
    <t>Price per Share</t>
  </si>
  <si>
    <t>Total</t>
  </si>
  <si>
    <t>Common</t>
  </si>
  <si>
    <t>Options</t>
  </si>
  <si>
    <t>Total Proceeds</t>
  </si>
  <si>
    <t>Why do you not break out all potential investors?</t>
  </si>
  <si>
    <t>Founding</t>
  </si>
  <si>
    <t>Seed</t>
  </si>
  <si>
    <t>na</t>
  </si>
  <si>
    <t>Liquidation Preferences</t>
  </si>
  <si>
    <t>Option Pool</t>
  </si>
  <si>
    <t>CHANGELOG</t>
  </si>
  <si>
    <t>New version! Completely rebuilt from the ground-up to accomplish a couple key goals:</t>
  </si>
  <si>
    <t>Preferred</t>
  </si>
  <si>
    <t>A</t>
  </si>
  <si>
    <t>B</t>
  </si>
  <si>
    <t>C</t>
  </si>
  <si>
    <t>D</t>
  </si>
  <si>
    <t>E</t>
  </si>
  <si>
    <t>Share</t>
  </si>
  <si>
    <t>% Ownership</t>
  </si>
  <si>
    <t>Date</t>
  </si>
  <si>
    <t>hello@foresight.is / @foresighthq / @tdavidson</t>
  </si>
  <si>
    <t>Questions, comments, ideas, email hello@foresight.is</t>
  </si>
  <si>
    <t>GOAL</t>
  </si>
  <si>
    <t>UPDATES</t>
  </si>
  <si>
    <t>DOCUMENTATION</t>
  </si>
  <si>
    <t>HOW TO USE</t>
  </si>
  <si>
    <t>4) All assumptions are illustrative ONLY, do not assume they are market data or standard unless specifically noted</t>
  </si>
  <si>
    <t>For support questions, email hello@foresight.is anytime. For assistance in leveraging the models for individualized, personalized models to fit your business questions, details at https://foresight.is/services</t>
  </si>
  <si>
    <t>Purchase, download, or use of this model signifies acceptance of terms specified at https://foresight.is/terms</t>
  </si>
  <si>
    <t>%</t>
  </si>
  <si>
    <t>Option Pool - Available, Ungranted</t>
  </si>
  <si>
    <t>Term for the Primary Instrument</t>
  </si>
  <si>
    <t>Example: First Issuance of an Equity Round</t>
  </si>
  <si>
    <t>What to pay attention to:</t>
  </si>
  <si>
    <t>Shareholder</t>
  </si>
  <si>
    <t>When more detail is required and investors request full cap tables, and the deal is evolved enough where it makes sense, then I usually share a more detailed cap table that shows individual shareholders and their positions.</t>
  </si>
  <si>
    <t>Co-Founder</t>
  </si>
  <si>
    <t>This is an simplified example cap table, provided to help explain the mechanics involved in particular types of transactions.</t>
  </si>
  <si>
    <t>Employee</t>
  </si>
  <si>
    <t>Seed Investor</t>
  </si>
  <si>
    <t>$ Investment Amount</t>
  </si>
  <si>
    <t>$ Share Price</t>
  </si>
  <si>
    <t>$ Ownership Value</t>
  </si>
  <si>
    <t>Seed Investor 2</t>
  </si>
  <si>
    <t>Seed Round</t>
  </si>
  <si>
    <t>$ Premoney Valuation</t>
  </si>
  <si>
    <t>$ Total Invested</t>
  </si>
  <si>
    <t>General structure notes:</t>
  </si>
  <si>
    <t>As noted in the README, the standard methodology for all Foresight models is for inputs - numbers that can be input into the model - are blue text and grey background, and numbers that are the result of formulas are in black.</t>
  </si>
  <si>
    <t>You can change the numbers in the inputs without worrying about the model working: change or overwrite numbers in black only if you know what you are doing.</t>
  </si>
  <si>
    <t>I don't usually round numbers off in models, although often in financing documents share prices are rounded off to a number of significant digits, often 5.</t>
  </si>
  <si>
    <t>I use the IFERROR formula simply to remove the DIV/0 errors and others that result from certain things not being used. Nothing special, just something that makes things look nicer.</t>
  </si>
  <si>
    <t>[1] The initial setup is for the share register before the round of investment. For simplicity's sake, I'm assuming that only common stock is issued so far (no options, no warrants, no notes, etc.).</t>
  </si>
  <si>
    <t>[2] The shares represent fully-diluted shares: not the shares authorized, but the shares that are issued or are contractually obligated to issue. I.e. options count toward fully-diluted shares, authorized but unissued shares to not.</t>
  </si>
  <si>
    <t>[3] The share price is calculated by dividing the premoney valuation by the number of fully-diluted shares outstanding to date. This sets the price for the shares to be issued, which are then issued and sold to the new investor.</t>
  </si>
  <si>
    <t>[4] Issuing the new shares dilutes the existing shareholders (their % ownership goes down), but the math can still result in the shareholder's gaining more overall value if the share prices are going up.</t>
  </si>
  <si>
    <t>General note about creating and sharing cap tables:</t>
  </si>
  <si>
    <t>[1]</t>
  </si>
  <si>
    <t>[5]</t>
  </si>
  <si>
    <t>[4]</t>
  </si>
  <si>
    <t>[3]</t>
  </si>
  <si>
    <t>[2]</t>
  </si>
  <si>
    <t>[6]</t>
  </si>
  <si>
    <t>[5] The premoney valuation is the value of the company before the investment goes into the company; the postmoney valuation is the value of the company after the investment. Usually, the postmoney = the premoney + the amount invested, noting that conversions of notes and other instruments alters that.</t>
  </si>
  <si>
    <t>[6] The total ownership value after the financing should equal the postmoney valuation.</t>
  </si>
  <si>
    <t>[7] When creating cap tables for financial models that are shared with people, I generally do not show the exact share ownership of every single investor, but choose to group them together (founders, employees, Seed investors, etc.)</t>
  </si>
  <si>
    <t>[7]</t>
  </si>
  <si>
    <t>GUIDE TO THE MODEL</t>
  </si>
  <si>
    <t>A Round</t>
  </si>
  <si>
    <t>[2] The share price calculation - and issuance of new shares - does not include any protections around down rounds or ratchets for the investors, so just know that it would be different if the valuation for the second round is down from the first round.</t>
  </si>
  <si>
    <t>A Investor</t>
  </si>
  <si>
    <t>[1] This example builds on the first equity issuance to show what happens with a second round of equity. This assumes through the inputs that one of the original investors participate in the next round, have prorata rights to maintain their ownership %, and utilize their full prorata rights to invest in the second round.</t>
  </si>
  <si>
    <t>[3] This model doesn't care if the investors are issued preferred or common shares - and it doesn't matter for ownership % - but does have many other impacts on control of the company.</t>
  </si>
  <si>
    <t>% of Company sold</t>
  </si>
  <si>
    <t>Example: Second Issuance of an Equity Round</t>
  </si>
  <si>
    <t>$ Valuation Cap</t>
  </si>
  <si>
    <t>Example: First Issuance of a Convertible Note or SAFE</t>
  </si>
  <si>
    <t>[1] Notice the difference with the issuance of a convertible note or SAFE. The investment comes in, but no shares are issued yet. So there is no premoney valuation, not postmoney valuation, and the cap table remains unchanged.</t>
  </si>
  <si>
    <t>[2] This structure allows for different investors to have different terms - discount rate, valuation caps, and interest rates - so structurally, you can combine all unconverted notes in between rounds on one round.</t>
  </si>
  <si>
    <t>$ Converted</t>
  </si>
  <si>
    <t>$ Interest</t>
  </si>
  <si>
    <t>Total $ Converted</t>
  </si>
  <si>
    <t>$ Postmoney Valuation</t>
  </si>
  <si>
    <t>A better instructional tool.</t>
  </si>
  <si>
    <t>The previous cap table was a good tool to use, but not a great tool if you wanted to understand how everything worked so you could build your own. With this model, I've tried to build this so that it would be a much better instructional tool, and I've done that by building in a number of additional sheets that show specific examples so that you can unpack the formulas and the methdologies in each situation.</t>
  </si>
  <si>
    <t>More flexible and easier to edit.</t>
  </si>
  <si>
    <t>The core tool - the Cap Table sheet - is analogous to the Cap Table in the original Cap Table model, in that it aims to allow users to specify a number of specifics about each round and fully model all (or almost all) situations. This tool adds in more flexibility with a structure that makes it easier to add in lines for additional shareholders, makes it easy to add in convertible instruments in any round (the previous tool only allowed for convertibles in the first fundraising round), and is all around easier to understand.</t>
  </si>
  <si>
    <t>More flexible conversion of convertible instruments.</t>
  </si>
  <si>
    <t>The previous cap table had a fundamental assumption - noted but perhaps not clear - that the note or SAFE conversions were done using the premoney method. In real life, there are multiple methods for converting a note, and this new version builds in the options for convertibles to be converted using the percentage ownership and dollars invested methods. Simply select the method in the dropdown, and the calculations - as well as the cells labeled as inputs - will change.</t>
  </si>
  <si>
    <t>A much clearer waterfall detail.</t>
  </si>
  <si>
    <t>The previous cap table had a formula that was the most complex I have ever built, which I'm both proud and disgusted by, simply because it was also the most incomprehensible formula I have ever built, and it is completely impossible for anyone to really unpack and understand how it works. In this version, that formula is gone, replaced with several lines and columns that unpack the formula and also provide more transparency into how the waterfall is calculated.</t>
  </si>
  <si>
    <t>Example: First Issuance of an Equity Round, with a Premoney Option Pool</t>
  </si>
  <si>
    <t>$ Effective Premoney Valuation</t>
  </si>
  <si>
    <t>Options Issued</t>
  </si>
  <si>
    <t>Option Pool, created in Premoney</t>
  </si>
  <si>
    <t>Option Pool, created in Postmoney</t>
  </si>
  <si>
    <t># Shares Issued</t>
  </si>
  <si>
    <t>[2] This methodology essentially forces all the dilution that results from creating the option pool onto the existing shareholders, and the new investors do not get diluted by the creation of the option pool.</t>
  </si>
  <si>
    <t>[1] The option pool is generally calculated as the % of the value of the company that is allocated to options. So to calculate the option pool, you assume the %, multiple by the postmoney valuation, and then in this case, subtract that value from the premoney valuation to calculate the effective premoney valuation.</t>
  </si>
  <si>
    <t>[3] By reducing the premoney valuation by the value of the option pool, the share price is reduced compared to a financing without an option pool created in the premoney.</t>
  </si>
  <si>
    <t>[4] When negotiating a valuation, it's valuable for investors and entrepreneurs to know how they are treating things like option pool creation so that they can compare valuations with terms like this that may have a less than obvious effect on valuation, dilution, and ownership.</t>
  </si>
  <si>
    <t>[5] The # of options issued is then calculated by the option value divided by the share price.</t>
  </si>
  <si>
    <t>[6] Option pools are created so that companies have options to be able to give to prospective hires or current employees as compensation. Over time, as options are granted, the pool declines, and may need to be increased in the future if additional options are necessary for significant hires.</t>
  </si>
  <si>
    <t>[1] Compare the postmoney option pool scenario to the premoney scenario. Since the pool is created in the postmoney, no change to the premoney valuation. Same share price.</t>
  </si>
  <si>
    <t>[2] In this scenario, both existing shareholders and new investors get diluted. Compare the ownership positions of the new investors in this case with the premoney option pool scenario and the first equity issuance scenario.</t>
  </si>
  <si>
    <t>[7] As a general note, in a lot of labels I use the term shares but the data may include options as well as shares. It's just a simplification, pardon for my shorthand.</t>
  </si>
  <si>
    <t>[3] The new terms - discount rate, valuation cap, interest rate - would not be listed on a cap table. Technically, the convertible note investors wouldn't even be listed on the cap table since they don't own shares yet, but would just be a note. I'm detailing the noteholders and the terms of their notes here simply because this format does a better job of showing the math and it's more scalable for adding new investors.</t>
  </si>
  <si>
    <t>% Annual Interest Rate</t>
  </si>
  <si>
    <t xml:space="preserve">[1] Since we are going to calculate the accumulated interest, and add it to the value of the convertible before conversion, I need the date so that I can calculate the total interest. In this scenario, I'm assuming an annual interest rate, compounded annually. </t>
  </si>
  <si>
    <t>[2] And I'm assuming that the interest is converted rather than paid back before conversion, which is a scenario used in many term sheets.</t>
  </si>
  <si>
    <t>[3] Just for simplicity sake, I set the date of the conversion to TODAY(), and the original issuance of the note to TODAY() less 18 months. Change the dates to whatever you want.</t>
  </si>
  <si>
    <t>[4] The formula I'm using to convert the note is Excel's FV formula. Just click on formula help to understand the terms, but it's pretty simple. The DATEDIF formula is used to calculate the number of years, months, days, etc. between 2 dates, and in this scenario with an annual interest rate, compounded annually, the number of periods is the number of years in between the two dates.</t>
  </si>
  <si>
    <t>Example: Conversion of a Convertible Note or SAFE with the issuance of a qualified Equity financing, using Premoney conversion method</t>
  </si>
  <si>
    <t>[1] [3]</t>
  </si>
  <si>
    <t>[2] [4]</t>
  </si>
  <si>
    <t>[5] This scenario uses the premoney method of converting the note. This method holds the premoney valuation constant, and the value of the conversion is added to the postmoney valuation.</t>
  </si>
  <si>
    <t>[6] The share price used in this conversion is the lessor of:</t>
  </si>
  <si>
    <t>- the share price for the new investment * (1 - the discount rate)</t>
  </si>
  <si>
    <t>Note, if there is an exit of the company before a qualified financing, the term sheet will describe exactly how the note is handled. Often it is not converted, but is paid off by a formula set in the term sheet that is negotiated by the investor and the entrepreneur.</t>
  </si>
  <si>
    <t>- the share price calculated by the valuation cap on the note divided by the fully-diluted shares outstanding prior to the note conversion</t>
  </si>
  <si>
    <t>[7] Convertible instruments will often include terms using a discount rate, a valuation cap, or both, and the term sheet will describe how to calculate the share price to use for the conversion. Always read the term sheet.</t>
  </si>
  <si>
    <t>[8] Most term sheets don't specify the discount rate, instead they will cite the inverse. Just note that if you are thinking it's a 20% discount rate, you'll likely see language in the term sheet referring to a calculation that uses 80%.</t>
  </si>
  <si>
    <t>$ Share Price, Investment</t>
  </si>
  <si>
    <t>$ Share Price, Converted</t>
  </si>
  <si>
    <t>[6] [7] [8] [9]</t>
  </si>
  <si>
    <t>[10]</t>
  </si>
  <si>
    <t>[10] The share price used for the new financing is unchanged compared to the equity issuance without a conversion event.</t>
  </si>
  <si>
    <t>$ Value Converted</t>
  </si>
  <si>
    <t>Example: Conversion of a Convertible Note or SAFE with the issuance of a qualified Equity financing, using Percentage Ownership conversion method</t>
  </si>
  <si>
    <t>[11] This would not appear on a cap table, but what I'm showing here is how the conversion impacts the effective postmoney valuation because of the conversion of the $ at a discount.</t>
  </si>
  <si>
    <t>[11]</t>
  </si>
  <si>
    <t>$ Effective Postmoney Valuation</t>
  </si>
  <si>
    <t>[1] In the case of converting the note using the percentage ownership method, the goal of the conversion is to force all of the dilution from the note conversion onto the existing shareholders (and not the new investors). This means the new investors, after the conversion and their investment, own the same % of the company that was negotiated with the premoney and postmoney valuation.</t>
  </si>
  <si>
    <t>[2] In effect, this is holding the postmoney valuation constant and subtracting the investment and the value of the conversion to calculate the premoney valuation, and thus the new share price for the investment and all the conversions.</t>
  </si>
  <si>
    <t>[3] Note that the new equity investor still owns the 20% of the company that they originally intended to purchase. Compare the ownership %s of this scenario with the premoney method.</t>
  </si>
  <si>
    <t>$</t>
  </si>
  <si>
    <t>[1] With the Dollars Invested method, the postmoney valuation is fixed as the agreed premoney valuation plus the dollars invested plus the dollars converted (the principal and the interest).</t>
  </si>
  <si>
    <t>[2] Then the effective premoney - the premoney valuation used to calculate the share prices - is calculated by subtracting out the value of the shares that the noteholders are receiving from the conversion discount. I.e., the difference between the "value converted" and the "converted", which is the value of the conversion discount, is subtracted from the premoney.</t>
  </si>
  <si>
    <t>[3] In this scenario, the new investors and existing shareholders both share in the dilution effect of the note conversion, with the relative distribution of the dilution depending on the degree of the discount that the noteholders are receiving.</t>
  </si>
  <si>
    <t>[2] [3]</t>
  </si>
  <si>
    <r>
      <rPr>
        <b/>
        <sz val="12"/>
        <color theme="1"/>
        <rFont val="Avenir Book"/>
      </rPr>
      <t>1 - Equity Issuance Round 2</t>
    </r>
    <r>
      <rPr>
        <sz val="12"/>
        <color theme="1"/>
        <rFont val="Avenir Book"/>
      </rPr>
      <t xml:space="preserve"> is an example cap table that builds on the first issuance to show what happens with a second round of equity</t>
    </r>
  </si>
  <si>
    <t>More waterfall returns analysis.</t>
  </si>
  <si>
    <t>Waterfall Analysis</t>
  </si>
  <si>
    <t># Multiple on Invested Capital (Exit price / Invested Capital)</t>
  </si>
  <si>
    <t>Exit Date</t>
  </si>
  <si>
    <t>Exit Valuation</t>
  </si>
  <si>
    <t>Optional: Is this a Participating Preferred Instrument, and if so, what kind?</t>
  </si>
  <si>
    <t>Optional: If there is a cap, what is the cap?</t>
  </si>
  <si>
    <t>What currency should be used in the model?</t>
  </si>
  <si>
    <t>#</t>
  </si>
  <si>
    <t>[3] For the postmoney, I've structured it so that the inputs creates a 20% option pool in the postmoney, so the # of options issued has to reflect the dilution from the option pool itself, to get to the 20% target. That's why there is that extra (1-% input) in the formula, to account for that dilution.</t>
  </si>
  <si>
    <t>[3] [4]</t>
  </si>
  <si>
    <t>[4] Obviously this extra dilution to the formula is unnecessary for the premoney since the act of creating the option pool forces all the dilution to the existing shareholders. But by creatingin the postmoney, all shareholders are diluted.</t>
  </si>
  <si>
    <t>[1] In this example I created the structure so you can input the option pool in the premoney or the postmoney, and then see how the pools interact with future grants.</t>
  </si>
  <si>
    <t>Example: First Issuance of an Equity Round, with a Postmoney Option Pool</t>
  </si>
  <si>
    <t>Example: Two Equity Round Issuances, with options for Premoney and Postmoney Option Pool, showing how Granted Options impact the cap table</t>
  </si>
  <si>
    <t>% of Option Pool Granted, since last round</t>
  </si>
  <si>
    <t># Fully-Diluted Shares</t>
  </si>
  <si>
    <t>[3] This is also important to track because at exit, the ungranted options are cancelled and thus taken off the final share register used for proceeds distribution.</t>
  </si>
  <si>
    <t>This is an example waterfall distribution, primarily created to show how different preference structures impacts distribution of proceeds</t>
  </si>
  <si>
    <t>Example: Waterfall distribution of Proceeds, using Option Pool, 2nd Round final cap table</t>
  </si>
  <si>
    <t xml:space="preserve">[4] </t>
  </si>
  <si>
    <t>[4] The date is not used for these calculations, only for the exit waterfall. This cap table is the base for the waterfall because it has the most share classes and rounds of the example cap tables, and I wanted to show more different options in the waterfall.</t>
  </si>
  <si>
    <t>Investors</t>
  </si>
  <si>
    <t>Share Price per Round</t>
  </si>
  <si>
    <t>[5] Investors can buy common also, and sometimes they will buy (or be issued) preferred and common in the same round. I just threw this one in here to show it as an example, and to also provide one extra wrinkle for the example waterfall.</t>
  </si>
  <si>
    <t>[6] This extra preferred investment by Seed Investor in the A round is to show how an investor holds their prorata by investing more money. It's optional, not all investors will do this, just wanted to show an example.</t>
  </si>
  <si>
    <t>Pre-Distribution Cap Table</t>
  </si>
  <si>
    <t>Total Fully-Diluted Shares</t>
  </si>
  <si>
    <t>Options Granted and Exercised</t>
  </si>
  <si>
    <t>Invested Capital</t>
  </si>
  <si>
    <t>Preferred - Seed</t>
  </si>
  <si>
    <t>Preferred - A</t>
  </si>
  <si>
    <t>% of Fully-Diluted Shares</t>
  </si>
  <si>
    <t>Exit Waterfall, showing distribution to shares</t>
  </si>
  <si>
    <t>Liquidation Preference</t>
  </si>
  <si>
    <t>Implied Proceeds if Convert to Common</t>
  </si>
  <si>
    <t>Cap on Participation</t>
  </si>
  <si>
    <t>Residual Amount</t>
  </si>
  <si>
    <t>Participation</t>
  </si>
  <si>
    <t>Amount Post Participation</t>
  </si>
  <si>
    <t>Shares Convert to Common</t>
  </si>
  <si>
    <t>Convert to common?</t>
  </si>
  <si>
    <t>Remaining Shares, all Investors</t>
  </si>
  <si>
    <t>Common Shares</t>
  </si>
  <si>
    <t>Exit Waterfall, showing returns to shareholders</t>
  </si>
  <si>
    <t>Exit Waterfall, showing ROI to shareholders</t>
  </si>
  <si>
    <t>Summary - Proceeds</t>
  </si>
  <si>
    <t>Preferred Converted to Common</t>
  </si>
  <si>
    <t>Use iterations / resolve circulars?</t>
  </si>
  <si>
    <t>no</t>
  </si>
  <si>
    <t>[4] One of the tricky things about calculating the share prices is that in some situations the formulas require a circular reference to calculate. Specifically, if there is a valuation cap and the cap is used instead of the discount rate to convert the note, then the share price and the discounted share price must be calculated from each other. The default setting is to just use the discount rate, but you can also select to use iterations - and turn on limit iterations under Excel &gt; Preferences &gt; Calculation - and the formulas will use the valuation cap, if necessary.</t>
  </si>
  <si>
    <t>Total Proceeds, all shareholders</t>
  </si>
  <si>
    <t>CAP TABLE AND EXIT WATERFALL TOOL</t>
  </si>
  <si>
    <t>If you purchased or downloaded this through https://foresight.is, updates are distributed automatically through my transaction provider (as long as you do not unsubscribe.) If you purchase through any other website, updates to the model require registration with Foresight; email Taylor at hello@foresight.is with details on where you downloaded the model to register, or simply download it again through https://foresight.is/cap-table</t>
  </si>
  <si>
    <t>1) Each sheet is independent of each other, except for 4 - Waterfall Distribution and 2 - Option Pool, 2nd Round, where the waterfall uses the cap table from that scenario</t>
  </si>
  <si>
    <t>2) Any number in blue with grey shaded background is an input (i.e. an assumption or data point that can be changed), anything in black is the result of a formula. Change blue at will, change anything in black with caution (know what you are doing)</t>
  </si>
  <si>
    <t>3) All cells and formulas are unlocked - as in all Foresight models - so that you can make edits as needed and completely understand what is going on.</t>
  </si>
  <si>
    <t>5) There are some situations that are not covered by the models: see the "Changelog" sheet for details.</t>
  </si>
  <si>
    <r>
      <t xml:space="preserve">The </t>
    </r>
    <r>
      <rPr>
        <b/>
        <sz val="12"/>
        <color theme="1"/>
        <rFont val="Avenir Book"/>
      </rPr>
      <t>Exit Waterfall</t>
    </r>
    <r>
      <rPr>
        <sz val="12"/>
        <color theme="1"/>
        <rFont val="Avenir Book"/>
      </rPr>
      <t xml:space="preserve"> sheet uses the Cap Table to show how the different share classes on the cap table earn proceeds at different exit valuations.</t>
    </r>
  </si>
  <si>
    <t>THE CAP TABLE</t>
  </si>
  <si>
    <t>The Cap Table sheet is the defauly, working cap table that you can use for your business, and is baked into the Standard Model - https://foresight.is/standard-financial-model</t>
  </si>
  <si>
    <t>Start by inputting the total # of shares to start. This is not an important assumption, because cap tables work reagardless of the number of shares.</t>
  </si>
  <si>
    <t>Note, SAFE or Equity? Select Convertible Note, SAFE, or Equity as the funding instrument, and the model will adjust automatically. The appropriate assumptions below are used. This only works for the seed round, but can be adjusted and can group together multiple seed rounds or closes by putting all of them in the first funding round section.</t>
  </si>
  <si>
    <t>1) Prorata for existing investors into future rounds is an input, not calculated</t>
  </si>
  <si>
    <t>2) Down rounds or recapitalizations will require some restructuring for the appropriate recap round and any anti-dilution provisions.</t>
  </si>
  <si>
    <t>3) Waterfall analysis assumes that each stage of equity has seniority over earlier rounds.</t>
  </si>
  <si>
    <t>- Carta (formerly eShares) (https://carta.com/)</t>
  </si>
  <si>
    <r>
      <t xml:space="preserve">Once you're running a company, I </t>
    </r>
    <r>
      <rPr>
        <b/>
        <i/>
        <sz val="12"/>
        <color theme="1"/>
        <rFont val="Avenir Book"/>
      </rPr>
      <t>highly suggest</t>
    </r>
    <r>
      <rPr>
        <sz val="12"/>
        <color theme="1"/>
        <rFont val="Avenir Book"/>
      </rPr>
      <t xml:space="preserve"> using an online cap table management platform, such as:</t>
    </r>
  </si>
  <si>
    <r>
      <rPr>
        <b/>
        <sz val="12"/>
        <color theme="1"/>
        <rFont val="Avenir Book"/>
      </rPr>
      <t>3 - Conversion, $ Invested</t>
    </r>
    <r>
      <rPr>
        <sz val="12"/>
        <color theme="1"/>
        <rFont val="Avenir Book"/>
      </rPr>
      <t xml:space="preserve"> demonstrates converting a convertible instrument at the next round using the dollars-invested method</t>
    </r>
  </si>
  <si>
    <r>
      <rPr>
        <b/>
        <sz val="12"/>
        <color theme="1"/>
        <rFont val="Avenir Book"/>
      </rPr>
      <t>3 - Conversion, % Ownership</t>
    </r>
    <r>
      <rPr>
        <sz val="12"/>
        <color theme="1"/>
        <rFont val="Avenir Book"/>
      </rPr>
      <t xml:space="preserve"> demonstrates converting a convertible instrument at the next round using the percentage ownership method</t>
    </r>
  </si>
  <si>
    <r>
      <rPr>
        <b/>
        <sz val="12"/>
        <color theme="1"/>
        <rFont val="Avenir Book"/>
      </rPr>
      <t>3 - Conversion, Premoney</t>
    </r>
    <r>
      <rPr>
        <sz val="12"/>
        <color theme="1"/>
        <rFont val="Avenir Book"/>
      </rPr>
      <t xml:space="preserve"> demonstrates converting a convertible instrument at the next round using the premoney method (v1 of the Cap Table Tool only used this method)</t>
    </r>
  </si>
  <si>
    <r>
      <rPr>
        <b/>
        <sz val="12"/>
        <color theme="1"/>
        <rFont val="Avenir Book"/>
      </rPr>
      <t>3 - Convertible Issuance</t>
    </r>
    <r>
      <rPr>
        <sz val="12"/>
        <color theme="1"/>
        <rFont val="Avenir Book"/>
      </rPr>
      <t xml:space="preserve"> demonstrates issuing a new convertible note.</t>
    </r>
  </si>
  <si>
    <r>
      <rPr>
        <b/>
        <sz val="12"/>
        <color theme="1"/>
        <rFont val="Avenir Book"/>
      </rPr>
      <t>1 - Equity Issuance</t>
    </r>
    <r>
      <rPr>
        <sz val="12"/>
        <color theme="1"/>
        <rFont val="Avenir Book"/>
      </rPr>
      <t xml:space="preserve"> is an example cap table that demonstrates a simple issuance of a first round of equity</t>
    </r>
  </si>
  <si>
    <r>
      <rPr>
        <b/>
        <sz val="12"/>
        <color theme="1"/>
        <rFont val="Avenir Book"/>
      </rPr>
      <t>2 - Premoney Option Pool</t>
    </r>
    <r>
      <rPr>
        <sz val="12"/>
        <color theme="1"/>
        <rFont val="Avenir Book"/>
      </rPr>
      <t xml:space="preserve"> demonstrates creating an option pool in the premoney (explanation on the sheet)</t>
    </r>
  </si>
  <si>
    <r>
      <rPr>
        <b/>
        <sz val="12"/>
        <color theme="1"/>
        <rFont val="Avenir Book"/>
      </rPr>
      <t>2 - Postmoney Option Pool</t>
    </r>
    <r>
      <rPr>
        <sz val="12"/>
        <color theme="1"/>
        <rFont val="Avenir Book"/>
      </rPr>
      <t xml:space="preserve"> demonstrates creating an option pool in the postmoney (explanation on the sheet)</t>
    </r>
  </si>
  <si>
    <r>
      <rPr>
        <b/>
        <sz val="12"/>
        <color theme="1"/>
        <rFont val="Avenir Book"/>
      </rPr>
      <t>2 - Option Pool, 2nd Round</t>
    </r>
    <r>
      <rPr>
        <sz val="12"/>
        <color theme="1"/>
        <rFont val="Avenir Book"/>
      </rPr>
      <t xml:space="preserve"> demonstrates how an option pool is added to in a second round of financing, and is built to handle both premoney and postmoney option pools</t>
    </r>
  </si>
  <si>
    <t>7) Note: There are a couple "yes/no" dropdowns for turning on circular references in a couple sheets. Essentially, I build models to not require circulars, but some calculations on cap tables require iterative calculations (i.e. the calculation is based on something referring to the calculation), so to do this you must turn on iterative calculations in Excel / Google Sheets to handle the calcs. The formulas are written so that there is a non-iterative variation, but for some situations you will need to turn on circular references to get the exact calculation. By default, these flags are "no" so that you do not get a note about circular references in the model.</t>
  </si>
  <si>
    <t>There's a couple limitations in the models.</t>
  </si>
  <si>
    <t>c) Anti-dilution protections for down round scenarios are not built in.</t>
  </si>
  <si>
    <t>d) The waterfall assumes each round using preferred instruments are senior to the preferred instruments of the previous round. If there are multiple preferred share classes offered in a round, you would need to edit the waterfall.</t>
  </si>
  <si>
    <t>[9] The two IF tests in the formula: the first is just testing to see if there is a conversion, simply to make the conversion share price zero if there is no conversion (not needed, honestly, just a presentation thing) and the second IF test is simply to test for the case of an uncapped note, as the formula would fail if it thought the cap was zero.</t>
  </si>
  <si>
    <t>These three sheets - Cap Table, Assumptions, and Exit Waterfall - are the core components of the full Cap Table Model that is the default in the Standard Model.</t>
  </si>
  <si>
    <r>
      <rPr>
        <b/>
        <sz val="12"/>
        <color theme="1"/>
        <rFont val="Avenir Book"/>
      </rPr>
      <t xml:space="preserve">Cap Table </t>
    </r>
    <r>
      <rPr>
        <sz val="12"/>
        <color theme="1"/>
        <rFont val="Avenir Book"/>
      </rPr>
      <t>is the default, fully-featured Cap Table that has the full range of features explained in the instructional sheets 1 through 3 already built in. This is the model you can use to outline your cap table through a number of rounds and situations.</t>
    </r>
  </si>
  <si>
    <t>Premoney</t>
  </si>
  <si>
    <t>One of the major changes I made in v2 of the Cap Table tool was to improve on the instructional side of v1 - meaning, v1 worked, but it didn't really explain why the cap table worked that way. For v2, I wanted to show a lot more examples, particularly because for many people building your own cap table is the right way to do it - not to use a template, but to build your own cap table (and exit waterfall) specific to your situation. The default Exit Waterfall, in fact, can take editing to make it fit your situation depending on how you use the default Cap Table itself. It's complicated, and in real life we often have unique situations or corrections that are almost impossible to build into a useable spreadsheet template without an wide array of setup features that would be unused by the vast majority of people. So, you may need to build your own cap table and exit waterfall from scratch - and thus, that's why I built the instructional sheets to help you build your own.</t>
  </si>
  <si>
    <t>Detail - Liquidation Preferences</t>
  </si>
  <si>
    <t>A check to make sure total proceeds distributed = total proceeds from exit. Zero means they are equal.</t>
  </si>
  <si>
    <t>Check: Proceeds = Exit Value?</t>
  </si>
  <si>
    <t>Does proceeds distributed = total proceeds?</t>
  </si>
  <si>
    <t>[1] Base assumption, used to create the midpoint of the range of exit valuations below. Change as you wish.</t>
  </si>
  <si>
    <t>[2] Assumed 2 years in future from today (which will also be two years from the last investment round on the cap table if the dates are unchanged). Change as you wish.</t>
  </si>
  <si>
    <t>[3] Increase and decrease of enterprise values examined in waterfall, per step</t>
  </si>
  <si>
    <t xml:space="preserve"> [4] If the capital structure involves rounds with a mixture of full participating and participating preferred with a cap option, the methods necessary to calculate this accurately require iterative calculations. If you select "no", the results are an approximation. For exact calcs, it is necessary to select "yes" and turn on iterations in Excel, under Preferences &gt; Calculation&gt; Limit Iterations</t>
  </si>
  <si>
    <t xml:space="preserve"> [5] Do the total proceeds distributed equal the total proceeds from the exit? If this is "No", then you have to turn iterations / circulars on to resolve the differences, it's not possible to calculate accurately without circulars.</t>
  </si>
  <si>
    <t>[4] One of the tricky things about calculating the share prices is that in some situations the formulas require a circular reference to calculate. Specifically, if there is a valuation cap and the cap is used instead of the discount rate to convert the note, then the share price and the discounted share price must be calculated from each other. The default setting is to just use the discount rate - which does not require an iterative calculation, but you can also select to use iterations - select "yes" in the dropdown and turn on limit iterations under Excel &gt; Preferences &gt; Calculation - and the formulas will use the valuation cap, if necessary.</t>
  </si>
  <si>
    <t>[6] This isn't always part of an exit waterfall, but it's nice to be clear in how the different investors have ownership in different share classes.</t>
  </si>
  <si>
    <t>[7] This case is included to show how investors can own multiple share classes</t>
  </si>
  <si>
    <t>[8] This one is included just to show how investors can own preferred and common.</t>
  </si>
  <si>
    <t>[9] Assuming all granted options are exercised.</t>
  </si>
  <si>
    <t>[10] Note that the ungranted and unexercised options are cancelled, and not included in the fully-diluted shares at exit.</t>
  </si>
  <si>
    <t>[11] This detail is important and gets used in defining the liquidation preferences</t>
  </si>
  <si>
    <t>[12] The model assumes a standard 1x invested capital liquidation preference for all preferred shareholders. The lines below refer to specifics around if the preferred has participation rights.</t>
  </si>
  <si>
    <t xml:space="preserve"> [14] The dropdowns here for the preferred outline three scenarios for the preferred: non participating, full participation, and participating with a cap. They refer to three different ways in which a preferred share class could have participation rights. Details, check out https://capgenius.com/2011/03/31/participatingpfd/</t>
  </si>
  <si>
    <t>[15] Only applies if "participating preferred with a cap" is selected in the dropdown above. See the link in the previous note to understand what this means.</t>
  </si>
  <si>
    <t xml:space="preserve"> [16] Here I've created a range of valuations to show how the waterfall changes - how different shareholders earn more / less - based on different exits. You don't necessarily need to do a lot of different exit valuations, but it can be useful to understand.</t>
  </si>
  <si>
    <t>[17] Equals the fully-diluted shares above</t>
  </si>
  <si>
    <t>[18] Calculated the overall MOIC, not necessary, just to show.</t>
  </si>
  <si>
    <t>[19] On average. But you'll see below that in many cases the distribution can cause this to be wildly different for different share classes.</t>
  </si>
  <si>
    <t>[20] Meaning, the amount left over after the liquidation preferences are paid to the share class more senior to this one.</t>
  </si>
  <si>
    <t>[21] Meaning, the number of shares that have not been paid - yet - before this share class is taken care of.</t>
  </si>
  <si>
    <t>[23] What the liquidation preference would be, if it was taken. Ignores any accumulated interest and adding it to preference, assumes 1x liquidation preference</t>
  </si>
  <si>
    <t xml:space="preserve"> [24] What the cap on the participation would be, if it applies. Assumes 1x liquidation preference, so invested capital  = liquidation preference. This tests to see if there is a cap on the participation. "na" means it's not applicable (i.e. the preferred doesn't have participation rights, "0" means there is no cap, a number means there is a cap, and it calculates the cap on participation. Note this is in addition to the liquidation preference above.</t>
  </si>
  <si>
    <t>[25] Shares in this share class.</t>
  </si>
  <si>
    <t>[26] This tests multiple conditions to see what earns the investor more: convert to common, or take the terms of their preferred? This flag helps tell the other formulas what to do.</t>
  </si>
  <si>
    <t xml:space="preserve"> [27] So, remember that it is gnerally the choice of preferred shareholders to take the distribution under the terms of the rights of their preferred shares, or convert their shares to common. We are assming a 1:1 conversion ratio, although that may not always be the case.</t>
  </si>
  <si>
    <t>[28] This is all pretty straightforward, except the participation is a little tricky. Generally this can cause issues with circular references in Excel. But essentially it's just testing to see if there is any participation.</t>
  </si>
  <si>
    <t>[29] So, what does the shareholder get? Either convert to common * common share price, or liquidation preference (maximum the amount available to distribute to this share class), or liquidation preference + participation with the common.</t>
  </si>
  <si>
    <t>[30] The price per share that they receive. This may vary from the average price per share for *all* shareholders.</t>
  </si>
  <si>
    <t>[31] Meaning, the amount left over after the liquidation preferences are paid to the share class more senior to this one. This assumes that the preferred - A is senior to the preferred - Seed.</t>
  </si>
  <si>
    <t>[32] A summary, to make sure the per-share class numbers add up to the exit valuation.</t>
  </si>
  <si>
    <t>[33] A summary, to make sure the per-share class numbers add up to the exit valuation.</t>
  </si>
  <si>
    <t>[34] This detail helps understand what preferences are used; it is also used for the estimates in the "non-circulars" calculations.</t>
  </si>
  <si>
    <t>[35] Pretty simple, just showing what each shareholder gets in each scenario, taking into account the different share classes they own.</t>
  </si>
  <si>
    <t>[36] You may need to adjust these if you change the setup of shareholders above.</t>
  </si>
  <si>
    <t>[37] The formula calculates the return (proceeds - invested capital) divided by the invested capital. The formula is a bit long because I don't calculate the invested capital elsewhere, but you could do that and simplify these calcs.</t>
  </si>
  <si>
    <t>[38] Slight adjustment for this shareholder to account for the common they purchased in the A round.</t>
  </si>
  <si>
    <t>[39] "na" means it's not applicable, for example for shareholders that didn't invest any capital, thus there is no "invested capital" in the denominator of the formula.</t>
  </si>
  <si>
    <t>[40] A chart that shows the % of proceeds distributed to each investor. Helpful as a quick visualization</t>
  </si>
  <si>
    <t>[2] The new thing here is adding in how options are granted. The reason I do this is to show how you can track options that are granted compared to options that are ungranted. The option pool will count as fully-diluted shares on a cap table, but the pool - ungranted options, by definition - will go down as options are granted, and thus will often need to be "refreshed" in subsequent rounds of financing.</t>
  </si>
  <si>
    <t>Questions about some of the details - nonparticipating preferred, conversion methods, etc. - consult  https://capgenius.com/2011/03/31/participatingpfd/  or https://foresight.is/learn</t>
  </si>
  <si>
    <t xml:space="preserve"> [13] This is a reference calculation that I use when calculating the participation for the full participating and participating with a cap options, if iterative calculations are turned off. All preference calcs here assume they are 1x liquidation preferences.</t>
  </si>
  <si>
    <r>
      <rPr>
        <b/>
        <sz val="12"/>
        <color theme="1"/>
        <rFont val="Avenir Book"/>
      </rPr>
      <t>Summary</t>
    </r>
    <r>
      <rPr>
        <sz val="12"/>
        <color theme="1"/>
        <rFont val="Avenir Book"/>
      </rPr>
      <t xml:space="preserve"> is a print-ready, summary of the fully-diluted cap table that you can easily edit to show the round(s) of your choosing. It pulls data from the Cap Table based on your selections.</t>
    </r>
  </si>
  <si>
    <t>All</t>
  </si>
  <si>
    <t>Last Updated</t>
  </si>
  <si>
    <r>
      <t xml:space="preserve">Display Round </t>
    </r>
    <r>
      <rPr>
        <sz val="9"/>
        <color theme="1"/>
        <rFont val="Avenir Book"/>
      </rPr>
      <t>&gt;</t>
    </r>
  </si>
  <si>
    <r>
      <t xml:space="preserve">Compare to Round </t>
    </r>
    <r>
      <rPr>
        <sz val="9"/>
        <color theme="1"/>
        <rFont val="Avenir Book"/>
      </rPr>
      <t>&gt;</t>
    </r>
  </si>
  <si>
    <t>Notes:</t>
  </si>
  <si>
    <t xml:space="preserve">    How? Excel Menu &gt; Insert &gt; Photo &gt; Picture from File</t>
  </si>
  <si>
    <t xml:space="preserve">                Insert Logo or delete these rows    </t>
  </si>
  <si>
    <t>-</t>
  </si>
  <si>
    <t>Any numbers in blue font with grey background in the model are illustrative, not as benchmarks.</t>
  </si>
  <si>
    <t>Copyright 2018 Unstructured Ventures, LLC</t>
  </si>
  <si>
    <t>Options [1]</t>
  </si>
  <si>
    <t>Fully-Diluted [2]</t>
  </si>
  <si>
    <t>[3] The model will automatically update the summary table based on your selections in the input cells. For the "Display Round &gt;" selection, select the round you want to display from the dropdown</t>
  </si>
  <si>
    <t>[4] For the "Compare to Round &gt;"selection, this is optional, but if you want to display another block of results from another round - perhaps showing the change from one round to another - simply select that round in the dropdown.</t>
  </si>
  <si>
    <t>[5] If you select "Compare to Round &gt;" as "na", then that section will disappear. This gives you some flexibility in display.</t>
  </si>
  <si>
    <t>[7] Of course, you can always create your own summary table similar to this, or simply write over the formulas pulling the shares, options, and investors, to display the data in any way you want.</t>
  </si>
  <si>
    <t>[1] Issued and Outstanding. See https://www.cooleygo.com/glossary/outstanding-shares/</t>
  </si>
  <si>
    <t>[2] Fully-Diluted, converting all outstanding convertibles at the latest terms associated with each instrument. See https://www.cooleygo.com/glossary/fully-diluted-shares/ and https://startuplawyer.com/venture-capital/what-is-a-fully-diluted-basis</t>
  </si>
  <si>
    <t>[41] A chart that shows the total proceeds distributed to each investor. Helpful as a quick visualization</t>
  </si>
  <si>
    <r>
      <t xml:space="preserve">[6] For the various investors, you can select to show any investors from the Cap Table sheet. </t>
    </r>
    <r>
      <rPr>
        <b/>
        <sz val="12"/>
        <color theme="1"/>
        <rFont val="Avenir Book"/>
      </rPr>
      <t>You do need to make sure and change the investors shown based on the rounds displayed.</t>
    </r>
  </si>
  <si>
    <t>I also wanted to create a waterfall that showed the distribution to investors over a range of sales prices, rather than just one single exit value. Done. Coming soon I expect to add on IRRs for each investor.</t>
  </si>
  <si>
    <t>a) Implictly assumes that any unconverted notes or SAFE instruments convert in the next round that is an equity round, essentially assuming that it is a qualified financing. This can be changed by overwriting the conversion amount in any round.</t>
  </si>
  <si>
    <t>b) If a unique shareholder holds multiple types of stock (common, preferred) then they are better entered as two separate lines, one for each respective class of stock.</t>
  </si>
  <si>
    <t>Multiple of new invested capital</t>
  </si>
  <si>
    <t># months between rounds</t>
  </si>
  <si>
    <t>Total Investment in Round</t>
  </si>
  <si>
    <t>Postmoney</t>
  </si>
  <si>
    <t># of Shares, Beginning of Round</t>
  </si>
  <si>
    <t># Shares purchased in Round</t>
  </si>
  <si>
    <t># of Shares purchased by Investors, Total</t>
  </si>
  <si>
    <t>Exit Value</t>
  </si>
  <si>
    <t>Exit Share Price</t>
  </si>
  <si>
    <t>Example: Venture Capital Valuation [1]</t>
  </si>
  <si>
    <t>[1] This is not the VC Method - a solid set of instructional tools on how to do that is at http://vcmethod.com/ - but conceptually similar, showing if an investment is made and the company raises more rounds from investors, what is a given investment worth in the future at a given exit price.</t>
  </si>
  <si>
    <t>[1] The VC Method is used to estimate a necessary ownership position and valuation necessary for a given size round today, given expected future dilution and exit value, and is a great way to ground expectations around valuation. These calcs work the opposite way, by saying "hey, if this is the deal today, and I think these are the future deals, then this is what it's worth", and my intention is for these to be more of an instructional tool than a valuation method.</t>
  </si>
  <si>
    <t>[2] Only used for labeling in this structure, no data is determinant of it. This sheet is independent of other sheets and the rounds forecasted in other sheets.</t>
  </si>
  <si>
    <t>[3] This is included to provide a structure to think of expected values based on probabilities. This helps ground expectations on future deals and exits by introducing the idea of how many companies that raise rounds raise next rounds (and exit)</t>
  </si>
  <si>
    <t>[4] Please, set your own probabilies using your expectation in the market. I set these using public data, but feel free to edit to your situation.</t>
  </si>
  <si>
    <t>% of Companies that raised the previous round, that raise this round</t>
  </si>
  <si>
    <t>Multiple of stepup in valuation (premoney)</t>
  </si>
  <si>
    <t>[5] This is a major assumption that you'll want to ground using benchmark data for your industry, focus, geographic region.</t>
  </si>
  <si>
    <t>[6] This is a major assumption that you'll want to ground using benchmark data for your industry, focus, geographic region.</t>
  </si>
  <si>
    <t>[7] This is a major assumption that you'll want to ground using benchmark data for your industry, focus, geographic region.</t>
  </si>
  <si>
    <t>[8] this is only used or IRR calcs</t>
  </si>
  <si>
    <t>[9] This is for *all* investors in each round.</t>
  </si>
  <si>
    <t>[10] Calculated using the stepup multiple per round</t>
  </si>
  <si>
    <t>[11] Convertible instruments make this harder, so essentially assuming this is all equity deals, no convertibles.</t>
  </si>
  <si>
    <t>[12] the # in the first round is an input, but it doesn't impact returns, only the absolute share prices</t>
  </si>
  <si>
    <t>% Option Pool maintained, postmoney</t>
  </si>
  <si>
    <t>[13] Purchased in each round.</t>
  </si>
  <si>
    <t># of Options created in round to expand Option Pool</t>
  </si>
  <si>
    <t>[16] This maintains an option pool of the % option pool assumed. If it goes to zero, that means that either you aren't creating a pool, or that to keep a pool at that level, you do not need to create more options.</t>
  </si>
  <si>
    <t># of Shares and options, End of Round</t>
  </si>
  <si>
    <t>[17] Total issued and outstanding, end of round. Since there are no convertibles in this structure, this would also equal fully-diluted.</t>
  </si>
  <si>
    <t>[18] New share price, price for shares purchased and issued in round</t>
  </si>
  <si>
    <t>[19] Total, over time</t>
  </si>
  <si>
    <t>[20] If the option pool is continually kept up, and since this assumes that the option pool is created postmoney, this could go down over time.</t>
  </si>
  <si>
    <t>Exits</t>
  </si>
  <si>
    <t>Fundraising</t>
  </si>
  <si>
    <t>[21] This is a major assumption; it's calculated from the assumption in [3], so assumes all companies either raise rounds or exit, and I'm categorizing a zero (folding, going out of business) as an exit</t>
  </si>
  <si>
    <t>[22] Of the companies that raised the first round, how many exit at each stage</t>
  </si>
  <si>
    <t>Average gross multiple on share price, exit after raising this round</t>
  </si>
  <si>
    <t># months from investment to exit, after raising this round</t>
  </si>
  <si>
    <t>% of Outstanding, owned by Investors, End of Round</t>
  </si>
  <si>
    <t>Name of Round</t>
  </si>
  <si>
    <t>[14] Assuming that an option pool of x% is maintained. Note: this assumes that all options are granted and exercised, so the pool needs updating to stay at the same level. I created a formula to decrease the pool over time to reflect decreasing need for options for hiring, but feel free to change this.</t>
  </si>
  <si>
    <t>v 2.0 - 21 May 2018</t>
  </si>
  <si>
    <t>This is an instructional tool to help think about how future rounds impact returns to investors.</t>
  </si>
  <si>
    <t>The investments and proceeds are calculated for all investors, for 1 investor, and done on an absolute and probability-weighted basis.</t>
  </si>
  <si>
    <t>Investor: Investment</t>
  </si>
  <si>
    <t>Invested, as % of Investment Round</t>
  </si>
  <si>
    <t>Investor: % ownership, postmoney</t>
  </si>
  <si>
    <t>Investor: Shares Purchased in Round</t>
  </si>
  <si>
    <t>Investor, Total Shares Owned</t>
  </si>
  <si>
    <t>Proceeds to all Investors (if Exit after this Round)</t>
  </si>
  <si>
    <t>Investor, Proceeds (if Exit after this Round)</t>
  </si>
  <si>
    <t>IRR</t>
  </si>
  <si>
    <t>Gross Multiple (if Exit after this Round)</t>
  </si>
  <si>
    <t>ROI (if Exit after this Round)</t>
  </si>
  <si>
    <t>Investor, (Investments) Proceeds (if Exit after this Round)</t>
  </si>
  <si>
    <t>IRR (if Exit after this Round)</t>
  </si>
  <si>
    <t>$6) Notes on what's changed in versions of the template are on the "Changelog" sheet.</t>
  </si>
  <si>
    <t>IRR, if invested through round (down) and held until Exit after this Round (to the right)</t>
  </si>
  <si>
    <t>Returns, All Investors or Single Investor</t>
  </si>
  <si>
    <t>Proceeds, if invested through round (down) and held until Exit after this Round (to the right)</t>
  </si>
  <si>
    <t>Extra IRR calcs per combination of investing and exit</t>
  </si>
  <si>
    <t>Returns, All Investors or Single Investor, Alternate Investment Strategies</t>
  </si>
  <si>
    <t>Returns, All Investors or Single Investor, Probability-weighted</t>
  </si>
  <si>
    <t>Gross Multiple, if invested through round (down) and held until Exit after this Round (to the right)</t>
  </si>
  <si>
    <t>Extra information for analysis. They take the forecasted multiples, ROI and IRRs and apply probability weighting based on the estimate of how many companies raise or exit at each round.</t>
  </si>
  <si>
    <t>Extra information for analysis. They provide insight into what proceeds, gross multiple, and IRRs would have been for each investment stage if they had - and had not - invested in future rounds.</t>
  </si>
  <si>
    <t>The dark green are the best outcomes, the lighter white and yellows are the worse outcomes, so at a glance, this helps indicate the best strategies given your assumptions.</t>
  </si>
  <si>
    <t>% of Companies that raised this round, fail or exit after this round (without raising the next round)</t>
  </si>
  <si>
    <t>[23] Of the companies that failed or exited in [21], what % of them were fails?</t>
  </si>
  <si>
    <t>[25] this impacts IRRs. I'm assuming this isn't necessarily the same as the time to next round, as the assumption above in [7]</t>
  </si>
  <si>
    <t>[24] average of companies that exit after raising each round. Must ground this data relevant to your stage, geography, and investment strategy</t>
  </si>
  <si>
    <t>[26] Calculated using the average exit multiple in [23]</t>
  </si>
  <si>
    <t>[27] Exit share price, used to caluculate proceeds to shareholders</t>
  </si>
  <si>
    <t>[28] Assuming all converts to common, no liquidation preferences that distributes proceeds between preferred and common non-prorata to share ownership. That's a major simplifying assumption.</t>
  </si>
  <si>
    <t>Fundraising &amp; Exits</t>
  </si>
  <si>
    <t>[30] If you type in 100%, then these returns wil reflect all investors. If you modify the %s to denote the % that this investor took of each round, then it would reflect a single investor and their returns</t>
  </si>
  <si>
    <t>[31] Either a single investor or all investors, depending on how you use [28]</t>
  </si>
  <si>
    <t>[32] Proceeds / total invested, calculated to show what it would be if the company exited in this round</t>
  </si>
  <si>
    <t>[33] Calculated as (Proceeds - Investments) / Investments</t>
  </si>
  <si>
    <t>[34] Calculated below.</t>
  </si>
  <si>
    <t>[35] What's this? This is the expected proceeds, if an investor had follow-on through the investment strategy as detailed in [29], and invested in each round going down, and exited in each round (columns to the right). It basically creates a table of expected proceeds if you follow-on / not follow-on in each round in the strategy you define, given the scope of the deal outlined in the per-round expectations</t>
  </si>
  <si>
    <t>[36] What's this? This is the expected IRRs given the proceeds analysis in [35]</t>
  </si>
  <si>
    <t>[37] Are these negative for you? What they reflect is the most-likely scenario, given the likelihood of each exit.</t>
  </si>
  <si>
    <t>[38] As a note, this reflects the probability-weighted IRR to all investors in a company, given the assumptions above, at the time the first investment round is made. The probabilities would change for investments made in future rounds. If I was an investor and my first investment was in a B round, for example, I would set the first round as the B, then use the columns for each subsequent round.</t>
  </si>
  <si>
    <t>[39] The methods used for calculating IRRs across multiple scenarios are a little tedious, thus they are carried out down here just to make things a little clearner visually. Personal preference.</t>
  </si>
  <si>
    <t>[29] the "0% raise for the last round is necessary to make the model work, if you want to extend to more rounds just add in another column and extend</t>
  </si>
  <si>
    <t>For each round…</t>
  </si>
  <si>
    <t>Amount raised</t>
  </si>
  <si>
    <t>at a premoney valuation</t>
  </si>
  <si>
    <t>% that raise next round</t>
  </si>
  <si>
    <t>% that fail</t>
  </si>
  <si>
    <t>% that sell</t>
  </si>
  <si>
    <t>IF($E$34="full participating preferred",MIN(H59,$E33),IF($E$34="participating preferred with a cap",IF(AND(H67=0,H61&gt;H62),0,MIN(H59,$E33)),IF(H61&gt;H62,0,MIN(H59,$E33))))</t>
  </si>
  <si>
    <t>IF($D$34="full participating preferred",MIN(H46,$D33),IF($D$34="participating preferred with a cap",IF(AND(H54=0,H48&gt;H49),0,MIN(H46,$D33)),IF(H48&gt;H49,0,MIN(H46,$D33))))</t>
  </si>
  <si>
    <t>[22] The "implied" is important here, because the actual may be different. The formula does an odd-looking IF statement, and this is only done to try and make it easier to not use circulars in the model.</t>
  </si>
  <si>
    <t># Issued and Outstanding</t>
  </si>
  <si>
    <t>Example: Conversion of a Convertible Note or SAFE with the issuance of a qualified Equity financing, using $ Invested conversion method</t>
  </si>
  <si>
    <t>v 2.1 - 6 September 2018</t>
  </si>
  <si>
    <t>3 - Conversion, All: Edited Y18 on Conversion, Premoney, Conversion, % Invested, and Conversion, $ Invested, to sum all the % ownerships in that column. Previously it missed the ownership of the last row in those columns. No impact to $ calcs, just the presentation of that %.</t>
  </si>
  <si>
    <t>v 2.2 - 11 October 2018</t>
  </si>
  <si>
    <t>4 - Exit Waterfall Distribution and Exit Waterfall: Fixed the test for "Convert to Common?" for all classes of shareholders to adjust the participating preferred with a cap option. Previously, at lower exit valuations, it was not allocating participation above the liquidation preference, replaced the test conditions with a new test; instead of testing to see if the implied proceeds if convert to common is &gt; the liquidation preference, it tests to see if there is leftover residual to allocate, by testing for the leftover residual at this stage after liquidation preferences from all shareholder classes. That's a long explanation, but I provide it just for context, it's a fairly simple edit to the formula, just change it for each "Convert to Common?" line on both of those sheets.</t>
  </si>
  <si>
    <t>y/n</t>
  </si>
  <si>
    <t>Notes</t>
  </si>
  <si>
    <t>Company</t>
  </si>
  <si>
    <t>What is the name of your company?</t>
  </si>
  <si>
    <t>Non Participating Preferred</t>
  </si>
  <si>
    <r>
      <rPr>
        <b/>
        <sz val="12"/>
        <color theme="1"/>
        <rFont val="Avenir Book"/>
      </rPr>
      <t>5 - Exit Waterfall Distribution</t>
    </r>
    <r>
      <rPr>
        <sz val="12"/>
        <color theme="1"/>
        <rFont val="Avenir Book"/>
      </rPr>
      <t xml:space="preserve"> uses the Option Pool, 2nd Round cap table to show how the shareholders earn proceeds at different valuations based on a variety of assumptions about the terms of their shareclasses. This is the most detailed and most complex part of the instructional sheets.</t>
    </r>
  </si>
  <si>
    <t>Exit Waterfall: both Exit Waterfall sheets were edited to remove the circular references introduced in v2.2. No changes to the calcs, just changed the structure so that everyone doesn't have to see the circular references until they are actually needed based on the inputs and options used.</t>
  </si>
  <si>
    <t>Participating Preferred with a Cap</t>
  </si>
  <si>
    <t>Insert Logo or reformat these cells</t>
  </si>
  <si>
    <t>OVERALL</t>
  </si>
  <si>
    <t>AFTER ROUND</t>
  </si>
  <si>
    <t>First Round Invested [35]</t>
  </si>
  <si>
    <t>Investment Date [2]</t>
  </si>
  <si>
    <t>Type [37]</t>
  </si>
  <si>
    <t># Options</t>
  </si>
  <si>
    <t>Issued and Outstanding</t>
  </si>
  <si>
    <t>Fully-Diluted Shares [1]</t>
  </si>
  <si>
    <t>Type</t>
  </si>
  <si>
    <t>Investment Amount</t>
  </si>
  <si>
    <t>Converted Amount</t>
  </si>
  <si>
    <t>Discount Rate</t>
  </si>
  <si>
    <t>Valuation Cap</t>
  </si>
  <si>
    <t>Annual Interest Rate</t>
  </si>
  <si>
    <t>Converted in Round</t>
  </si>
  <si>
    <t>Effective Conversion</t>
  </si>
  <si>
    <t>Total Invested in Round</t>
  </si>
  <si>
    <t>Total # Options</t>
  </si>
  <si>
    <t>Total Value</t>
  </si>
  <si>
    <t>Equity</t>
  </si>
  <si>
    <t>Note</t>
  </si>
  <si>
    <t xml:space="preserve"> na </t>
  </si>
  <si>
    <t>SAFE</t>
  </si>
  <si>
    <t>Warrants</t>
  </si>
  <si>
    <t>Round</t>
  </si>
  <si>
    <t>Terminology Settings</t>
  </si>
  <si>
    <t>$ Price per Share</t>
  </si>
  <si>
    <t>Invested and Converted</t>
  </si>
  <si>
    <t>[8]</t>
  </si>
  <si>
    <t>[9]</t>
  </si>
  <si>
    <t>Valuation</t>
  </si>
  <si>
    <t>[12]</t>
  </si>
  <si>
    <t>[13]</t>
  </si>
  <si>
    <t>[14]</t>
  </si>
  <si>
    <t>[15]</t>
  </si>
  <si>
    <t>[16]</t>
  </si>
  <si>
    <t>Convertible Instrument (Note or SAFE) Conversion Method</t>
  </si>
  <si>
    <t>Which conversion method will be used?</t>
  </si>
  <si>
    <t>[17]</t>
  </si>
  <si>
    <t>[18]</t>
  </si>
  <si>
    <t>% New Premoney Option Pool</t>
  </si>
  <si>
    <t>[19]</t>
  </si>
  <si>
    <t>% New Postmoney Option Pool</t>
  </si>
  <si>
    <t>[20]</t>
  </si>
  <si>
    <t>[21]</t>
  </si>
  <si>
    <t>[22]</t>
  </si>
  <si>
    <t>% of Available Options granted, since last round</t>
  </si>
  <si>
    <t>[23]</t>
  </si>
  <si>
    <t>% Available Option Pool, end of round</t>
  </si>
  <si>
    <t>[24]</t>
  </si>
  <si>
    <t>[25]</t>
  </si>
  <si>
    <t>Liquidation Preference, as multiple of invested capital</t>
  </si>
  <si>
    <t>[26]</t>
  </si>
  <si>
    <t>[27]</t>
  </si>
  <si>
    <t>[28]</t>
  </si>
  <si>
    <t>Optional: When converts to common, how many shares of common per share of preferred?</t>
  </si>
  <si>
    <t>[29]</t>
  </si>
  <si>
    <t>[30]</t>
  </si>
  <si>
    <t># Options created in round</t>
  </si>
  <si>
    <t>[31]</t>
  </si>
  <si>
    <t>[32]</t>
  </si>
  <si>
    <t>[33]</t>
  </si>
  <si>
    <t>[34]</t>
  </si>
  <si>
    <t>[0] Couple notes on how to use this effectively:</t>
  </si>
  <si>
    <t xml:space="preserve">    a) It's not necessarily necessary to put each individual shareholder on their own line. You could group together shareholders (all "A Round Investors", for example), or detail individual investors, it depends on the level of detail you want to show.</t>
  </si>
  <si>
    <t xml:space="preserve">     b) For investors investing in equity across rounds - meaning, the type of investment is always equity for them - you can use one line per investor. For notes or SAFEs, which require conversions, it's important to put them on different rows from equity investments. Meaning, if an investor made an invesment in the Seed using a note, and then that note converted in the A to equity and they also made a new investment in equity in the A, then you will want to make those two rows, for clarity in the conversion process.</t>
  </si>
  <si>
    <t xml:space="preserve">     c) You can edit this to as many rows as you wish. Don't delete rows where the shareholder row is not an input - i.e. the Options rows - but otherwise, add or delete rows. If you insert a row, insert the row, then copy down the row to preserve all the formulas from all the rounds.</t>
  </si>
  <si>
    <t xml:space="preserve"> [1] Fully-Diluted Shares account for unconverted Convertible Notes, SAFEs, and Warrants, to show what ownership would be if all convertible instruments converted. It handles conversion similar to conversion at maturity, by calculating the share price based on the instrument's cap / # of total issued and outstanding shares and options, and calculates the total amount to be converted using the invested amount and adding in any accumulated interest to be converted. If your methodology is different, feel free to change it.</t>
  </si>
  <si>
    <t xml:space="preserve"> [2] By default, the dates all draw from the same date for the round specified in the per-round assumptions, but these can vary on a per-investor basis if necessary.The formula tests to see if this investment was a note (meaning, investment was made earlier), and in that case will use the original investment date - to calculate interest correctly - but you can always input the dates for this investment.  For example, you may close a few convertible notes on different dates (and perhaps caps and terms) but want to group them together as a single "round", so you can enter each note separately here, group them together as a round, but any interest calculations will use the date for each note.</t>
  </si>
  <si>
    <t>[3] Feel free to change the names of the rounds to whatever you wish. Note, per the notes above, that you can also group together unconverted notes into rounds and enter them in the same "round" space in the template.</t>
  </si>
  <si>
    <t>[4] This is the input for the date for the round. Only used for IRR calcs on the waterfall, and for the accumulated interest calculations (per [2] above), if applicable.</t>
  </si>
  <si>
    <t>[5] Issued and Outstanding prior to the round. Note, this will not include shares from investments from notes that have not yet converted, those will only show up in fully-diluted until they convert into shares.</t>
  </si>
  <si>
    <t>[6] Price per share for the new investment in this round</t>
  </si>
  <si>
    <t>[7] Amount invested by all investors in the round, all share classes.</t>
  </si>
  <si>
    <t>[8] Amount added to investment through conversion of notes or SAFEs invested in previous rounds, converting to equity in this round</t>
  </si>
  <si>
    <t>[9] total conversion amount, includes invested capital and converted capital</t>
  </si>
  <si>
    <t>[10] This is used when notes are converted, and it helps calculate the effective premoney or postmoney</t>
  </si>
  <si>
    <t>[11] This is used when new options are issued</t>
  </si>
  <si>
    <t>[13] Valuation of the company after the investment (premoney + investment). ! note: if you select to use percentage ownership method, this becomes an input. In that case, ignore the formula, and type in the postmoney you want to use.</t>
  </si>
  <si>
    <t>[14] Effective refers to the valuation accounting for the impact of convertible notes and/or option pools, if applicable</t>
  </si>
  <si>
    <t>[15] Effective refers to the valuation accounting for the impact of convertible notes and/or option pools, if applicable</t>
  </si>
  <si>
    <t>[16] Pulled from the cap table; this will deviate from the above if there are convertible instruments converting in the round</t>
  </si>
  <si>
    <t xml:space="preserve"> [17] The model can handle three different methods for calculating the share price of convertible instruments. Select the method you want to use in the dropdown. Premoney is the simplest method and does not require circular references to work, so best to start with that method if unknown. Background reference: https://www.cooleygo.com/calculating-share-price-outstanding-convertible-notes/</t>
  </si>
  <si>
    <t xml:space="preserve"> [18] What is this for? One of the tricky things about calculating the share prices is that in some situations the formulas require a circular reference to calculate. Specifically, if there is a valuation cap and the cap is used instead of the discount rate to convert the note, then the share price and the discounted share price must be calculated from each other. The default setting is to just use the discount rate, but you can also select to use iterations - and turn on limit iterations under Excel &gt; Preferences &gt; Calculation - and the formulas will use the valuation cap, if necessary.</t>
  </si>
  <si>
    <t>[19] Creates a pool equal to this % of fully-diluted shares, after round</t>
  </si>
  <si>
    <t>[20] Creates a pool equal to this % of fully-diluted shares, after round</t>
  </si>
  <si>
    <t>[21] The # of options created to create the pool of the above %</t>
  </si>
  <si>
    <t>[22] The # of options created to create the pool of the above %</t>
  </si>
  <si>
    <t>[23] Use this to grant options out of the pool in between each round, this shows how the pool can decrease over time.</t>
  </si>
  <si>
    <t>[24] Ungranted options divided by fully-diluted shares</t>
  </si>
  <si>
    <t>[25] create the share classes in the terminology settings below</t>
  </si>
  <si>
    <t>[26] The liquidation preference input is a mutliple of the invested capital; 1x is a common assumption here, but deals can vary. Consult an experienced venture lawyer for questions or norms for your situation.</t>
  </si>
  <si>
    <t>[27] Optional. Only used for participating preferred liquidation preferences. Reference: https://capgenius.com/2011/03/31/participatingpfd/</t>
  </si>
  <si>
    <t>[28] Optional. Only used if there is a cap to the participation in participating preferred.</t>
  </si>
  <si>
    <t>[29] Optional. Some deals may have preset arrangements for how preferred shares convert to common, and it may not be a 1:1 ratio. Edit here if you have a different conversion ratio.</t>
  </si>
  <si>
    <t>[30] Calculated from the cap table</t>
  </si>
  <si>
    <t>[31] Calculated from the cap table</t>
  </si>
  <si>
    <t>[32] Calculated from the cap table</t>
  </si>
  <si>
    <t>[33] Uses the assumptions above - the % of available options granted, since last round - to decrease this over time as the options in the option pool are granted.</t>
  </si>
  <si>
    <t>[34] This is used exit waterfall scenarios when ungranted options are cancelled prior to the share price calculation. Assumes all granted options are exercised.</t>
  </si>
  <si>
    <t>[35] This is for informational purposes. It shows how different investors invest and follow-on over time.</t>
  </si>
  <si>
    <t>[36] For informational purposes, can set a couple different share classes and see how groups of share ownership changes over time.</t>
  </si>
  <si>
    <t>does this work in situations where different terms? Like if a C caps out, should their "leftover" participation go to the E (which could be full)</t>
  </si>
  <si>
    <t>is this why a full waterfall has to track back through each class of shares, and show on a per-share basis?</t>
  </si>
  <si>
    <t>look at leadspace example supplied by other investors</t>
  </si>
  <si>
    <t>so need to track the participation using the # of shares, and cancel out shares when they reach the cap.</t>
  </si>
  <si>
    <t>WATERFALL DISTRIBUTION OF PROCEEDS</t>
  </si>
  <si>
    <t>This waterfall uses the base cap table and builds out a waterfall distribution of proceeds to different share classes, and shows how the distributions change at different exit valuations.</t>
  </si>
  <si>
    <t>This may require edits if you add rounds outside the scope of the default round setup.</t>
  </si>
  <si>
    <t>base assumption, used to create the midpoint of the range of exit valuations below. The initial assumption is just a starting point, please change as you wish.</t>
  </si>
  <si>
    <t>assumed 2 years in future from today (which will also be two years from the last investment round on the cap table if the dates are unchanged). Change as you wish.</t>
  </si>
  <si>
    <t>increase and decrease of enterprise values examined in waterfall, per step. Feel free to edit the exit valuations directly in the row to crate whatever ranges you want to evaluate.</t>
  </si>
  <si>
    <t xml:space="preserve"> If any of the rounds use instruments with the participating preferred with a cap option, the methods necessary to calculate this accurately requires iterative calculations. If you select "no", the results are an approximation. For exact calcs, it is necessary to select "yes" and turn on iterations in Excel, under Preferences &gt; Calculation&gt; Limit Iterations</t>
  </si>
  <si>
    <t xml:space="preserve"> Do the total proceeds distributed equal the total proceeds from the exit? If this is "No", then you have to turn iterations / circulars on to resolve the differences, it's not possible to calculate accurately without circulars.</t>
  </si>
  <si>
    <t xml:space="preserve"> [1] Note that this register looks at classes of shareholders, not the investors in those share classes, and looks only at what investors in that round purchased. It does not combine A investors that also purchased B shares. To adjust this to match your situation, feel free to edit so that it shows how the original investors in a round purchased different classes of shares in different rounds.</t>
  </si>
  <si>
    <t>Common Holders</t>
  </si>
  <si>
    <t>[2] Assuming all granted options are exercised.</t>
  </si>
  <si>
    <t>[3] Note that the ungranted and unexercised options are cancelled, and not included in the fully-diluted shares at exit.</t>
  </si>
  <si>
    <t>[6] This detail is important and gets used in defining the liquidation preferences</t>
  </si>
  <si>
    <t>[7] The model assumes a standard 1x invested capital liquidation preference for all preferred shareholders. The lines below refer to specifics around if the preferred has participation rights.</t>
  </si>
  <si>
    <t>Feel free to edit these lines if the terms of the actual preferences deviate from what is calculated here.</t>
  </si>
  <si>
    <t xml:space="preserve"> [8] The dropdowns here for the preferred outline three scenarios for the preferred: non participating, full participation, and participating with a cap. They refer to three different ways in which a preferred share class could have participation rights. Details, check out https://capgenius.com/2011/03/31/participatingpfd/</t>
  </si>
  <si>
    <t>[9] Only applies if "participating preferred with a cap" is selected in the dropdown above. See the link in the previous note to understand what this means.</t>
  </si>
  <si>
    <t xml:space="preserve"> [10] Here I've created a range of valuations to show how the waterfall changes - how different shareholders earn more / less - based on different exits. You don't necessarily need to do a lot of different exit valuations, but it can be useful to understand.</t>
  </si>
  <si>
    <t>[11] Equals the fully-diluted shares above</t>
  </si>
  <si>
    <t>[12] Calculated the overall MOIC, not necessary, just to show.</t>
  </si>
  <si>
    <t>[13] On average. But you'll see below that in many cases the distribution can cause this to be wildly different for different share classes.</t>
  </si>
  <si>
    <t>[14] Meaning, the amount left over after the liquidation preferences are paid to the share class more senior to this one.</t>
  </si>
  <si>
    <t>[15] Meaning, the number of shares that have not been paid - yet - before this share class is taken care of.</t>
  </si>
  <si>
    <t>[16] The "implied" is important here, because the actual may be different.</t>
  </si>
  <si>
    <t>[17] - What the liquidation preference would be, if it was taken. Ignores any accumulated interest and adding it to preference, assumes 1x liquidation preference</t>
  </si>
  <si>
    <t>Cap of Proceeds / Invested Capital</t>
  </si>
  <si>
    <t xml:space="preserve"> [18] What the cap on the participation would be, if it applies. Assumes 1x liquidation preference, so invested capital  = liquidation preference. This tests to see if there is a cap on the participation. "na" means it's not applicable (i.e. the preferred doesn't have participation rights, "0" means there is no cap, a number means there is a cap, and it calculates the cap on participation. Note this is in addition to the liquidation preference above.</t>
  </si>
  <si>
    <t>[19] Shares in this share class.</t>
  </si>
  <si>
    <t>[18] This tests multiple conditions to see what earns the investor more: convert to common, or take the terms of their preferred? This flag helps tell the other formulas what to do.</t>
  </si>
  <si>
    <t xml:space="preserve"> [19] So, remember that it is generally the choice of preferred shareholders to take the distribution under the terms of the rights of their preferred shares, or convert their shares to common. We are assming a 1:1 conversion ratio, although that may not always be the case.</t>
  </si>
  <si>
    <t>[20] This is all pretty straightforward, except the participation is a little tricky. Generally this can cause issues with circular references in Excel. But essentially it's just testing to see if there is any participation.</t>
  </si>
  <si>
    <t>[21] So, what does the shareholder get? Either convert to common * common share price, or liquidation preference (maximum the amount available to distribute to this share class), or liquidation preference + participation with the common.</t>
  </si>
  <si>
    <t>[22] The price per share that they receive. This may vary from the average price per share for *all* shareholders.</t>
  </si>
  <si>
    <t>[23] Meaning, the amount left over after the liquidation preferences are paid to the share class more senior to this one. This assumes that the preferred - A is senior to the preferred - Seed.</t>
  </si>
  <si>
    <t>[24] A summary, to make sure the per-share class numbers add up to the exit valuation.</t>
  </si>
  <si>
    <t>Check - does proceeds to all shareholders = exit valuation?</t>
  </si>
  <si>
    <t xml:space="preserve"> [25] A check to make sure the distribution of proceeds is working correctly. If this is zero, all is good. If not, first try turning on iterations, both in the dropdown at the top of this sheet and turning on iterative calculations in Excel under Preferences &gt; Calculation &gt; Limit iterations (check the box)</t>
  </si>
  <si>
    <t xml:space="preserve"> [6] This is a reference calculation that I use when calculating the participation for the full participating and participating with a cap options, if iterative calculations are turned off. It doesn't work in all situations - for some things, circulars are necessary - but it's helpful in most situations and it means we don't always have to have iterative calculations (for circular)s turned on.</t>
  </si>
  <si>
    <t>Exit Waterfall, showing proceeds to investors by shareholder class</t>
  </si>
  <si>
    <t>Exit Waterfall, showing % of the overall returns to investors by shareholder class</t>
  </si>
  <si>
    <t>Exit Waterfall, showing ROI to investors by shareholder class</t>
  </si>
  <si>
    <t>[26] You may need to adjust these if you change the setup of shareholders above.</t>
  </si>
  <si>
    <t>[27] The formula calculates the return (proceeds - invested capital) divided by the invested capital. The formula is a bit long because I don't calculate the invested capital elsewhere, but you could do that and simplify these calcs.</t>
  </si>
  <si>
    <t>[28] Slight adjustment for this shareholder to account for the common they purchased in the A round.</t>
  </si>
  <si>
    <t>[29] "na" means it's not applicable, for example for shareholders that didn't invest any capital, thus there is no "invested capital" in the denominator of the formula.</t>
  </si>
  <si>
    <t>Exit Waterfall, showing Gross Multiple to each class of shareholders</t>
  </si>
  <si>
    <t>Exit Waterfall, showing proceeds to individual investors</t>
  </si>
  <si>
    <t>[42] A waterfall that shows the returns to individual investors, across multiple classes of shares</t>
  </si>
  <si>
    <t xml:space="preserve"> [43] Since the base Cap Table works best if you keep the rows to single classes of shares, if you issue common and preferred to a single investor, they will show up on multiple rows here. In that case, simply add the two for the total proceeds to that investor</t>
  </si>
  <si>
    <t>DISCLAIMER</t>
  </si>
  <si>
    <t>Investments in the Company, if offered, will only be offered to a selected number of accredited investors, and only on the basis of a private offering memorandum for the Company. There are significant risks that are not presented and disclosed in this Investor Presentation.  These risks could have a significant negative impact on the performance of the Company.</t>
  </si>
  <si>
    <t>This Investor Presentation contains forward-looking statements regarding our business plans and prospects and financial conditions, all statements, other than statements of historical fact, in this Investor Presentation, and the attached exhibits, including, among other things, statements regarding our competitive strengths, business strategy, financial projections and plans and objectives of management are forward-looking statements. Although we believe that the expectations reflected in such forward-looking statements are reasonable, there can be no assurance that such expectations will prove to be correct.  Forward-looking statements are inherently subject to risks and uncertainties, many of which cannot be predicted with accuracy and some of which might not even be anticipated.  Future events and actual results, financial or otherwise, could differ materially from those set forth in, or contemplated by, the forward-looking statements in this Investor Presentation, and, as such, the forward-looking statements contained herein should not be relied upon when making your investment decision.  We undertake no obligation to update or revise any forward-looking statements.</t>
  </si>
  <si>
    <t>The financial projections in this Investor Presentation present, to the best of management’s knowledge and belief, the Company’s expected financial position, results of operations, and cash flows for the forecast period.  Accordingly, the financial projections reflect its judgment, as of the date of these financial projections, of the expected conditions and its expected course of action following the sale of securities by the Company.  The assumptions disclosed herein are those that management believes are significant to the financial projections.  There will usually be differences between the projected and actual results, because events and circumstances frequently do not occur as expected, and those differences may be material.  Since the projections are based upon assumptions about circumstances and events that have not yet taken place regarding costs, income, expenses and federal tax matters, which are subject to variations and economic events as future operations actually occur, they do not necessarily reflect the results that will be achieved and should not be relied upon. In all cases, the targeted returns are not predictions or projections that the results in the pro forma financials will be achieved nor of the performance of any investment, and are expressly subject to all assumptions embedded in the pro forma financials and the risk factors disclosed herein. This investment has a high degree of risk, and there can be no assurances that all or any of the assumptions will be true or that an investment’s actual performance will bear any relation to these hypothetical illustrations.</t>
  </si>
  <si>
    <t xml:space="preserve">This information contained in this Investor Presentation includes proprietary information, is strictly confidential, and is not to be used or distributed to others without the express written consent of the Company. </t>
  </si>
  <si>
    <t>This document has been prepared solely for information purposes and is being furnished solely for use by prospective purchasers in considering their interest in obtaining additional information and making their own evaluation of the Company and does not contain all of the information that a prospective purchaser may desire.  This information reflects various assumptions by the Company concerning anticipated results, which assumptions may or may not prove to be correct, and the Company has no obligation to update such information.  The only information that will have any legal effect will be that specifically contained in definitive documentation. This Investor Presentation has been submitted confidentially to a limited number of investors so that they can consider their interest in obtaining additional information and making their own evaluation of the Company.  No offers to purchase the securities of the Company will be accepted prior to (1) the receipt by recipient of a complete private offering memorandum and (2) determination by the Company that the recipient is an appropriate purchaser in light of standards contained in U.S. Securities laws after a full evaluation of recipient by the Company.  The Company has not authorized its use for any other purpose.  This Investor Presentation may not be copied or reproduced in whole or in part.  By accepting a copy of this Investor Presentation, the recipient agrees that neither it nor any of its representatives, agents or employees shall use it for any other purpose or divulge to any party any confidential information about the Company.</t>
  </si>
  <si>
    <t>Support</t>
  </si>
  <si>
    <t>Details: https://foresight.is/learn/support</t>
  </si>
  <si>
    <t>hello@foresight.is</t>
  </si>
  <si>
    <t>Contact me by email (hello@foresight.is), livechat (on website), phone, WhatsApp or text (all 646.770.0052) - I’m happy to help. I do my best to respond promptly and advise on how to use the templates for your usecase, and I’m happy to take a look at your model to make sure you are using it correctly for your situation.</t>
  </si>
  <si>
    <t>Guides &amp; Tutorials</t>
  </si>
  <si>
    <t>General: https://foresight.is/learn</t>
  </si>
  <si>
    <t>I've written many guides and tutorials on how to use the models on the web, visit the links above for more on this specific product and general guides on finance, accounting, and financial modeling.</t>
  </si>
  <si>
    <t>Services - Get Started, Customization, and more</t>
  </si>
  <si>
    <t>All services: https://foresight.is/services</t>
  </si>
  <si>
    <t>I offer a range of services to help you get started with the model (Get Started), build a custom model (Custom), prepare for fundraising (Fundraising Preparation), and transaction advisory support, primarily around cap tables and valuation. Learn more at the link above.</t>
  </si>
  <si>
    <t>[38] This is used in the Legal Disclaimer sheet, which is purely optional, but something many people choose to include in their projections when they provide them to potential investors</t>
  </si>
  <si>
    <t>[38]</t>
  </si>
  <si>
    <t xml:space="preserve">Goal of this model is to show how to build a cap table and an exit waterfall, for a variety of situations, plus provide a working capital table to use for (almost) all situations. The "Cap Table" sheet is the working capital table to use for your business (and "Exit Waterfall" sheet is an analysis of the exit distribution from this cap table, respectively), the rest of the sheets are instructional tools. </t>
  </si>
  <si>
    <t>See more models at https://foresight.is</t>
  </si>
  <si>
    <t>License</t>
  </si>
  <si>
    <t>Please support independent entrepreneurs: here's more about me: https://taylordavidson.com/hello</t>
  </si>
  <si>
    <t>Copyright Unstructured Ventures, LLC</t>
  </si>
  <si>
    <t>This model is available for download at at https://foresight.is/cap-table</t>
  </si>
  <si>
    <t>LEGAL &amp; COPYRIGHT</t>
  </si>
  <si>
    <t>Summary of terms of use and warranties are below, full Terms of Use and Warranties are located at https://foresight.is/terms</t>
  </si>
  <si>
    <t>Privacy Policy and how we use your data is at https://foresight.is/privacy</t>
  </si>
  <si>
    <t>TERMS OF USE</t>
  </si>
  <si>
    <t>The product is a template for you to modify for your business</t>
  </si>
  <si>
    <t>The financial models and educational courses ("Products") have been designed for your use to estimate and project your financials for your business idea. They include some benchmark data and structure to help you create your projections, but you will need to modify the assumptions and structure to fit your business. We do not accept any liability for damages in using the financial models.</t>
  </si>
  <si>
    <t>We are not financial advisors</t>
  </si>
  <si>
    <t>We provide information designed to educate and inform entrepreneurs. We and our Products, our advice, guides, tutorials, and consulting services ("Services") are not intended to provide legal, tax or financial advice. We are not financial planners, brokers or tax advisors. The Products and Services are intended only to assist you in the organization of your finances and decision-making and is broad in scope. Your financial situation is unique, and any information and advice obtained through the Products and Services may not be appropriate for your situation. Accordingly, before making any final decisions or implementing any financial strategy, you should consider obtaining additional information and advice from your accountant or other financial advisers who are fully aware of your individual situation.</t>
  </si>
  <si>
    <t>Subject to your compliance with these Terms, you are hereby granted a non-exclusive, limited, non-transferable, revocable license to use the Product as we intend for them to be used. This license applies to a single individual or company, and may not be distributed for reuse outside of yourself or your company. You are licensed to keep, for your own personal records, electronic or physical copies of documents you have created from the Product. You may not copy the content of the models for use or sale. Any rights not expressly granted in these Terms are reserved by us.</t>
  </si>
  <si>
    <t>Resale or unauthorized distribution of materials downloaded from the website is strictly prohibited. Use of these materials is for your personal or business use. Any resale or redistribution of our materials requires express written consent from us.</t>
  </si>
  <si>
    <t>Intellectual Property Rights</t>
  </si>
  <si>
    <t>We retain all right, title and interest in and to the products, including, without limitation, software, images, text, graphics, illustrations, logos, service marks, copyrights, photographs, videos, music, spreadsheet methods, and all related intellectual property rights. Except as otherwise provided in this agreement, you may not, and may not permit others to: (i) reproduce, modify, translate, enhance, decompile, disassemble, reverse engineer or create derivative works of any of our Product; (ii) sell, license, sublicense, rent, lease, distribute, copy, publicly display, publish, adapt or edit any of our Product; or (iii) circumvent or disable any security or technological features of our Product.</t>
  </si>
  <si>
    <t>The design, text, graphics, selection and arrangement thereof and services and the legal forms, documents, guidance and all other content found on our website are the copyright © of us. All rights reserved.</t>
  </si>
  <si>
    <t>Disclaimer</t>
  </si>
  <si>
    <t>We are always seeking to deliver an excellent Product to you. However, from time to time, some of the information, software, products, and services made available through the website may include inaccuracies or typographical errors. Thus information received from us should not be relied upon for personal, medical, legal, or financial decisions. You should consult an appropriate professional for specific advice tailored to your situation. In short, your use of our Product and Services is at your own risk.</t>
  </si>
  <si>
    <t>TO THE FULLEST EXTENT PERMITTED BY LAW, WE AND OUR AFFILIATES, SUPPLIERS AND DISTRIBUTORS MAKE NO WARRANTIES, EITHER EXPRESS OR IMPLIED, ABOUT THE PRODUCTS AND SERVICES. THE PRODUCTS AND SERVICES ARE PROVIDED “AS IS.” WE ALSO DISCLAIM ANY WARRANTIES OF MERCHANTABILITY, FITNESS FOR A PARTICULAR PURPOSE AND NON-INFRINGEMENT. INFORMATION AND OPINIONS RECEIVED VIA THE PRODUCTS AND THE WEBSITE SHOULD NOT BE RELIED UPON FOR PERSONAL, MEDICAL, LEGAL OR FINANCIAL DECISIONS AND YOU SHOULD CONSULT AN APPROPRIATE PROFESSIONAL FOR SPECIFIC ADVICE TAILORED TO YOUR SITUATION.</t>
  </si>
  <si>
    <t>TO THE FULLEST EXTENT PERMITTED BY LAW, IN NO EVENT WILL WE, OUR AFFILIATES, SUPPLIERS OR DISTRIBUTORS BE LIABLE FOR ANY INDIRECT, SPECIAL, INCIDENTAL, PUNITIVE, EXEMPLARY OR CONSEQUENTIAL DAMAGES OR ANY LOSS OF USE, DATA, BUSINESS, OR PROFITS, REGARDLESS OF LEGAL THEORY, WHETHER OR NOT WE HAVE BEEN WARNED OF THE POSSIBILITY OF SUCH DAMAGES, AND EVEN IF A REMEDY FAILS OF ITS ESSENTIAL PURPOSE.</t>
  </si>
  <si>
    <t>OUR AGGREGATE LIABILITY FOR ALL CLAIMS RELATING TO THE PRODUCTS AND SERVICES SHALL IN NO EVENT EXCEED THE GREATER OF $500 OR THE AMOUNT PAID BY YOU TO US FOR THE 12 MONTHS PRECEEDING THE PRODUCTS AND SERVICES IN QUESTION.</t>
  </si>
  <si>
    <t>Indemnification</t>
  </si>
  <si>
    <t>You shall defend, indemnify and hold us and our officers, directors, shareholders, and employees, harmless from and against all claims, suits, proceedings, losses, liabilities, and expenses, whether in tort, contract, or otherwise, that arise out of or relate, including but not limited to attorneys fees, in whole or in part arising out of or attributable to any breach of this Agreement or any activity by you in relation to the Sites or your use of the Products and Services.</t>
  </si>
  <si>
    <t>Third Party Websites</t>
  </si>
  <si>
    <t>We may provide links on our website to the websites of other companies, whether affiliated with us or not. We cannot give any undertaking, that products you purchase from companies to whose website we have provided a link on our website, will be fit for purpose or of satisfactory quality, and any such warranties are DISCLAIMED by us absolutely. This DISCLAIMER does not affect your statutory rights against the third party seller.</t>
  </si>
  <si>
    <t>Privacy</t>
  </si>
  <si>
    <t>Your privacy is important to us - please see our full privacy policy at foresight.is/privacy to understand how we protect your personal information.</t>
  </si>
  <si>
    <t>Notices and Complaints</t>
  </si>
  <si>
    <t>All notices given by you to us (including any complaints that you may have) should be sent to Unstructured Ventures, LLC</t>
  </si>
  <si>
    <t>By e-mail to: hello@foresight.is</t>
  </si>
  <si>
    <t>By post to: Unstructured Ventures, LLC, PO Box 5226, Pittsburgh, PA 15206 USA</t>
  </si>
  <si>
    <t>We may give notice to you at either the e-mail or postal address you provide to us when placing an order. Notice will be deemed received and properly served immediately when posted on our Website, 24 hours after an e-mail is sent, or two days after the date of posting of any letter. In proving the service of any notice, it will be sufficient to prove, in the case of a letter, that such letter was properly addressed, stamped and placed in the post and, in the case of an e-mail, that such e-mail was sent to the specified e-mail address of the addressee.</t>
  </si>
  <si>
    <t>Jurisdiction</t>
  </si>
  <si>
    <t>These terms and conditions shall be governed by, and construed in accordance with, the laws of the Commonwealth of Pennsylvania in the United States of America. Disputes arising here from shall be exclusively subject to the jurisdiction of US courts.</t>
  </si>
  <si>
    <t>Entire Agreement</t>
  </si>
  <si>
    <t>The entire agreement is at https://foresight.is/terms</t>
  </si>
  <si>
    <t>These terms and conditions, our privacy policy and any document expressly referred to in them represent the entire agreement between us in relation to the subject matter of any contract and supersede any prior agreement, understanding or arrangement between you and us, whether oral or in writing.</t>
  </si>
  <si>
    <t>You and we acknowledge that, in entering into a contract, you have not and we have not relied on any representation, undertaking or promise given by the other or be implied from anything said or written in negotiations between you and us prior to such contract except as expressly stated in these terms and conditions.</t>
  </si>
  <si>
    <t>License terms are summarized below and at https://foresight.is/terms</t>
  </si>
  <si>
    <t>Visit https://foresight.is/learn/cap-table-overview to get more instructions and videos on how to use the model, including details on each sheet and key components.</t>
  </si>
  <si>
    <t>Cap Table Tool: https://foresight.is/learn/cap-table-overview</t>
  </si>
  <si>
    <t>[12] Fully-diluted reflects the number of shares that would be issued for all outstanding convertibles, if they were converted. Without more info, it is assumed that they convert at their valuation cap.</t>
  </si>
  <si>
    <t># Fully Diluted Shares [12]</t>
  </si>
  <si>
    <t># Fully Diluted Shares [13]</t>
  </si>
  <si>
    <t>[13] Structurally, this example assumes all convertibles convert in this round, so there are no unconverted investments, and thus issued and outstanding = fully diluted</t>
  </si>
  <si>
    <t># Fully Diluted Shares [4]</t>
  </si>
  <si>
    <t>[4] Fully-diluted reflects the number of shares that would be issued for all outstanding convertibles, if they were converted. Without more info, it is assumed that they convert at their valuation cap.</t>
  </si>
  <si>
    <t>Instructional Sheets: Little edits throughout, more notes. Added "Fully Diluted" to all the Convertible instructional sheets to match the main cap table, and because it's important to show fully-diluted. Added a sheet to show the combination of an option pool and convertible issuance (and conversion).</t>
  </si>
  <si>
    <t>Cap Table: Reorganized the assumptions layout to bring them in line with the Cap Table, deleting the Assumptions sheet and bringing them into the Cap Table sheet.. Why? I think in practice it is better - in this case - to bring the assumptions closer to the cap table. The cap table always involved a bit of manual inputs around the investments per investor, and previously it took a bit of back and forth between the sheets to adjust the inputs.This also makes it the same, structurally, as the instructional sheets, which I always like using as my base when I build custom cap tables. Reorganizing the inputs makes it a little less "plug and play", but I don't think cap tables are ever plug and play, so removing the sheen makes this a bit more usable, in my opinion.</t>
  </si>
  <si>
    <t>Cap Table: Just a note: Previously, this tool was the same cap table used in the Standard Model. However, going forward, the Standard Model will use a simplified structure for its cap table. The reason is that I don't always advocate for including a detailed cap table in the Standard Model, and it created an additional layer of compleity that was not always necessary in a forecast model. The simplified structure in the Standard Model can be used with this more detailed Cap Table model if desired, contact hello@foresight.is with any questions.</t>
  </si>
  <si>
    <t># Fully Diluted Shares [5]</t>
  </si>
  <si>
    <t># Fully Diluted Shares [6]</t>
  </si>
  <si>
    <t>[5] Fully-diluted reflects the number of shares that would be issued for all outstanding convertibles, if they were converted. Without more info, it is assumed that they convert at their valuation cap.</t>
  </si>
  <si>
    <t>[6] Structurally, this example assumes all convertibles convert in this round, so there are no unconverted investments, and thus issued and outstanding = fully diluted</t>
  </si>
  <si>
    <t>[7] Fully-diluted reflects the number of shares that would be issued for all outstanding convertibles, if they were converted. Without more info, it is assumed that they convert at their valuation cap.</t>
  </si>
  <si>
    <t>[8] Structurally, this example assumes all convertibles convert in this round, so there are no unconverted investments, and thus issued and outstanding = fully diluted</t>
  </si>
  <si>
    <t># Fully Diluted Shares [7]</t>
  </si>
  <si>
    <t># Fully Diluted Shares [8]</t>
  </si>
  <si>
    <t>[9] The formula is a little over-complicated in this scenario; the IFERROR is testing to see if it can calculated the options using the share price and the round, if not, it uses the % using the # of shares (issued and outstanding) to calculate. This is for the scenario when an option pool is issued with a convertible issuance, thus there is no valuation to use for the share price.</t>
  </si>
  <si>
    <t>Example: Conversion of a convertible instrument into an equity round, with options for Premoney and Postmoney Option Pool, showing how Granted Options and a note issuance and conversion impact the cap table</t>
  </si>
  <si>
    <t>% Ownership, Fully-Diluted</t>
  </si>
  <si>
    <t>% Ownership, Issued and Outstanding</t>
  </si>
  <si>
    <t>Method for note conversion</t>
  </si>
  <si>
    <t>premoney</t>
  </si>
  <si>
    <t>[10] In this example ,you can select with conversion method to use, simply by using the dropdown. See each instructional sheet for more details on each method. % ownership and $ invested will require you to turn on iterations for the calculations to work correctly.</t>
  </si>
  <si>
    <t>[11] One of the tricky things about calculating the share prices is that in some situations the formulas require a circular reference to calculate. Specifically, if there is a valuation cap and the cap is used instead of the discount rate to convert the note, then the share price and the discounted share price must be calculated from each other. The default setting is to just use the discount rate - which does not require an iterative calculation, but you can also select to use iterations - select "yes" in the dropdown and turn on limit iterations under Excel &gt; Preferences &gt; Calculation - and the formulas will use the valuation cap, if necessary.</t>
  </si>
  <si>
    <t>Iterations required?</t>
  </si>
  <si>
    <t>Valuation Check</t>
  </si>
  <si>
    <t>[12] This checks to make sure the effective postmoney valuation calculated in the round equals the cap table. If this is not equal to zero, check your settings. Most likely, you need to turn on iterations by selecting "yes" in the dropdown in [11], and turning on Iterations in Excel under Preferences &gt; Calculation &gt; Limit Iterations (check the box)</t>
  </si>
  <si>
    <t xml:space="preserve"> [12] Valuation of the company before the investment goes in. note: if this is a convertible note or SAFE-only round, there is no premoney valuation to input, leave as zero. Any numbers in the default template are just placeholders, please change for your situation.</t>
  </si>
  <si>
    <r>
      <rPr>
        <b/>
        <sz val="12"/>
        <color theme="1"/>
        <rFont val="Avenir Book"/>
      </rPr>
      <t xml:space="preserve">4 - Option Pool &amp; Conversion </t>
    </r>
    <r>
      <rPr>
        <sz val="12"/>
        <color theme="1"/>
        <rFont val="Avenir Book"/>
      </rPr>
      <t>demonstrates issuing an option pool (in premoney and/or postmoney) and note issuance and conversions, with options for all three note conversion methods</t>
    </r>
  </si>
  <si>
    <r>
      <rPr>
        <b/>
        <sz val="12"/>
        <color theme="1"/>
        <rFont val="Avenir Book"/>
      </rPr>
      <t>6 - VC Valuation</t>
    </r>
    <r>
      <rPr>
        <sz val="12"/>
        <color theme="1"/>
        <rFont val="Avenir Book"/>
      </rPr>
      <t xml:space="preserve"> is a separate tool, not connected to the other instructional sheets, that creates a valuation and returns (proceeds, ROI, IRR) forecast for a given investment. Optionally, this can create probability-weighted values.</t>
    </r>
  </si>
  <si>
    <t>[37] The instrument used to make the original investment. If the instrument converts, you can leave the type as the form of the original investment and convert to equity in the appropriate round.</t>
  </si>
  <si>
    <t>v 2.3 - 17 January 2019</t>
  </si>
</sst>
</file>

<file path=xl/styles.xml><?xml version="1.0" encoding="utf-8"?>
<styleSheet xmlns="http://schemas.openxmlformats.org/spreadsheetml/2006/main" xmlns:mc="http://schemas.openxmlformats.org/markup-compatibility/2006" xmlns:x14ac="http://schemas.microsoft.com/office/spreadsheetml/2009/9/ac" mc:Ignorable="x14ac">
  <numFmts count="17">
    <numFmt numFmtId="44" formatCode="_(&quot;$&quot;* #,##0.00_);_(&quot;$&quot;* \(#,##0.00\);_(&quot;$&quot;* &quot;-&quot;??_);_(@_)"/>
    <numFmt numFmtId="43" formatCode="_(* #,##0.00_);_(* \(#,##0.00\);_(* &quot;-&quot;??_);_(@_)"/>
    <numFmt numFmtId="164" formatCode="_(* #,##0_);_(* \(#,##0\);_(* &quot;-&quot;??_);_(@_)"/>
    <numFmt numFmtId="165" formatCode="_(* #,##0.0_);_(* \(#,##0.0\);_(* &quot;-&quot;??_);_(@_)"/>
    <numFmt numFmtId="166" formatCode="_(* #,##0.00000_);_(* \(#,##0.00000\);_(* &quot;-&quot;??_);_(@_)"/>
    <numFmt numFmtId="167" formatCode="_-* #,##0_-;\-* #,##0_-;_-* &quot;-&quot;??_-;_-@_-"/>
    <numFmt numFmtId="168" formatCode="_-* #,##0.00_-;\-* #,##0.00_-;_-* &quot;-&quot;??_-;_-@_-"/>
    <numFmt numFmtId="169" formatCode="0.0%"/>
    <numFmt numFmtId="170" formatCode="0.00000"/>
    <numFmt numFmtId="171" formatCode="_(* #,##0.0000_);_(* \(#,##0.0000\);_(* &quot;-&quot;??_);_(@_)"/>
    <numFmt numFmtId="172" formatCode="0.00000%"/>
    <numFmt numFmtId="173" formatCode="_(* #,##0.0000000_);_(* \(#,##0.0000000\);_(* &quot;-&quot;??_);_(@_)"/>
    <numFmt numFmtId="174" formatCode="_(* #,##0.000_);_(* \(#,##0.000\);_(* &quot;-&quot;??_);_(@_)"/>
    <numFmt numFmtId="175" formatCode="0.000%"/>
    <numFmt numFmtId="176" formatCode="_(* #,##0.0\ \x_);_(* \(#,##0.0\ \x\);_(* &quot;-&quot;??_);_(@_)"/>
    <numFmt numFmtId="177" formatCode="_(* #,##0_);_(* \(#,##0\);_(* &quot;-&quot;?????_);_(@_)"/>
    <numFmt numFmtId="178" formatCode="_(* #,##0.00000_);_(* \(#,##0.00000\);_(* &quot;-&quot;?????_);_(@_)"/>
  </numFmts>
  <fonts count="37" x14ac:knownFonts="1">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charset val="204"/>
      <scheme val="minor"/>
    </font>
    <font>
      <sz val="12"/>
      <color theme="1"/>
      <name val="Calibri"/>
      <family val="2"/>
      <scheme val="minor"/>
    </font>
    <font>
      <sz val="12"/>
      <color theme="1"/>
      <name val="Calibri"/>
      <family val="2"/>
      <scheme val="minor"/>
    </font>
    <font>
      <sz val="12"/>
      <color theme="1"/>
      <name val="Calibri"/>
      <family val="2"/>
      <charset val="238"/>
      <scheme val="minor"/>
    </font>
    <font>
      <sz val="12"/>
      <color theme="1"/>
      <name val="Calibri"/>
      <family val="2"/>
      <scheme val="minor"/>
    </font>
    <font>
      <sz val="12"/>
      <color theme="1"/>
      <name val="Calibri"/>
      <family val="2"/>
      <scheme val="minor"/>
    </font>
    <font>
      <sz val="12"/>
      <color theme="1"/>
      <name val="Calibri"/>
      <family val="2"/>
      <scheme val="minor"/>
    </font>
    <font>
      <sz val="8"/>
      <name val="Tahoma"/>
      <family val="2"/>
    </font>
    <font>
      <sz val="10"/>
      <name val="Arial"/>
    </font>
    <font>
      <b/>
      <sz val="8"/>
      <color indexed="9"/>
      <name val="Tahoma"/>
      <family val="2"/>
    </font>
    <font>
      <b/>
      <sz val="8"/>
      <color indexed="8"/>
      <name val="Tahoma"/>
      <family val="2"/>
    </font>
    <font>
      <sz val="10"/>
      <color rgb="FF000000"/>
      <name val="Arial"/>
    </font>
    <font>
      <u/>
      <sz val="12"/>
      <color theme="10"/>
      <name val="Calibri"/>
      <family val="2"/>
      <scheme val="minor"/>
    </font>
    <font>
      <u/>
      <sz val="12"/>
      <color theme="11"/>
      <name val="Calibri"/>
      <family val="2"/>
      <scheme val="minor"/>
    </font>
    <font>
      <sz val="12"/>
      <color theme="1"/>
      <name val="Avenir Book"/>
    </font>
    <font>
      <b/>
      <sz val="12"/>
      <color theme="1"/>
      <name val="Avenir Book"/>
    </font>
    <font>
      <sz val="12"/>
      <color rgb="FF0000FF"/>
      <name val="Avenir Book"/>
    </font>
    <font>
      <sz val="12"/>
      <color rgb="FF3366FF"/>
      <name val="Avenir Book"/>
    </font>
    <font>
      <sz val="12"/>
      <name val="Avenir Book"/>
    </font>
    <font>
      <i/>
      <sz val="12"/>
      <color theme="1"/>
      <name val="Avenir Book"/>
    </font>
    <font>
      <b/>
      <i/>
      <sz val="12"/>
      <color theme="1"/>
      <name val="Avenir Book"/>
    </font>
    <font>
      <sz val="12"/>
      <color theme="1"/>
      <name val="Arial Narrow"/>
      <family val="2"/>
    </font>
    <font>
      <sz val="11"/>
      <color indexed="8"/>
      <name val="Calibri"/>
      <family val="2"/>
      <scheme val="minor"/>
    </font>
    <font>
      <b/>
      <sz val="15"/>
      <color theme="3"/>
      <name val="Calibri"/>
      <family val="2"/>
      <charset val="238"/>
      <scheme val="minor"/>
    </font>
    <font>
      <b/>
      <sz val="14"/>
      <color theme="1"/>
      <name val="Avenir Book"/>
    </font>
    <font>
      <b/>
      <sz val="28"/>
      <color theme="1" tint="0.34998626667073579"/>
      <name val="Cambria"/>
      <family val="2"/>
      <scheme val="major"/>
    </font>
    <font>
      <sz val="8"/>
      <color theme="1" tint="0.24994659260841701"/>
      <name val="Calibri"/>
      <family val="2"/>
      <scheme val="minor"/>
    </font>
    <font>
      <b/>
      <u/>
      <sz val="12"/>
      <color theme="1"/>
      <name val="Avenir Book"/>
    </font>
    <font>
      <i/>
      <sz val="11"/>
      <color theme="1"/>
      <name val="Avenir Book"/>
    </font>
    <font>
      <sz val="9"/>
      <color theme="1"/>
      <name val="Avenir Book"/>
    </font>
    <font>
      <sz val="12"/>
      <color rgb="FF000000"/>
      <name val="Avenir Book"/>
    </font>
    <font>
      <b/>
      <sz val="16"/>
      <color theme="1"/>
      <name val="Avenir Book"/>
    </font>
    <font>
      <sz val="14"/>
      <color theme="1"/>
      <name val="Avenir Book"/>
    </font>
    <font>
      <b/>
      <sz val="12"/>
      <color rgb="FF000000"/>
      <name val="Avenir Book"/>
    </font>
  </fonts>
  <fills count="7">
    <fill>
      <patternFill patternType="none"/>
    </fill>
    <fill>
      <patternFill patternType="gray125"/>
    </fill>
    <fill>
      <patternFill patternType="solid">
        <fgColor indexed="9"/>
        <bgColor indexed="64"/>
      </patternFill>
    </fill>
    <fill>
      <patternFill patternType="solid">
        <fgColor indexed="8"/>
        <bgColor indexed="64"/>
      </patternFill>
    </fill>
    <fill>
      <patternFill patternType="solid">
        <fgColor indexed="9"/>
        <bgColor indexed="9"/>
      </patternFill>
    </fill>
    <fill>
      <patternFill patternType="solid">
        <fgColor theme="0" tint="-4.9989318521683403E-2"/>
        <bgColor indexed="64"/>
      </patternFill>
    </fill>
    <fill>
      <patternFill patternType="solid">
        <fgColor theme="9" tint="0.79998168889431442"/>
        <bgColor indexed="64"/>
      </patternFill>
    </fill>
  </fills>
  <borders count="15">
    <border>
      <left/>
      <right/>
      <top/>
      <bottom/>
      <diagonal/>
    </border>
    <border>
      <left/>
      <right/>
      <top/>
      <bottom style="thin">
        <color auto="1"/>
      </bottom>
      <diagonal/>
    </border>
    <border>
      <left/>
      <right/>
      <top style="thin">
        <color auto="1"/>
      </top>
      <bottom/>
      <diagonal/>
    </border>
    <border>
      <left style="thin">
        <color auto="1"/>
      </left>
      <right/>
      <top style="thin">
        <color auto="1"/>
      </top>
      <bottom style="thin">
        <color auto="1"/>
      </bottom>
      <diagonal/>
    </border>
    <border>
      <left style="thin">
        <color auto="1"/>
      </left>
      <right/>
      <top/>
      <bottom/>
      <diagonal/>
    </border>
    <border>
      <left/>
      <right/>
      <top style="medium">
        <color auto="1"/>
      </top>
      <bottom style="medium">
        <color auto="1"/>
      </bottom>
      <diagonal/>
    </border>
    <border>
      <left/>
      <right/>
      <top/>
      <bottom style="medium">
        <color auto="1"/>
      </bottom>
      <diagonal/>
    </border>
    <border>
      <left/>
      <right/>
      <top/>
      <bottom style="thick">
        <color theme="4"/>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style="medium">
        <color auto="1"/>
      </bottom>
      <diagonal/>
    </border>
    <border>
      <left/>
      <right style="medium">
        <color auto="1"/>
      </right>
      <top/>
      <bottom style="medium">
        <color auto="1"/>
      </bottom>
      <diagonal/>
    </border>
    <border>
      <left/>
      <right/>
      <top/>
      <bottom style="hair">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s>
  <cellStyleXfs count="5850">
    <xf numFmtId="0" fontId="0" fillId="0" borderId="0"/>
    <xf numFmtId="43" fontId="9" fillId="0" borderId="0" applyFont="0" applyFill="0" applyBorder="0" applyAlignment="0" applyProtection="0"/>
    <xf numFmtId="9" fontId="9" fillId="0" borderId="0" applyFont="0" applyFill="0" applyBorder="0" applyAlignment="0" applyProtection="0"/>
    <xf numFmtId="37" fontId="10" fillId="2" borderId="3" applyBorder="0" applyProtection="0">
      <alignment vertical="center"/>
    </xf>
    <xf numFmtId="43" fontId="11"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4" fontId="11" fillId="0" borderId="0" applyFont="0" applyFill="0" applyBorder="0" applyAlignment="0" applyProtection="0"/>
    <xf numFmtId="37" fontId="12" fillId="3" borderId="4" applyBorder="0">
      <alignment horizontal="left" vertical="center" indent="1"/>
    </xf>
    <xf numFmtId="37" fontId="13" fillId="0" borderId="5">
      <alignment vertical="center"/>
    </xf>
    <xf numFmtId="0" fontId="13" fillId="4" borderId="6" applyNumberFormat="0">
      <alignment horizontal="left" vertical="top" indent="1"/>
    </xf>
    <xf numFmtId="0" fontId="13" fillId="2" borderId="0" applyBorder="0">
      <alignment horizontal="left" vertical="center" indent="1"/>
    </xf>
    <xf numFmtId="0" fontId="13" fillId="0" borderId="6" applyNumberFormat="0" applyFill="0">
      <alignment horizontal="centerContinuous" vertical="top"/>
    </xf>
    <xf numFmtId="0" fontId="14" fillId="0" borderId="0"/>
    <xf numFmtId="9" fontId="9" fillId="0" borderId="0" applyFon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43" fontId="8" fillId="0" borderId="0" applyFont="0" applyFill="0" applyBorder="0" applyAlignment="0" applyProtection="0"/>
    <xf numFmtId="9" fontId="8" fillId="0" borderId="0" applyFon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168" fontId="24"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0" fontId="7" fillId="0" borderId="0"/>
    <xf numFmtId="0" fontId="7" fillId="0" borderId="0"/>
    <xf numFmtId="0" fontId="7" fillId="0" borderId="0"/>
    <xf numFmtId="0" fontId="7" fillId="0" borderId="0"/>
    <xf numFmtId="0" fontId="25"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6" fillId="0" borderId="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0" fontId="26" fillId="0" borderId="7" applyNumberFormat="0" applyFill="0" applyAlignment="0" applyProtection="0"/>
    <xf numFmtId="0" fontId="28" fillId="0" borderId="0" applyNumberFormat="0" applyFill="0" applyBorder="0" applyProtection="0">
      <alignment vertical="top"/>
    </xf>
    <xf numFmtId="0" fontId="6" fillId="0" borderId="0"/>
    <xf numFmtId="0" fontId="6" fillId="0" borderId="0"/>
    <xf numFmtId="0" fontId="29" fillId="0" borderId="0">
      <alignment vertical="center"/>
    </xf>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43" fontId="5" fillId="0" borderId="0" applyFont="0" applyFill="0" applyBorder="0" applyAlignment="0" applyProtection="0"/>
    <xf numFmtId="9" fontId="5" fillId="0" borderId="0" applyFont="0" applyFill="0" applyBorder="0" applyAlignment="0" applyProtection="0"/>
    <xf numFmtId="0" fontId="24" fillId="0" borderId="0"/>
    <xf numFmtId="0" fontId="5" fillId="0" borderId="0"/>
    <xf numFmtId="9" fontId="24" fillId="0" borderId="0" applyFont="0" applyFill="0" applyBorder="0" applyAlignment="0" applyProtection="0"/>
    <xf numFmtId="0" fontId="5" fillId="0" borderId="0"/>
    <xf numFmtId="9"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0" fontId="5" fillId="0" borderId="0"/>
    <xf numFmtId="0" fontId="5" fillId="0" borderId="0"/>
    <xf numFmtId="0" fontId="5" fillId="0" borderId="0"/>
    <xf numFmtId="0" fontId="5" fillId="0" borderId="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0" fontId="4" fillId="0" borderId="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43"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0" fontId="3" fillId="0" borderId="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2" fillId="0" borderId="0"/>
    <xf numFmtId="43" fontId="2" fillId="0" borderId="0" applyFont="0" applyFill="0" applyBorder="0" applyAlignment="0" applyProtection="0"/>
    <xf numFmtId="9" fontId="2" fillId="0" borderId="0" applyFont="0" applyFill="0" applyBorder="0" applyAlignment="0" applyProtection="0"/>
    <xf numFmtId="0" fontId="2" fillId="0" borderId="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68" fontId="24"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43"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0" fontId="24" fillId="0" borderId="0"/>
    <xf numFmtId="0" fontId="1" fillId="0" borderId="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cellStyleXfs>
  <cellXfs count="290">
    <xf numFmtId="0" fontId="0" fillId="0" borderId="0" xfId="0"/>
    <xf numFmtId="43" fontId="17" fillId="0" borderId="0" xfId="1" applyNumberFormat="1" applyFont="1"/>
    <xf numFmtId="0" fontId="17" fillId="0" borderId="0" xfId="0" applyFont="1"/>
    <xf numFmtId="166" fontId="17" fillId="0" borderId="0" xfId="1" applyNumberFormat="1" applyFont="1"/>
    <xf numFmtId="164" fontId="17" fillId="0" borderId="0" xfId="1" applyNumberFormat="1" applyFont="1"/>
    <xf numFmtId="9" fontId="17" fillId="0" borderId="0" xfId="2" applyFont="1"/>
    <xf numFmtId="164" fontId="17" fillId="0" borderId="0" xfId="0" applyNumberFormat="1" applyFont="1"/>
    <xf numFmtId="9" fontId="17" fillId="0" borderId="2" xfId="2" applyFont="1" applyBorder="1"/>
    <xf numFmtId="164" fontId="17" fillId="0" borderId="2" xfId="1" applyNumberFormat="1" applyFont="1" applyBorder="1"/>
    <xf numFmtId="43" fontId="22" fillId="0" borderId="0" xfId="1" applyFont="1"/>
    <xf numFmtId="43" fontId="17" fillId="0" borderId="0" xfId="1" applyFont="1"/>
    <xf numFmtId="0" fontId="17" fillId="0" borderId="0" xfId="0" applyFont="1" applyFill="1"/>
    <xf numFmtId="164" fontId="20" fillId="5" borderId="2" xfId="1" applyNumberFormat="1" applyFont="1" applyFill="1" applyBorder="1"/>
    <xf numFmtId="164" fontId="20" fillId="5" borderId="0" xfId="1" applyNumberFormat="1" applyFont="1" applyFill="1"/>
    <xf numFmtId="164" fontId="21" fillId="0" borderId="0" xfId="1" applyNumberFormat="1" applyFont="1" applyFill="1"/>
    <xf numFmtId="167" fontId="17" fillId="0" borderId="0" xfId="1332" applyNumberFormat="1" applyFont="1"/>
    <xf numFmtId="0" fontId="18" fillId="0" borderId="0" xfId="1332" applyNumberFormat="1" applyFont="1" applyAlignment="1">
      <alignment wrapText="1"/>
    </xf>
    <xf numFmtId="0" fontId="17" fillId="0" borderId="0" xfId="1332" applyNumberFormat="1" applyFont="1" applyAlignment="1">
      <alignment wrapText="1"/>
    </xf>
    <xf numFmtId="43" fontId="18" fillId="0" borderId="0" xfId="1" applyFont="1"/>
    <xf numFmtId="0" fontId="18" fillId="0" borderId="0" xfId="0" applyFont="1"/>
    <xf numFmtId="43" fontId="17" fillId="0" borderId="0" xfId="1" applyFont="1" applyAlignment="1">
      <alignment horizontal="center"/>
    </xf>
    <xf numFmtId="0" fontId="27" fillId="0" borderId="0" xfId="1524" applyFont="1"/>
    <xf numFmtId="0" fontId="17" fillId="0" borderId="0" xfId="1524" applyFont="1"/>
    <xf numFmtId="0" fontId="17" fillId="0" borderId="0" xfId="1524" applyFont="1" applyAlignment="1">
      <alignment wrapText="1"/>
    </xf>
    <xf numFmtId="0" fontId="18" fillId="0" borderId="0" xfId="1524" applyFont="1" applyAlignment="1">
      <alignment wrapText="1"/>
    </xf>
    <xf numFmtId="14" fontId="19" fillId="5" borderId="0" xfId="1" applyNumberFormat="1" applyFont="1" applyFill="1" applyAlignment="1">
      <alignment horizontal="right"/>
    </xf>
    <xf numFmtId="164" fontId="21" fillId="0" borderId="0" xfId="1" applyNumberFormat="1" applyFont="1" applyFill="1" applyAlignment="1">
      <alignment horizontal="right"/>
    </xf>
    <xf numFmtId="43" fontId="17" fillId="0" borderId="1" xfId="1" applyFont="1" applyBorder="1" applyAlignment="1">
      <alignment horizontal="center" wrapText="1"/>
    </xf>
    <xf numFmtId="43" fontId="17" fillId="0" borderId="1" xfId="1" applyFont="1" applyBorder="1" applyAlignment="1">
      <alignment horizontal="left" wrapText="1"/>
    </xf>
    <xf numFmtId="169" fontId="20" fillId="5" borderId="0" xfId="2" applyNumberFormat="1" applyFont="1" applyFill="1"/>
    <xf numFmtId="43" fontId="17" fillId="0" borderId="0" xfId="1" applyFont="1" applyAlignment="1">
      <alignment horizontal="left"/>
    </xf>
    <xf numFmtId="43" fontId="17" fillId="0" borderId="1" xfId="1" applyFont="1" applyBorder="1" applyAlignment="1">
      <alignment horizontal="center"/>
    </xf>
    <xf numFmtId="164" fontId="17" fillId="0" borderId="0" xfId="1" applyNumberFormat="1" applyFont="1" applyAlignment="1">
      <alignment horizontal="center"/>
    </xf>
    <xf numFmtId="0" fontId="30" fillId="0" borderId="0" xfId="0" applyFont="1"/>
    <xf numFmtId="0" fontId="22" fillId="0" borderId="0" xfId="0" applyFont="1"/>
    <xf numFmtId="169" fontId="17" fillId="0" borderId="0" xfId="2" applyNumberFormat="1" applyFont="1"/>
    <xf numFmtId="169" fontId="17" fillId="0" borderId="0" xfId="0" applyNumberFormat="1" applyFont="1"/>
    <xf numFmtId="170" fontId="17" fillId="0" borderId="0" xfId="0" applyNumberFormat="1" applyFont="1"/>
    <xf numFmtId="0" fontId="17" fillId="0" borderId="2" xfId="0" applyFont="1" applyBorder="1"/>
    <xf numFmtId="169" fontId="17" fillId="0" borderId="2" xfId="2" applyNumberFormat="1" applyFont="1" applyBorder="1"/>
    <xf numFmtId="9" fontId="20" fillId="5" borderId="0" xfId="2" applyNumberFormat="1" applyFont="1" applyFill="1"/>
    <xf numFmtId="9" fontId="17" fillId="0" borderId="0" xfId="0" applyNumberFormat="1" applyFont="1"/>
    <xf numFmtId="0" fontId="17" fillId="0" borderId="1" xfId="0" applyFont="1" applyBorder="1" applyAlignment="1">
      <alignment horizontal="center"/>
    </xf>
    <xf numFmtId="0" fontId="17" fillId="0" borderId="0" xfId="0" applyFont="1" applyAlignment="1">
      <alignment horizontal="center"/>
    </xf>
    <xf numFmtId="0" fontId="17" fillId="0" borderId="0" xfId="0" quotePrefix="1" applyFont="1"/>
    <xf numFmtId="0" fontId="17" fillId="0" borderId="2" xfId="0" applyFont="1" applyBorder="1" applyAlignment="1">
      <alignment horizontal="right"/>
    </xf>
    <xf numFmtId="0" fontId="17" fillId="0" borderId="0" xfId="0" applyFont="1" applyAlignment="1">
      <alignment horizontal="right"/>
    </xf>
    <xf numFmtId="0" fontId="23" fillId="0" borderId="0" xfId="0" applyFont="1"/>
    <xf numFmtId="164" fontId="17" fillId="0" borderId="2" xfId="1" applyNumberFormat="1" applyFont="1" applyBorder="1" applyAlignment="1">
      <alignment horizontal="center"/>
    </xf>
    <xf numFmtId="43" fontId="17" fillId="0" borderId="0" xfId="1" applyFont="1" applyAlignment="1">
      <alignment horizontal="right"/>
    </xf>
    <xf numFmtId="43" fontId="17" fillId="0" borderId="0" xfId="1" applyNumberFormat="1" applyFont="1" applyAlignment="1">
      <alignment horizontal="center"/>
    </xf>
    <xf numFmtId="43" fontId="17" fillId="0" borderId="1" xfId="1" applyFont="1" applyBorder="1" applyAlignment="1">
      <alignment horizontal="right"/>
    </xf>
    <xf numFmtId="9" fontId="17" fillId="0" borderId="0" xfId="2" applyFont="1" applyBorder="1" applyAlignment="1">
      <alignment horizontal="right"/>
    </xf>
    <xf numFmtId="172" fontId="17" fillId="0" borderId="0" xfId="0" applyNumberFormat="1" applyFont="1"/>
    <xf numFmtId="173" fontId="17" fillId="0" borderId="0" xfId="1" applyNumberFormat="1" applyFont="1"/>
    <xf numFmtId="164" fontId="19" fillId="5" borderId="0" xfId="1" applyNumberFormat="1" applyFont="1" applyFill="1" applyAlignment="1">
      <alignment horizontal="right"/>
    </xf>
    <xf numFmtId="164" fontId="21" fillId="0" borderId="0" xfId="1" applyNumberFormat="1" applyFont="1" applyFill="1" applyAlignment="1">
      <alignment horizontal="center"/>
    </xf>
    <xf numFmtId="43" fontId="17" fillId="0" borderId="0" xfId="1" applyFont="1" applyFill="1"/>
    <xf numFmtId="43" fontId="17" fillId="0" borderId="0" xfId="1" applyNumberFormat="1" applyFont="1" applyFill="1" applyAlignment="1">
      <alignment horizontal="center"/>
    </xf>
    <xf numFmtId="164" fontId="17" fillId="0" borderId="0" xfId="1" applyNumberFormat="1" applyFont="1" applyFill="1"/>
    <xf numFmtId="0" fontId="17" fillId="0" borderId="0" xfId="1" applyNumberFormat="1" applyFont="1" applyAlignment="1">
      <alignment horizontal="left"/>
    </xf>
    <xf numFmtId="0" fontId="17" fillId="0" borderId="0" xfId="0" applyFont="1" applyAlignment="1">
      <alignment horizontal="left"/>
    </xf>
    <xf numFmtId="0" fontId="17" fillId="0" borderId="0" xfId="0" applyFont="1" applyFill="1" applyAlignment="1">
      <alignment horizontal="left"/>
    </xf>
    <xf numFmtId="43" fontId="17" fillId="0" borderId="0" xfId="1" applyFont="1" applyFill="1" applyAlignment="1">
      <alignment horizontal="left"/>
    </xf>
    <xf numFmtId="43" fontId="23" fillId="0" borderId="0" xfId="1" applyFont="1"/>
    <xf numFmtId="0" fontId="23" fillId="0" borderId="0" xfId="1524" applyFont="1" applyAlignment="1">
      <alignment wrapText="1"/>
    </xf>
    <xf numFmtId="0" fontId="17" fillId="0" borderId="0" xfId="1524" quotePrefix="1" applyFont="1" applyAlignment="1">
      <alignment wrapText="1"/>
    </xf>
    <xf numFmtId="9" fontId="17" fillId="0" borderId="0" xfId="2" applyFont="1" applyFill="1"/>
    <xf numFmtId="164" fontId="17" fillId="0" borderId="0" xfId="0" applyNumberFormat="1" applyFont="1" applyFill="1"/>
    <xf numFmtId="43" fontId="17" fillId="0" borderId="0" xfId="1" applyFont="1" applyFill="1" applyAlignment="1">
      <alignment horizontal="center"/>
    </xf>
    <xf numFmtId="164" fontId="17" fillId="0" borderId="2" xfId="0" applyNumberFormat="1" applyFont="1" applyFill="1" applyBorder="1"/>
    <xf numFmtId="43" fontId="22" fillId="0" borderId="0" xfId="1" applyNumberFormat="1" applyFont="1" applyAlignment="1">
      <alignment horizontal="center"/>
    </xf>
    <xf numFmtId="0" fontId="17" fillId="0" borderId="0" xfId="1" applyNumberFormat="1" applyFont="1"/>
    <xf numFmtId="14" fontId="20" fillId="5" borderId="0" xfId="1" applyNumberFormat="1" applyFont="1" applyFill="1" applyAlignment="1">
      <alignment horizontal="right"/>
    </xf>
    <xf numFmtId="164" fontId="17" fillId="0" borderId="0" xfId="1" applyNumberFormat="1" applyFont="1" applyFill="1" applyBorder="1" applyAlignment="1">
      <alignment horizontal="center"/>
    </xf>
    <xf numFmtId="166" fontId="17" fillId="0" borderId="0" xfId="0" applyNumberFormat="1" applyFont="1" applyFill="1"/>
    <xf numFmtId="164" fontId="17" fillId="0" borderId="0" xfId="1" applyNumberFormat="1" applyFont="1" applyFill="1" applyAlignment="1">
      <alignment horizontal="right"/>
    </xf>
    <xf numFmtId="164" fontId="17" fillId="0" borderId="0" xfId="0" applyNumberFormat="1" applyFont="1" applyFill="1" applyAlignment="1">
      <alignment horizontal="right"/>
    </xf>
    <xf numFmtId="166" fontId="17" fillId="0" borderId="0" xfId="1" applyNumberFormat="1" applyFont="1" applyFill="1"/>
    <xf numFmtId="164" fontId="22" fillId="0" borderId="0" xfId="0" applyNumberFormat="1" applyFont="1" applyFill="1"/>
    <xf numFmtId="0" fontId="17" fillId="0" borderId="8" xfId="0" applyFont="1" applyBorder="1"/>
    <xf numFmtId="0" fontId="17" fillId="0" borderId="9" xfId="0" applyFont="1" applyBorder="1"/>
    <xf numFmtId="0" fontId="17" fillId="0" borderId="0" xfId="0" applyFont="1" applyBorder="1"/>
    <xf numFmtId="0" fontId="17" fillId="0" borderId="10" xfId="0" applyFont="1" applyBorder="1"/>
    <xf numFmtId="0" fontId="17" fillId="0" borderId="11" xfId="0" applyFont="1" applyBorder="1"/>
    <xf numFmtId="0" fontId="17" fillId="0" borderId="0" xfId="0" applyFont="1" applyBorder="1" applyAlignment="1">
      <alignment horizontal="left"/>
    </xf>
    <xf numFmtId="0" fontId="31" fillId="0" borderId="0" xfId="0" applyFont="1" applyBorder="1" applyAlignment="1">
      <alignment horizontal="left"/>
    </xf>
    <xf numFmtId="43" fontId="17" fillId="0" borderId="0" xfId="0" applyNumberFormat="1" applyFont="1"/>
    <xf numFmtId="164" fontId="17" fillId="0" borderId="2" xfId="0" applyNumberFormat="1" applyFont="1" applyBorder="1"/>
    <xf numFmtId="164" fontId="17" fillId="0" borderId="0" xfId="0" applyNumberFormat="1" applyFont="1" applyBorder="1"/>
    <xf numFmtId="0" fontId="17" fillId="0" borderId="12" xfId="0" applyFont="1" applyBorder="1"/>
    <xf numFmtId="0" fontId="18" fillId="0" borderId="12" xfId="0" applyFont="1" applyBorder="1" applyAlignment="1">
      <alignment horizontal="right"/>
    </xf>
    <xf numFmtId="0" fontId="18" fillId="0" borderId="0" xfId="0" applyFont="1" applyBorder="1" applyAlignment="1">
      <alignment horizontal="right"/>
    </xf>
    <xf numFmtId="0" fontId="17" fillId="0" borderId="0" xfId="0" applyFont="1" applyFill="1" applyAlignment="1">
      <alignment horizontal="center"/>
    </xf>
    <xf numFmtId="0" fontId="18" fillId="0" borderId="0" xfId="0" applyFont="1" applyAlignment="1">
      <alignment horizontal="center"/>
    </xf>
    <xf numFmtId="43" fontId="17" fillId="0" borderId="0" xfId="4450" applyFont="1"/>
    <xf numFmtId="169" fontId="20" fillId="5" borderId="0" xfId="4451" applyNumberFormat="1" applyFont="1" applyFill="1" applyAlignment="1">
      <alignment horizontal="right"/>
    </xf>
    <xf numFmtId="169" fontId="21" fillId="0" borderId="0" xfId="4451" applyNumberFormat="1" applyFont="1" applyFill="1"/>
    <xf numFmtId="169" fontId="17" fillId="0" borderId="0" xfId="4451" applyNumberFormat="1" applyFont="1"/>
    <xf numFmtId="165" fontId="20" fillId="5" borderId="0" xfId="4450" applyNumberFormat="1" applyFont="1" applyFill="1"/>
    <xf numFmtId="15" fontId="20" fillId="5" borderId="0" xfId="4451" applyNumberFormat="1" applyFont="1" applyFill="1" applyAlignment="1">
      <alignment horizontal="right"/>
    </xf>
    <xf numFmtId="15" fontId="21" fillId="0" borderId="0" xfId="4451" applyNumberFormat="1" applyFont="1" applyFill="1" applyAlignment="1">
      <alignment horizontal="right"/>
    </xf>
    <xf numFmtId="43" fontId="17" fillId="0" borderId="0" xfId="0" applyNumberFormat="1" applyFont="1" applyAlignment="1">
      <alignment horizontal="center"/>
    </xf>
    <xf numFmtId="164" fontId="20" fillId="5" borderId="0" xfId="4450" applyNumberFormat="1" applyFont="1" applyFill="1"/>
    <xf numFmtId="164" fontId="21" fillId="0" borderId="0" xfId="4450" applyNumberFormat="1" applyFont="1" applyFill="1"/>
    <xf numFmtId="174" fontId="17" fillId="0" borderId="0" xfId="4450" applyNumberFormat="1" applyFont="1"/>
    <xf numFmtId="43" fontId="20" fillId="5" borderId="0" xfId="4450" applyNumberFormat="1" applyFont="1" applyFill="1"/>
    <xf numFmtId="164" fontId="17" fillId="0" borderId="0" xfId="4450" applyNumberFormat="1" applyFont="1"/>
    <xf numFmtId="15" fontId="17" fillId="0" borderId="0" xfId="0" applyNumberFormat="1" applyFont="1"/>
    <xf numFmtId="175" fontId="17" fillId="0" borderId="0" xfId="0" applyNumberFormat="1" applyFont="1"/>
    <xf numFmtId="169" fontId="21" fillId="0" borderId="0" xfId="4451" applyNumberFormat="1" applyFont="1" applyFill="1" applyAlignment="1">
      <alignment horizontal="right"/>
    </xf>
    <xf numFmtId="0" fontId="17" fillId="0" borderId="0" xfId="0" applyNumberFormat="1" applyFont="1"/>
    <xf numFmtId="0" fontId="17" fillId="0" borderId="0" xfId="4451" applyNumberFormat="1" applyFont="1"/>
    <xf numFmtId="169" fontId="17" fillId="0" borderId="0" xfId="0" applyNumberFormat="1" applyFont="1" applyFill="1"/>
    <xf numFmtId="169" fontId="17" fillId="0" borderId="0" xfId="4451" applyNumberFormat="1" applyFont="1" applyFill="1"/>
    <xf numFmtId="9" fontId="20" fillId="5" borderId="0" xfId="4249" applyFont="1" applyFill="1"/>
    <xf numFmtId="9" fontId="17" fillId="0" borderId="0" xfId="4249" applyFont="1"/>
    <xf numFmtId="0" fontId="17" fillId="0" borderId="0" xfId="4248" applyNumberFormat="1" applyFont="1"/>
    <xf numFmtId="9" fontId="17" fillId="0" borderId="0" xfId="2" applyFont="1" applyFill="1" applyAlignment="1">
      <alignment horizontal="right"/>
    </xf>
    <xf numFmtId="9" fontId="20" fillId="5" borderId="0" xfId="4451" applyFont="1" applyFill="1" applyBorder="1" applyAlignment="1">
      <alignment horizontal="right"/>
    </xf>
    <xf numFmtId="9" fontId="17" fillId="0" borderId="0" xfId="2" applyFont="1" applyAlignment="1">
      <alignment horizontal="right"/>
    </xf>
    <xf numFmtId="43" fontId="17" fillId="0" borderId="0" xfId="4450" applyNumberFormat="1" applyFont="1" applyAlignment="1">
      <alignment horizontal="right"/>
    </xf>
    <xf numFmtId="164" fontId="17" fillId="0" borderId="0" xfId="4450" applyNumberFormat="1" applyFont="1" applyAlignment="1">
      <alignment horizontal="right"/>
    </xf>
    <xf numFmtId="9" fontId="17" fillId="0" borderId="0" xfId="2" applyNumberFormat="1" applyFont="1" applyAlignment="1">
      <alignment horizontal="right"/>
    </xf>
    <xf numFmtId="164" fontId="17" fillId="0" borderId="0" xfId="0" applyNumberFormat="1" applyFont="1" applyAlignment="1">
      <alignment horizontal="right"/>
    </xf>
    <xf numFmtId="165" fontId="21" fillId="0" borderId="0" xfId="4450" applyNumberFormat="1" applyFont="1" applyFill="1"/>
    <xf numFmtId="43" fontId="17" fillId="0" borderId="0" xfId="0" applyNumberFormat="1" applyFont="1" applyFill="1" applyAlignment="1">
      <alignment horizontal="center"/>
    </xf>
    <xf numFmtId="164" fontId="17" fillId="0" borderId="0" xfId="4450" applyNumberFormat="1" applyFont="1" applyAlignment="1">
      <alignment horizontal="center"/>
    </xf>
    <xf numFmtId="164" fontId="18" fillId="0" borderId="0" xfId="4450" applyNumberFormat="1" applyFont="1" applyAlignment="1">
      <alignment horizontal="center"/>
    </xf>
    <xf numFmtId="43" fontId="22" fillId="0" borderId="0" xfId="1" applyFont="1" applyFill="1"/>
    <xf numFmtId="2" fontId="17" fillId="0" borderId="0" xfId="0" applyNumberFormat="1" applyFont="1"/>
    <xf numFmtId="0" fontId="17" fillId="0" borderId="0" xfId="3899" applyFont="1"/>
    <xf numFmtId="168" fontId="17" fillId="0" borderId="0" xfId="1332" applyFont="1" applyAlignment="1">
      <alignment horizontal="center"/>
    </xf>
    <xf numFmtId="168" fontId="17" fillId="0" borderId="0" xfId="1332" applyFont="1"/>
    <xf numFmtId="0" fontId="17" fillId="0" borderId="0" xfId="5426" applyFont="1" applyAlignment="1"/>
    <xf numFmtId="167" fontId="19" fillId="5" borderId="0" xfId="1332" applyNumberFormat="1" applyFont="1" applyFill="1" applyAlignment="1">
      <alignment horizontal="right"/>
    </xf>
    <xf numFmtId="9" fontId="19" fillId="5" borderId="0" xfId="2" applyFont="1" applyFill="1"/>
    <xf numFmtId="164" fontId="19" fillId="5" borderId="0" xfId="1" applyNumberFormat="1" applyFont="1" applyFill="1"/>
    <xf numFmtId="171" fontId="19" fillId="5" borderId="0" xfId="1" applyNumberFormat="1" applyFont="1" applyFill="1"/>
    <xf numFmtId="171" fontId="19" fillId="5" borderId="0" xfId="1" applyNumberFormat="1" applyFont="1" applyFill="1" applyAlignment="1">
      <alignment horizontal="right"/>
    </xf>
    <xf numFmtId="165" fontId="19" fillId="5" borderId="0" xfId="1333" applyNumberFormat="1" applyFont="1" applyFill="1" applyAlignment="1">
      <alignment horizontal="left"/>
    </xf>
    <xf numFmtId="165" fontId="19" fillId="5" borderId="0" xfId="1" applyNumberFormat="1" applyFont="1" applyFill="1"/>
    <xf numFmtId="43" fontId="17" fillId="0" borderId="1" xfId="5725" applyFont="1" applyBorder="1" applyAlignment="1">
      <alignment horizontal="left" wrapText="1"/>
    </xf>
    <xf numFmtId="43" fontId="17" fillId="0" borderId="1" xfId="5725" applyFont="1" applyBorder="1" applyAlignment="1">
      <alignment horizontal="right" wrapText="1"/>
    </xf>
    <xf numFmtId="43" fontId="17" fillId="0" borderId="0" xfId="5725" applyFont="1" applyBorder="1" applyAlignment="1">
      <alignment horizontal="right"/>
    </xf>
    <xf numFmtId="43" fontId="19" fillId="5" borderId="0" xfId="5725" applyFont="1" applyFill="1"/>
    <xf numFmtId="164" fontId="17" fillId="0" borderId="0" xfId="5725" applyNumberFormat="1" applyFont="1"/>
    <xf numFmtId="9" fontId="17" fillId="0" borderId="0" xfId="5726" applyFont="1"/>
    <xf numFmtId="9" fontId="17" fillId="0" borderId="0" xfId="5726" applyFont="1" applyBorder="1"/>
    <xf numFmtId="43" fontId="17" fillId="0" borderId="0" xfId="5725" applyFont="1"/>
    <xf numFmtId="43" fontId="21" fillId="0" borderId="0" xfId="5725" applyFont="1" applyFill="1"/>
    <xf numFmtId="43" fontId="17" fillId="0" borderId="2" xfId="5725" applyFont="1" applyBorder="1"/>
    <xf numFmtId="9" fontId="17" fillId="0" borderId="2" xfId="5726" applyFont="1" applyBorder="1"/>
    <xf numFmtId="14" fontId="19" fillId="5" borderId="0" xfId="0" applyNumberFormat="1" applyFont="1" applyFill="1"/>
    <xf numFmtId="0" fontId="19" fillId="5" borderId="0" xfId="0" applyFont="1" applyFill="1" applyAlignment="1">
      <alignment horizontal="right"/>
    </xf>
    <xf numFmtId="43" fontId="17" fillId="0" borderId="0" xfId="5725" applyFont="1" applyAlignment="1">
      <alignment horizontal="center"/>
    </xf>
    <xf numFmtId="0" fontId="17" fillId="0" borderId="13" xfId="0" applyFont="1" applyBorder="1"/>
    <xf numFmtId="0" fontId="17" fillId="0" borderId="0" xfId="0" applyFont="1" applyBorder="1" applyAlignment="1">
      <alignment horizontal="center"/>
    </xf>
    <xf numFmtId="0" fontId="17" fillId="0" borderId="14" xfId="0" applyFont="1" applyBorder="1"/>
    <xf numFmtId="43" fontId="18" fillId="0" borderId="0" xfId="5725" applyFont="1"/>
    <xf numFmtId="43" fontId="18" fillId="0" borderId="1" xfId="5725" applyFont="1" applyBorder="1" applyAlignment="1">
      <alignment horizontal="center"/>
    </xf>
    <xf numFmtId="43" fontId="17" fillId="0" borderId="1" xfId="5725" applyFont="1" applyBorder="1" applyAlignment="1">
      <alignment horizontal="center"/>
    </xf>
    <xf numFmtId="43" fontId="18" fillId="0" borderId="1" xfId="5725" applyFont="1" applyBorder="1"/>
    <xf numFmtId="43" fontId="17" fillId="0" borderId="1" xfId="5725" applyFont="1" applyBorder="1"/>
    <xf numFmtId="43" fontId="17" fillId="0" borderId="1" xfId="5725" applyFont="1" applyBorder="1" applyAlignment="1">
      <alignment horizontal="center" wrapText="1"/>
    </xf>
    <xf numFmtId="43" fontId="17" fillId="0" borderId="0" xfId="5725" applyFont="1" applyAlignment="1">
      <alignment horizontal="center" wrapText="1"/>
    </xf>
    <xf numFmtId="43" fontId="33" fillId="0" borderId="1" xfId="0" applyNumberFormat="1" applyFont="1" applyBorder="1" applyAlignment="1">
      <alignment horizontal="left" wrapText="1"/>
    </xf>
    <xf numFmtId="43" fontId="19" fillId="5" borderId="0" xfId="5725" applyFont="1" applyFill="1" applyAlignment="1">
      <alignment horizontal="center"/>
    </xf>
    <xf numFmtId="14" fontId="19" fillId="5" borderId="0" xfId="5725" applyNumberFormat="1" applyFont="1" applyFill="1" applyAlignment="1">
      <alignment horizontal="center"/>
    </xf>
    <xf numFmtId="164" fontId="19" fillId="5" borderId="0" xfId="5725" applyNumberFormat="1" applyFont="1" applyFill="1"/>
    <xf numFmtId="164" fontId="21" fillId="0" borderId="0" xfId="5725" applyNumberFormat="1" applyFont="1" applyFill="1"/>
    <xf numFmtId="9" fontId="19" fillId="5" borderId="0" xfId="5726" applyFont="1" applyFill="1"/>
    <xf numFmtId="169" fontId="19" fillId="5" borderId="0" xfId="5726" applyNumberFormat="1" applyFont="1" applyFill="1"/>
    <xf numFmtId="164" fontId="17" fillId="0" borderId="0" xfId="5725" applyNumberFormat="1" applyFont="1" applyFill="1"/>
    <xf numFmtId="164" fontId="17" fillId="0" borderId="0" xfId="5725" applyNumberFormat="1" applyFont="1" applyAlignment="1">
      <alignment horizontal="right"/>
    </xf>
    <xf numFmtId="43" fontId="17" fillId="0" borderId="0" xfId="5725" applyNumberFormat="1" applyFont="1"/>
    <xf numFmtId="43" fontId="17" fillId="0" borderId="0" xfId="5725" applyFont="1" applyBorder="1"/>
    <xf numFmtId="43" fontId="17" fillId="0" borderId="0" xfId="5725" applyFont="1" applyBorder="1" applyAlignment="1">
      <alignment horizontal="center"/>
    </xf>
    <xf numFmtId="43" fontId="21" fillId="0" borderId="0" xfId="5725" applyFont="1" applyFill="1" applyAlignment="1">
      <alignment horizontal="center"/>
    </xf>
    <xf numFmtId="9" fontId="21" fillId="0" borderId="0" xfId="5726" applyFont="1" applyFill="1"/>
    <xf numFmtId="169" fontId="21" fillId="0" borderId="0" xfId="5726" applyNumberFormat="1" applyFont="1" applyFill="1"/>
    <xf numFmtId="43" fontId="17" fillId="0" borderId="0" xfId="5725" applyNumberFormat="1" applyFont="1" applyBorder="1"/>
    <xf numFmtId="43" fontId="17" fillId="0" borderId="2" xfId="5725" applyFont="1" applyBorder="1" applyAlignment="1">
      <alignment horizontal="center"/>
    </xf>
    <xf numFmtId="164" fontId="17" fillId="0" borderId="2" xfId="5725" applyNumberFormat="1" applyFont="1" applyBorder="1"/>
    <xf numFmtId="43" fontId="22" fillId="0" borderId="0" xfId="5725" applyFont="1" applyBorder="1"/>
    <xf numFmtId="43" fontId="19" fillId="5" borderId="0" xfId="5725" applyFont="1" applyFill="1" applyBorder="1" applyAlignment="1">
      <alignment horizontal="left"/>
    </xf>
    <xf numFmtId="164" fontId="17" fillId="0" borderId="0" xfId="5725" applyNumberFormat="1" applyFont="1" applyAlignment="1">
      <alignment horizontal="center"/>
    </xf>
    <xf numFmtId="43" fontId="17" fillId="0" borderId="0" xfId="5725" applyFont="1" applyAlignment="1">
      <alignment horizontal="right"/>
    </xf>
    <xf numFmtId="164" fontId="17" fillId="0" borderId="2" xfId="5725" applyNumberFormat="1" applyFont="1" applyBorder="1" applyAlignment="1">
      <alignment horizontal="center"/>
    </xf>
    <xf numFmtId="43" fontId="22" fillId="0" borderId="0" xfId="5725" applyFont="1"/>
    <xf numFmtId="43" fontId="33" fillId="0" borderId="0" xfId="0" applyNumberFormat="1" applyFont="1" applyAlignment="1">
      <alignment horizontal="center"/>
    </xf>
    <xf numFmtId="43" fontId="33" fillId="0" borderId="2" xfId="0" applyNumberFormat="1" applyFont="1" applyBorder="1" applyAlignment="1">
      <alignment horizontal="center"/>
    </xf>
    <xf numFmtId="43" fontId="19" fillId="5" borderId="0" xfId="5725" applyFont="1" applyFill="1" applyAlignment="1">
      <alignment horizontal="right"/>
    </xf>
    <xf numFmtId="43" fontId="17" fillId="0" borderId="0" xfId="5725" applyFont="1" applyAlignment="1">
      <alignment horizontal="left"/>
    </xf>
    <xf numFmtId="14" fontId="19" fillId="5" borderId="0" xfId="5725" applyNumberFormat="1" applyFont="1" applyFill="1" applyBorder="1" applyAlignment="1">
      <alignment horizontal="right"/>
    </xf>
    <xf numFmtId="14" fontId="19" fillId="5" borderId="0" xfId="5725" applyNumberFormat="1" applyFont="1" applyFill="1" applyAlignment="1">
      <alignment horizontal="right"/>
    </xf>
    <xf numFmtId="164" fontId="21" fillId="0" borderId="0" xfId="5725" applyNumberFormat="1" applyFont="1" applyFill="1" applyAlignment="1">
      <alignment horizontal="right"/>
    </xf>
    <xf numFmtId="164" fontId="19" fillId="5" borderId="0" xfId="5725" applyNumberFormat="1" applyFont="1" applyFill="1" applyAlignment="1">
      <alignment horizontal="right"/>
    </xf>
    <xf numFmtId="164" fontId="19" fillId="0" borderId="0" xfId="5725" applyNumberFormat="1" applyFont="1" applyFill="1" applyAlignment="1">
      <alignment horizontal="right"/>
    </xf>
    <xf numFmtId="171" fontId="17" fillId="0" borderId="0" xfId="5725" applyNumberFormat="1" applyFont="1"/>
    <xf numFmtId="9" fontId="17" fillId="0" borderId="0" xfId="5726" applyNumberFormat="1" applyFont="1"/>
    <xf numFmtId="166" fontId="17" fillId="0" borderId="0" xfId="5725" applyNumberFormat="1" applyFont="1"/>
    <xf numFmtId="176" fontId="19" fillId="5" borderId="0" xfId="5725" applyNumberFormat="1" applyFont="1" applyFill="1"/>
    <xf numFmtId="165" fontId="19" fillId="5" borderId="0" xfId="5727" applyNumberFormat="1" applyFont="1" applyFill="1" applyAlignment="1">
      <alignment horizontal="left"/>
    </xf>
    <xf numFmtId="165" fontId="19" fillId="5" borderId="0" xfId="5725" applyNumberFormat="1" applyFont="1" applyFill="1"/>
    <xf numFmtId="43" fontId="17" fillId="0" borderId="0" xfId="5725" applyNumberFormat="1" applyFont="1" applyFill="1"/>
    <xf numFmtId="43" fontId="22" fillId="0" borderId="0" xfId="5725" applyNumberFormat="1" applyFont="1"/>
    <xf numFmtId="43" fontId="30" fillId="0" borderId="0" xfId="5725" applyFont="1"/>
    <xf numFmtId="43" fontId="17" fillId="0" borderId="0" xfId="5725" quotePrefix="1" applyFont="1"/>
    <xf numFmtId="0" fontId="17" fillId="0" borderId="0" xfId="5725" quotePrefix="1" applyNumberFormat="1" applyFont="1"/>
    <xf numFmtId="0" fontId="17" fillId="0" borderId="0" xfId="5725" applyNumberFormat="1" applyFont="1"/>
    <xf numFmtId="0" fontId="17" fillId="0" borderId="0" xfId="5725" applyNumberFormat="1" applyFont="1" applyAlignment="1">
      <alignment horizontal="left"/>
    </xf>
    <xf numFmtId="43" fontId="17" fillId="6" borderId="0" xfId="5725" applyFont="1" applyFill="1"/>
    <xf numFmtId="43" fontId="18" fillId="0" borderId="0" xfId="5728" applyFont="1"/>
    <xf numFmtId="43" fontId="17" fillId="0" borderId="0" xfId="5728" applyFont="1" applyAlignment="1">
      <alignment horizontal="center"/>
    </xf>
    <xf numFmtId="43" fontId="17" fillId="0" borderId="0" xfId="5728" applyFont="1" applyAlignment="1">
      <alignment horizontal="left"/>
    </xf>
    <xf numFmtId="43" fontId="17" fillId="0" borderId="0" xfId="5728" applyFont="1"/>
    <xf numFmtId="43" fontId="17" fillId="0" borderId="0" xfId="5728" applyNumberFormat="1" applyFont="1" applyAlignment="1">
      <alignment horizontal="center"/>
    </xf>
    <xf numFmtId="164" fontId="19" fillId="5" borderId="0" xfId="5728" applyNumberFormat="1" applyFont="1" applyFill="1"/>
    <xf numFmtId="43" fontId="17" fillId="0" borderId="0" xfId="5728" applyNumberFormat="1" applyFont="1"/>
    <xf numFmtId="164" fontId="17" fillId="0" borderId="0" xfId="5728" applyNumberFormat="1" applyFont="1"/>
    <xf numFmtId="14" fontId="19" fillId="5" borderId="0" xfId="5728" applyNumberFormat="1" applyFont="1" applyFill="1" applyAlignment="1">
      <alignment horizontal="right"/>
    </xf>
    <xf numFmtId="9" fontId="19" fillId="5" borderId="0" xfId="5729" applyFont="1" applyFill="1"/>
    <xf numFmtId="164" fontId="19" fillId="5" borderId="0" xfId="5728" applyNumberFormat="1" applyFont="1" applyFill="1" applyAlignment="1">
      <alignment horizontal="right"/>
    </xf>
    <xf numFmtId="43" fontId="17" fillId="0" borderId="0" xfId="5727" applyFont="1"/>
    <xf numFmtId="0" fontId="17" fillId="0" borderId="0" xfId="5727" applyNumberFormat="1" applyFont="1"/>
    <xf numFmtId="43" fontId="17" fillId="0" borderId="0" xfId="5727" applyFont="1" applyAlignment="1">
      <alignment horizontal="center"/>
    </xf>
    <xf numFmtId="43" fontId="22" fillId="0" borderId="0" xfId="5728" applyFont="1"/>
    <xf numFmtId="43" fontId="17" fillId="0" borderId="1" xfId="5728" applyFont="1" applyBorder="1" applyAlignment="1">
      <alignment horizontal="right"/>
    </xf>
    <xf numFmtId="43" fontId="17" fillId="0" borderId="1" xfId="5728" applyFont="1" applyBorder="1" applyAlignment="1">
      <alignment horizontal="center"/>
    </xf>
    <xf numFmtId="0" fontId="17" fillId="0" borderId="0" xfId="5728" applyNumberFormat="1" applyFont="1" applyAlignment="1">
      <alignment horizontal="left"/>
    </xf>
    <xf numFmtId="164" fontId="17" fillId="0" borderId="0" xfId="5728" applyNumberFormat="1" applyFont="1" applyAlignment="1">
      <alignment horizontal="center"/>
    </xf>
    <xf numFmtId="164" fontId="17" fillId="0" borderId="2" xfId="5728" applyNumberFormat="1" applyFont="1" applyBorder="1" applyAlignment="1">
      <alignment horizontal="center"/>
    </xf>
    <xf numFmtId="9" fontId="17" fillId="0" borderId="0" xfId="5729" applyFont="1" applyBorder="1" applyAlignment="1">
      <alignment horizontal="right"/>
    </xf>
    <xf numFmtId="171" fontId="21" fillId="0" borderId="0" xfId="5728" applyNumberFormat="1" applyFont="1" applyFill="1"/>
    <xf numFmtId="171" fontId="21" fillId="0" borderId="0" xfId="5728" applyNumberFormat="1" applyFont="1" applyFill="1" applyAlignment="1">
      <alignment horizontal="right"/>
    </xf>
    <xf numFmtId="164" fontId="21" fillId="0" borderId="0" xfId="5728" applyNumberFormat="1" applyFont="1" applyFill="1"/>
    <xf numFmtId="164" fontId="21" fillId="0" borderId="0" xfId="5728" applyNumberFormat="1" applyFont="1" applyFill="1" applyAlignment="1">
      <alignment horizontal="center"/>
    </xf>
    <xf numFmtId="166" fontId="17" fillId="0" borderId="0" xfId="5728" applyNumberFormat="1" applyFont="1"/>
    <xf numFmtId="165" fontId="21" fillId="0" borderId="0" xfId="5730" applyNumberFormat="1" applyFont="1" applyFill="1" applyAlignment="1">
      <alignment horizontal="left"/>
    </xf>
    <xf numFmtId="43" fontId="21" fillId="0" borderId="0" xfId="5728" applyFont="1" applyFill="1" applyAlignment="1">
      <alignment horizontal="right"/>
    </xf>
    <xf numFmtId="165" fontId="21" fillId="0" borderId="0" xfId="5728" applyNumberFormat="1" applyFont="1" applyFill="1"/>
    <xf numFmtId="43" fontId="17" fillId="0" borderId="0" xfId="5728" applyFont="1" applyAlignment="1">
      <alignment horizontal="right"/>
    </xf>
    <xf numFmtId="43" fontId="23" fillId="0" borderId="0" xfId="5728" applyFont="1" applyFill="1"/>
    <xf numFmtId="43" fontId="17" fillId="0" borderId="0" xfId="5728" applyFont="1" applyFill="1" applyAlignment="1">
      <alignment horizontal="center"/>
    </xf>
    <xf numFmtId="43" fontId="17" fillId="0" borderId="0" xfId="5728" applyFont="1" applyFill="1"/>
    <xf numFmtId="166" fontId="17" fillId="0" borderId="0" xfId="0" applyNumberFormat="1" applyFont="1"/>
    <xf numFmtId="43" fontId="22" fillId="0" borderId="0" xfId="5728" applyFont="1" applyFill="1"/>
    <xf numFmtId="43" fontId="17" fillId="0" borderId="0" xfId="5728" applyFont="1" applyFill="1" applyAlignment="1">
      <alignment horizontal="left"/>
    </xf>
    <xf numFmtId="43" fontId="17" fillId="0" borderId="0" xfId="5728" applyNumberFormat="1" applyFont="1" applyFill="1" applyAlignment="1">
      <alignment horizontal="center"/>
    </xf>
    <xf numFmtId="164" fontId="17" fillId="0" borderId="0" xfId="5728" applyNumberFormat="1" applyFont="1" applyFill="1"/>
    <xf numFmtId="164" fontId="17" fillId="0" borderId="0" xfId="5728" applyNumberFormat="1" applyFont="1" applyFill="1" applyAlignment="1">
      <alignment horizontal="right"/>
    </xf>
    <xf numFmtId="0" fontId="17" fillId="0" borderId="0" xfId="5728" applyNumberFormat="1" applyFont="1" applyFill="1" applyAlignment="1">
      <alignment horizontal="left"/>
    </xf>
    <xf numFmtId="166" fontId="17" fillId="0" borderId="0" xfId="5728" applyNumberFormat="1" applyFont="1" applyFill="1"/>
    <xf numFmtId="164" fontId="17" fillId="0" borderId="0" xfId="5728" applyNumberFormat="1" applyFont="1" applyFill="1" applyAlignment="1">
      <alignment horizontal="left"/>
    </xf>
    <xf numFmtId="9" fontId="17" fillId="0" borderId="0" xfId="5729" applyFont="1" applyFill="1"/>
    <xf numFmtId="9" fontId="17" fillId="0" borderId="2" xfId="5729" applyFont="1" applyFill="1" applyBorder="1"/>
    <xf numFmtId="9" fontId="17" fillId="0" borderId="0" xfId="5729" applyFont="1" applyFill="1" applyAlignment="1">
      <alignment horizontal="right"/>
    </xf>
    <xf numFmtId="43" fontId="17" fillId="0" borderId="2" xfId="5728" applyFont="1" applyBorder="1"/>
    <xf numFmtId="43" fontId="17" fillId="0" borderId="0" xfId="5727" applyFont="1" applyAlignment="1">
      <alignment horizontal="left"/>
    </xf>
    <xf numFmtId="177" fontId="17" fillId="0" borderId="0" xfId="0" applyNumberFormat="1" applyFont="1"/>
    <xf numFmtId="178" fontId="17" fillId="0" borderId="0" xfId="0" applyNumberFormat="1" applyFont="1"/>
    <xf numFmtId="0" fontId="17" fillId="0" borderId="0" xfId="5731" applyFont="1" applyAlignment="1">
      <alignment wrapText="1"/>
    </xf>
    <xf numFmtId="0" fontId="17" fillId="0" borderId="0" xfId="5731" applyFont="1"/>
    <xf numFmtId="0" fontId="18" fillId="0" borderId="0" xfId="5731" applyFont="1" applyAlignment="1">
      <alignment wrapText="1"/>
    </xf>
    <xf numFmtId="0" fontId="34" fillId="0" borderId="0" xfId="5732" applyFont="1" applyAlignment="1">
      <alignment horizontal="left" vertical="top" wrapText="1"/>
    </xf>
    <xf numFmtId="0" fontId="17" fillId="0" borderId="0" xfId="5732" applyFont="1" applyAlignment="1">
      <alignment horizontal="left" vertical="top" wrapText="1"/>
    </xf>
    <xf numFmtId="0" fontId="35" fillId="0" borderId="0" xfId="5732" applyFont="1" applyAlignment="1">
      <alignment horizontal="left" vertical="top" wrapText="1"/>
    </xf>
    <xf numFmtId="0" fontId="17" fillId="0" borderId="0" xfId="5732" applyFont="1" applyAlignment="1">
      <alignment horizontal="left" vertical="center" wrapText="1"/>
    </xf>
    <xf numFmtId="0" fontId="17" fillId="0" borderId="0" xfId="0" applyFont="1" applyAlignment="1" applyProtection="1">
      <alignment wrapText="1"/>
      <protection hidden="1"/>
    </xf>
    <xf numFmtId="0" fontId="36" fillId="0" borderId="0" xfId="0" applyFont="1" applyAlignment="1" applyProtection="1">
      <alignment wrapText="1"/>
      <protection hidden="1"/>
    </xf>
    <xf numFmtId="0" fontId="17" fillId="0" borderId="0" xfId="5732" applyFont="1" applyAlignment="1" applyProtection="1">
      <alignment wrapText="1"/>
      <protection hidden="1"/>
    </xf>
    <xf numFmtId="0" fontId="33" fillId="0" borderId="0" xfId="0" applyFont="1" applyAlignment="1" applyProtection="1">
      <alignment wrapText="1"/>
      <protection hidden="1"/>
    </xf>
    <xf numFmtId="0" fontId="18" fillId="0" borderId="0" xfId="5732" applyFont="1" applyAlignment="1" applyProtection="1">
      <alignment wrapText="1"/>
      <protection hidden="1"/>
    </xf>
    <xf numFmtId="0" fontId="17" fillId="0" borderId="0" xfId="5732" applyFont="1" applyAlignment="1" applyProtection="1">
      <protection hidden="1"/>
    </xf>
    <xf numFmtId="0" fontId="18" fillId="0" borderId="0" xfId="5732" applyFont="1" applyAlignment="1" applyProtection="1">
      <protection hidden="1"/>
    </xf>
    <xf numFmtId="9" fontId="19" fillId="5" borderId="0" xfId="2" applyNumberFormat="1" applyFont="1" applyFill="1"/>
    <xf numFmtId="169" fontId="19" fillId="5" borderId="0" xfId="2" applyNumberFormat="1" applyFont="1" applyFill="1"/>
    <xf numFmtId="164" fontId="19" fillId="5" borderId="2" xfId="1" applyNumberFormat="1" applyFont="1" applyFill="1" applyBorder="1"/>
    <xf numFmtId="177" fontId="17" fillId="0" borderId="0" xfId="1" applyNumberFormat="1" applyFont="1"/>
    <xf numFmtId="164" fontId="21" fillId="0" borderId="0" xfId="1" applyNumberFormat="1" applyFont="1" applyFill="1" applyBorder="1"/>
    <xf numFmtId="164" fontId="20" fillId="0" borderId="0" xfId="1" applyNumberFormat="1" applyFont="1" applyFill="1" applyBorder="1"/>
    <xf numFmtId="0" fontId="17" fillId="0" borderId="0" xfId="0" applyFont="1" applyFill="1" applyBorder="1"/>
    <xf numFmtId="170" fontId="17" fillId="0" borderId="0" xfId="0" applyNumberFormat="1" applyFont="1" applyFill="1" applyBorder="1"/>
    <xf numFmtId="43" fontId="17" fillId="0" borderId="0" xfId="1" applyFont="1" applyFill="1" applyBorder="1"/>
    <xf numFmtId="164" fontId="17" fillId="0" borderId="0" xfId="0" applyNumberFormat="1" applyFont="1" applyFill="1" applyBorder="1"/>
    <xf numFmtId="169" fontId="17" fillId="0" borderId="0" xfId="2" applyNumberFormat="1" applyFont="1" applyFill="1" applyBorder="1"/>
    <xf numFmtId="164" fontId="17" fillId="0" borderId="0" xfId="1" applyNumberFormat="1" applyFont="1" applyFill="1" applyBorder="1"/>
    <xf numFmtId="164" fontId="19" fillId="0" borderId="0" xfId="1" applyNumberFormat="1" applyFont="1" applyFill="1" applyBorder="1"/>
    <xf numFmtId="43" fontId="19" fillId="5" borderId="0" xfId="5725" applyNumberFormat="1" applyFont="1" applyFill="1" applyAlignment="1">
      <alignment horizontal="center"/>
    </xf>
  </cellXfs>
  <cellStyles count="5850">
    <cellStyle name="amount" xfId="3"/>
    <cellStyle name="Comma" xfId="1" builtinId="3"/>
    <cellStyle name="Comma 10" xfId="1333"/>
    <cellStyle name="Comma 10 2" xfId="4247"/>
    <cellStyle name="Comma 10 2 2" xfId="5430"/>
    <cellStyle name="Comma 10 2 3" xfId="5730"/>
    <cellStyle name="Comma 10 3" xfId="5727"/>
    <cellStyle name="Comma 11" xfId="1334"/>
    <cellStyle name="Comma 11 2" xfId="1335"/>
    <cellStyle name="Comma 11 2 2" xfId="1336"/>
    <cellStyle name="Comma 11 2 2 2" xfId="1525"/>
    <cellStyle name="Comma 11 2 2 2 2" xfId="1526"/>
    <cellStyle name="Comma 11 2 2 2 2 2" xfId="1527"/>
    <cellStyle name="Comma 11 2 2 2 2 2 2" xfId="1528"/>
    <cellStyle name="Comma 11 2 2 3" xfId="1529"/>
    <cellStyle name="Comma 11 2 2 3 2" xfId="1530"/>
    <cellStyle name="Comma 11 2 2 4" xfId="3906"/>
    <cellStyle name="Comma 11 2 2 4 2" xfId="3907"/>
    <cellStyle name="Comma 11 2 2 4 2 2" xfId="5431"/>
    <cellStyle name="Comma 11 2 2 4 3" xfId="5432"/>
    <cellStyle name="Comma 11 2 2 5" xfId="3908"/>
    <cellStyle name="Comma 11 2 2 5 2" xfId="5433"/>
    <cellStyle name="Comma 11 2 2 6" xfId="5434"/>
    <cellStyle name="Comma 11 2 2 7" xfId="5435"/>
    <cellStyle name="Comma 11 2 3" xfId="1337"/>
    <cellStyle name="Comma 11 2 3 2" xfId="1531"/>
    <cellStyle name="Comma 11 2 3 2 2" xfId="1532"/>
    <cellStyle name="Comma 11 2 3 3" xfId="3909"/>
    <cellStyle name="Comma 11 2 3 3 2" xfId="5436"/>
    <cellStyle name="Comma 11 2 3 4" xfId="5437"/>
    <cellStyle name="Comma 11 2 4" xfId="1533"/>
    <cellStyle name="Comma 11 2 4 2" xfId="1534"/>
    <cellStyle name="Comma 11 2 4 2 2" xfId="1535"/>
    <cellStyle name="Comma 11 2 4 2 3" xfId="1536"/>
    <cellStyle name="Comma 11 2 4 2 3 2" xfId="1537"/>
    <cellStyle name="Comma 11 2 5" xfId="1538"/>
    <cellStyle name="Comma 11 2 6" xfId="1539"/>
    <cellStyle name="Comma 11 2 6 2" xfId="1540"/>
    <cellStyle name="Comma 11 2 7" xfId="3910"/>
    <cellStyle name="Comma 11 2 7 2" xfId="3911"/>
    <cellStyle name="Comma 11 2 7 2 2" xfId="5438"/>
    <cellStyle name="Comma 11 2 7 3" xfId="5439"/>
    <cellStyle name="Comma 11 2 8" xfId="5440"/>
    <cellStyle name="Comma 12" xfId="1338"/>
    <cellStyle name="Comma 12 2" xfId="1339"/>
    <cellStyle name="Comma 12 2 10" xfId="5441"/>
    <cellStyle name="Comma 12 2 2" xfId="1340"/>
    <cellStyle name="Comma 12 2 2 2" xfId="3912"/>
    <cellStyle name="Comma 12 2 2 2 2" xfId="3913"/>
    <cellStyle name="Comma 12 2 2 2 2 2" xfId="5442"/>
    <cellStyle name="Comma 12 2 2 2 3" xfId="5443"/>
    <cellStyle name="Comma 12 2 2 3" xfId="3914"/>
    <cellStyle name="Comma 12 2 2 4" xfId="5444"/>
    <cellStyle name="Comma 12 2 2 5" xfId="5445"/>
    <cellStyle name="Comma 12 2 3" xfId="1341"/>
    <cellStyle name="Comma 12 2 3 2" xfId="1541"/>
    <cellStyle name="Comma 12 2 3 2 2" xfId="1542"/>
    <cellStyle name="Comma 12 2 3 2 3" xfId="1543"/>
    <cellStyle name="Comma 12 2 3 2 4" xfId="3915"/>
    <cellStyle name="Comma 12 2 3 2 5" xfId="5446"/>
    <cellStyle name="Comma 12 2 3 2 6" xfId="5447"/>
    <cellStyle name="Comma 12 2 3 3" xfId="3905"/>
    <cellStyle name="Comma 12 2 4" xfId="1544"/>
    <cellStyle name="Comma 12 2 5" xfId="1545"/>
    <cellStyle name="Comma 12 2 5 2" xfId="1546"/>
    <cellStyle name="Comma 12 2 6" xfId="1547"/>
    <cellStyle name="Comma 12 2 7" xfId="1548"/>
    <cellStyle name="Comma 12 2 7 2" xfId="1549"/>
    <cellStyle name="Comma 12 2 8" xfId="3916"/>
    <cellStyle name="Comma 12 2 8 2" xfId="3917"/>
    <cellStyle name="Comma 12 2 8 2 2" xfId="5448"/>
    <cellStyle name="Comma 12 2 8 3" xfId="5449"/>
    <cellStyle name="Comma 12 2 9" xfId="5450"/>
    <cellStyle name="Comma 12 3" xfId="1342"/>
    <cellStyle name="Comma 12 4" xfId="1343"/>
    <cellStyle name="Comma 12 5" xfId="1344"/>
    <cellStyle name="Comma 12 5 2" xfId="1550"/>
    <cellStyle name="Comma 12 5 2 2" xfId="1551"/>
    <cellStyle name="Comma 12 5 2 3" xfId="1552"/>
    <cellStyle name="Comma 12 5 2 4" xfId="1553"/>
    <cellStyle name="Comma 12 5 2 5" xfId="3904"/>
    <cellStyle name="Comma 12 5 2 6" xfId="5427"/>
    <cellStyle name="Comma 12 5 3" xfId="3918"/>
    <cellStyle name="Comma 12 5 3 2" xfId="5451"/>
    <cellStyle name="Comma 12 5 4" xfId="5452"/>
    <cellStyle name="Comma 12 6" xfId="1345"/>
    <cellStyle name="Comma 12 6 2" xfId="1554"/>
    <cellStyle name="Comma 12 6 2 2" xfId="1555"/>
    <cellStyle name="Comma 12 6 3" xfId="1556"/>
    <cellStyle name="Comma 12 6 4" xfId="3919"/>
    <cellStyle name="Comma 12 6 4 2" xfId="5453"/>
    <cellStyle name="Comma 12 7" xfId="1557"/>
    <cellStyle name="Comma 12 7 2" xfId="1558"/>
    <cellStyle name="Comma 12 8" xfId="1559"/>
    <cellStyle name="Comma 13" xfId="1346"/>
    <cellStyle name="Comma 13 2" xfId="1347"/>
    <cellStyle name="Comma 13 3" xfId="1560"/>
    <cellStyle name="Comma 13 3 2" xfId="1561"/>
    <cellStyle name="Comma 13 3 2 2" xfId="1562"/>
    <cellStyle name="Comma 13 3 2 2 2" xfId="1563"/>
    <cellStyle name="Comma 13 3 2 2 3" xfId="3920"/>
    <cellStyle name="Comma 13 4" xfId="1564"/>
    <cellStyle name="Comma 13 4 2" xfId="1565"/>
    <cellStyle name="Comma 13 5" xfId="1566"/>
    <cellStyle name="Comma 13 6" xfId="1567"/>
    <cellStyle name="Comma 13 6 2" xfId="1568"/>
    <cellStyle name="Comma 13 7" xfId="3921"/>
    <cellStyle name="Comma 13 7 2" xfId="3922"/>
    <cellStyle name="Comma 13 7 2 2" xfId="5454"/>
    <cellStyle name="Comma 13 7 3" xfId="5455"/>
    <cellStyle name="Comma 13 8" xfId="5456"/>
    <cellStyle name="Comma 13 9" xfId="5457"/>
    <cellStyle name="Comma 14" xfId="1348"/>
    <cellStyle name="Comma 14 2" xfId="5458"/>
    <cellStyle name="Comma 15" xfId="1349"/>
    <cellStyle name="Comma 15 2" xfId="1350"/>
    <cellStyle name="Comma 15 3" xfId="1351"/>
    <cellStyle name="Comma 15 4" xfId="1569"/>
    <cellStyle name="Comma 15 4 2" xfId="1570"/>
    <cellStyle name="Comma 15 5" xfId="1571"/>
    <cellStyle name="Comma 16" xfId="1352"/>
    <cellStyle name="Comma 17" xfId="3897"/>
    <cellStyle name="Comma 17 2" xfId="4248"/>
    <cellStyle name="Comma 17 2 2" xfId="4450"/>
    <cellStyle name="Comma 17 2 2 2" xfId="5459"/>
    <cellStyle name="Comma 18" xfId="4245"/>
    <cellStyle name="Comma 18 2" xfId="5460"/>
    <cellStyle name="Comma 18 3" xfId="5728"/>
    <cellStyle name="Comma 19" xfId="5461"/>
    <cellStyle name="Comma 2" xfId="4"/>
    <cellStyle name="Comma 2 2" xfId="5"/>
    <cellStyle name="Comma 2 2 2" xfId="1353"/>
    <cellStyle name="Comma 2 2 2 2" xfId="1354"/>
    <cellStyle name="Comma 2 2 2 2 2" xfId="1355"/>
    <cellStyle name="Comma 2 2 2 2 3" xfId="1356"/>
    <cellStyle name="Comma 2 2 2 2 3 10" xfId="5462"/>
    <cellStyle name="Comma 2 2 2 2 3 2" xfId="1357"/>
    <cellStyle name="Comma 2 2 2 2 3 3" xfId="1572"/>
    <cellStyle name="Comma 2 2 2 2 3 3 2" xfId="1573"/>
    <cellStyle name="Comma 2 2 2 2 3 3 2 2" xfId="1574"/>
    <cellStyle name="Comma 2 2 2 2 3 3 2 3" xfId="1575"/>
    <cellStyle name="Comma 2 2 2 2 3 4" xfId="1576"/>
    <cellStyle name="Comma 2 2 2 2 3 4 2" xfId="1577"/>
    <cellStyle name="Comma 2 2 2 2 3 5" xfId="1578"/>
    <cellStyle name="Comma 2 2 2 2 3 6" xfId="1579"/>
    <cellStyle name="Comma 2 2 2 2 3 6 2" xfId="1580"/>
    <cellStyle name="Comma 2 2 2 2 3 6 2 2" xfId="1581"/>
    <cellStyle name="Comma 2 2 2 2 3 6 3" xfId="3923"/>
    <cellStyle name="Comma 2 2 2 2 3 6 3 2" xfId="5463"/>
    <cellStyle name="Comma 2 2 2 2 3 7" xfId="1582"/>
    <cellStyle name="Comma 2 2 2 2 3 7 2" xfId="1583"/>
    <cellStyle name="Comma 2 2 2 2 3 8" xfId="3924"/>
    <cellStyle name="Comma 2 2 2 2 3 8 2" xfId="3925"/>
    <cellStyle name="Comma 2 2 2 2 3 8 2 2" xfId="5464"/>
    <cellStyle name="Comma 2 2 2 2 3 8 3" xfId="5465"/>
    <cellStyle name="Comma 2 2 2 2 3 9" xfId="5466"/>
    <cellStyle name="Comma 2 2 2 2 4" xfId="1358"/>
    <cellStyle name="Comma 2 2 2 2 4 2" xfId="1584"/>
    <cellStyle name="Comma 2 2 2 2 4 2 2" xfId="1585"/>
    <cellStyle name="Comma 2 2 2 2 4 2 2 2" xfId="1586"/>
    <cellStyle name="Comma 2 2 2 2 4 2 2 2 2" xfId="1587"/>
    <cellStyle name="Comma 2 2 2 2 5" xfId="1359"/>
    <cellStyle name="Comma 2 2 2 2 5 2" xfId="1360"/>
    <cellStyle name="Comma 2 2 2 2 5 2 2" xfId="1588"/>
    <cellStyle name="Comma 2 2 2 2 5 2 3" xfId="1589"/>
    <cellStyle name="Comma 2 2 2 2 5 2 4" xfId="3926"/>
    <cellStyle name="Comma 2 2 2 2 5 2 4 2" xfId="5467"/>
    <cellStyle name="Comma 2 2 2 2 5 3" xfId="1361"/>
    <cellStyle name="Comma 2 2 2 2 5 4" xfId="1590"/>
    <cellStyle name="Comma 2 2 2 2 5 5" xfId="1591"/>
    <cellStyle name="Comma 2 2 2 3" xfId="1362"/>
    <cellStyle name="Comma 2 2 2 3 2" xfId="1363"/>
    <cellStyle name="Comma 2 2 2 3 2 2" xfId="1592"/>
    <cellStyle name="Comma 2 2 2 3 2 3" xfId="1593"/>
    <cellStyle name="Comma 2 2 2 3 3" xfId="1364"/>
    <cellStyle name="Comma 2 2 2 3 3 2" xfId="1594"/>
    <cellStyle name="Comma 2 2 2 3 3 3" xfId="1595"/>
    <cellStyle name="Comma 2 2 2 3 3 4" xfId="3927"/>
    <cellStyle name="Comma 2 2 2 3 3 4 2" xfId="5468"/>
    <cellStyle name="Comma 2 2 2 3 4" xfId="1596"/>
    <cellStyle name="Comma 2 2 2 3 5" xfId="1597"/>
    <cellStyle name="Comma 2 2 2 4" xfId="1365"/>
    <cellStyle name="Comma 2 2 2 4 2" xfId="5469"/>
    <cellStyle name="Comma 2 2 3" xfId="1366"/>
    <cellStyle name="Comma 2 2 3 2" xfId="1367"/>
    <cellStyle name="Comma 2 2 3 2 2" xfId="1368"/>
    <cellStyle name="Comma 2 2 3 2 2 2" xfId="1369"/>
    <cellStyle name="Comma 2 2 3 2 2 3" xfId="1370"/>
    <cellStyle name="Comma 2 2 3 2 2 3 2" xfId="1598"/>
    <cellStyle name="Comma 2 2 3 2 2 3 2 2" xfId="1599"/>
    <cellStyle name="Comma 2 2 3 2 2 3 3" xfId="3928"/>
    <cellStyle name="Comma 2 2 3 2 2 3 3 2" xfId="5470"/>
    <cellStyle name="Comma 2 2 3 2 2 4" xfId="1600"/>
    <cellStyle name="Comma 2 2 3 2 2 5" xfId="1601"/>
    <cellStyle name="Comma 2 2 3 2 2 6" xfId="1602"/>
    <cellStyle name="Comma 2 2 3 2 2 6 2" xfId="1603"/>
    <cellStyle name="Comma 2 2 3 2 2 7" xfId="3929"/>
    <cellStyle name="Comma 2 2 3 2 2 8" xfId="5471"/>
    <cellStyle name="Comma 20" xfId="5472"/>
    <cellStyle name="Comma 21" xfId="5473"/>
    <cellStyle name="Comma 22" xfId="5725"/>
    <cellStyle name="Comma 3" xfId="6"/>
    <cellStyle name="Comma 4" xfId="1332"/>
    <cellStyle name="Comma 4 2" xfId="1371"/>
    <cellStyle name="Comma 4 2 2" xfId="1372"/>
    <cellStyle name="Comma 4 2 2 2" xfId="1373"/>
    <cellStyle name="Comma 4 2 2 3" xfId="1374"/>
    <cellStyle name="Comma 4 2 2 4" xfId="1604"/>
    <cellStyle name="Comma 4 2 2 4 2" xfId="1605"/>
    <cellStyle name="Comma 4 2 2 4 2 2" xfId="1606"/>
    <cellStyle name="Comma 4 2 2 4 2 2 2" xfId="1607"/>
    <cellStyle name="Comma 4 2 2 4 2 2 3" xfId="1608"/>
    <cellStyle name="Comma 4 2 2 5" xfId="1609"/>
    <cellStyle name="Comma 4 3" xfId="1375"/>
    <cellStyle name="Comma 4 3 2" xfId="1376"/>
    <cellStyle name="Comma 4 4" xfId="1377"/>
    <cellStyle name="Comma 4 4 2" xfId="1378"/>
    <cellStyle name="Comma 4 4 3" xfId="1379"/>
    <cellStyle name="Comma 4 4 4" xfId="1610"/>
    <cellStyle name="Comma 4 4 4 2" xfId="1611"/>
    <cellStyle name="Comma 4 4 5" xfId="1612"/>
    <cellStyle name="Comma 4 5" xfId="1380"/>
    <cellStyle name="Comma 5" xfId="1381"/>
    <cellStyle name="Comma 6" xfId="1382"/>
    <cellStyle name="Comma 6 2" xfId="1383"/>
    <cellStyle name="Comma 6 2 2" xfId="1384"/>
    <cellStyle name="Comma 7" xfId="1385"/>
    <cellStyle name="Comma 7 2" xfId="1386"/>
    <cellStyle name="Comma 7 2 2" xfId="1387"/>
    <cellStyle name="Comma 7 2 3" xfId="1388"/>
    <cellStyle name="Comma 7 2 4" xfId="1613"/>
    <cellStyle name="Comma 7 2 4 2" xfId="1614"/>
    <cellStyle name="Comma 7 2 4 2 2" xfId="1615"/>
    <cellStyle name="Comma 7 2 4 2 2 2" xfId="1616"/>
    <cellStyle name="Comma 7 2 4 2 2 3" xfId="1617"/>
    <cellStyle name="Comma 7 2 5" xfId="1618"/>
    <cellStyle name="Comma 7 3" xfId="1619"/>
    <cellStyle name="Comma 7 3 2" xfId="1620"/>
    <cellStyle name="Comma 7 3 3" xfId="1621"/>
    <cellStyle name="Comma 8" xfId="1389"/>
    <cellStyle name="Comma 8 2" xfId="1390"/>
    <cellStyle name="Comma 8 3" xfId="1391"/>
    <cellStyle name="Comma 8 3 2" xfId="1622"/>
    <cellStyle name="Comma 8 3 3" xfId="1623"/>
    <cellStyle name="Comma 8 3 4" xfId="3930"/>
    <cellStyle name="Comma 8 3 4 2" xfId="5474"/>
    <cellStyle name="Comma 8 4" xfId="1392"/>
    <cellStyle name="Comma 8 5" xfId="1624"/>
    <cellStyle name="Comma 8 6" xfId="1625"/>
    <cellStyle name="Comma 9" xfId="1075"/>
    <cellStyle name="Comma 9 2" xfId="1393"/>
    <cellStyle name="Currency 2" xfId="7"/>
    <cellStyle name="Currency 3" xfId="1394"/>
    <cellStyle name="Currency 4" xfId="1395"/>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36" builtinId="9" hidden="1"/>
    <cellStyle name="Followed Hyperlink" xfId="638" builtinId="9" hidden="1"/>
    <cellStyle name="Followed Hyperlink" xfId="640" builtinId="9" hidden="1"/>
    <cellStyle name="Followed Hyperlink" xfId="642" builtinId="9" hidden="1"/>
    <cellStyle name="Followed Hyperlink" xfId="644" builtinId="9" hidden="1"/>
    <cellStyle name="Followed Hyperlink" xfId="646" builtinId="9" hidden="1"/>
    <cellStyle name="Followed Hyperlink" xfId="648" builtinId="9" hidden="1"/>
    <cellStyle name="Followed Hyperlink" xfId="650" builtinId="9" hidden="1"/>
    <cellStyle name="Followed Hyperlink" xfId="652" builtinId="9" hidden="1"/>
    <cellStyle name="Followed Hyperlink" xfId="654" builtinId="9" hidden="1"/>
    <cellStyle name="Followed Hyperlink" xfId="656" builtinId="9" hidden="1"/>
    <cellStyle name="Followed Hyperlink" xfId="658" builtinId="9" hidden="1"/>
    <cellStyle name="Followed Hyperlink" xfId="660" builtinId="9" hidden="1"/>
    <cellStyle name="Followed Hyperlink" xfId="662" builtinId="9" hidden="1"/>
    <cellStyle name="Followed Hyperlink" xfId="664" builtinId="9" hidden="1"/>
    <cellStyle name="Followed Hyperlink" xfId="666" builtinId="9" hidden="1"/>
    <cellStyle name="Followed Hyperlink" xfId="668" builtinId="9" hidden="1"/>
    <cellStyle name="Followed Hyperlink" xfId="670" builtinId="9" hidden="1"/>
    <cellStyle name="Followed Hyperlink" xfId="672" builtinId="9" hidden="1"/>
    <cellStyle name="Followed Hyperlink" xfId="674" builtinId="9" hidden="1"/>
    <cellStyle name="Followed Hyperlink" xfId="676" builtinId="9" hidden="1"/>
    <cellStyle name="Followed Hyperlink" xfId="678" builtinId="9" hidden="1"/>
    <cellStyle name="Followed Hyperlink" xfId="680" builtinId="9" hidden="1"/>
    <cellStyle name="Followed Hyperlink" xfId="682" builtinId="9" hidden="1"/>
    <cellStyle name="Followed Hyperlink" xfId="684" builtinId="9" hidden="1"/>
    <cellStyle name="Followed Hyperlink" xfId="686" builtinId="9" hidden="1"/>
    <cellStyle name="Followed Hyperlink" xfId="688" builtinId="9" hidden="1"/>
    <cellStyle name="Followed Hyperlink" xfId="690" builtinId="9" hidden="1"/>
    <cellStyle name="Followed Hyperlink" xfId="692" builtinId="9" hidden="1"/>
    <cellStyle name="Followed Hyperlink" xfId="694" builtinId="9" hidden="1"/>
    <cellStyle name="Followed Hyperlink" xfId="696" builtinId="9" hidden="1"/>
    <cellStyle name="Followed Hyperlink" xfId="698" builtinId="9" hidden="1"/>
    <cellStyle name="Followed Hyperlink" xfId="700" builtinId="9" hidden="1"/>
    <cellStyle name="Followed Hyperlink" xfId="702" builtinId="9" hidden="1"/>
    <cellStyle name="Followed Hyperlink" xfId="704" builtinId="9" hidden="1"/>
    <cellStyle name="Followed Hyperlink" xfId="706" builtinId="9" hidden="1"/>
    <cellStyle name="Followed Hyperlink" xfId="708" builtinId="9" hidden="1"/>
    <cellStyle name="Followed Hyperlink" xfId="710" builtinId="9" hidden="1"/>
    <cellStyle name="Followed Hyperlink" xfId="712" builtinId="9" hidden="1"/>
    <cellStyle name="Followed Hyperlink" xfId="714" builtinId="9" hidden="1"/>
    <cellStyle name="Followed Hyperlink" xfId="716" builtinId="9" hidden="1"/>
    <cellStyle name="Followed Hyperlink" xfId="718" builtinId="9" hidden="1"/>
    <cellStyle name="Followed Hyperlink" xfId="720" builtinId="9" hidden="1"/>
    <cellStyle name="Followed Hyperlink" xfId="722" builtinId="9" hidden="1"/>
    <cellStyle name="Followed Hyperlink" xfId="724" builtinId="9" hidden="1"/>
    <cellStyle name="Followed Hyperlink" xfId="726" builtinId="9" hidden="1"/>
    <cellStyle name="Followed Hyperlink" xfId="728" builtinId="9" hidden="1"/>
    <cellStyle name="Followed Hyperlink" xfId="730" builtinId="9" hidden="1"/>
    <cellStyle name="Followed Hyperlink" xfId="732" builtinId="9" hidden="1"/>
    <cellStyle name="Followed Hyperlink" xfId="734" builtinId="9" hidden="1"/>
    <cellStyle name="Followed Hyperlink" xfId="736" builtinId="9" hidden="1"/>
    <cellStyle name="Followed Hyperlink" xfId="738" builtinId="9" hidden="1"/>
    <cellStyle name="Followed Hyperlink" xfId="740" builtinId="9" hidden="1"/>
    <cellStyle name="Followed Hyperlink" xfId="742" builtinId="9" hidden="1"/>
    <cellStyle name="Followed Hyperlink" xfId="744" builtinId="9" hidden="1"/>
    <cellStyle name="Followed Hyperlink" xfId="746" builtinId="9" hidden="1"/>
    <cellStyle name="Followed Hyperlink" xfId="748" builtinId="9" hidden="1"/>
    <cellStyle name="Followed Hyperlink" xfId="750" builtinId="9" hidden="1"/>
    <cellStyle name="Followed Hyperlink" xfId="752" builtinId="9" hidden="1"/>
    <cellStyle name="Followed Hyperlink" xfId="754" builtinId="9" hidden="1"/>
    <cellStyle name="Followed Hyperlink" xfId="756" builtinId="9" hidden="1"/>
    <cellStyle name="Followed Hyperlink" xfId="758" builtinId="9" hidden="1"/>
    <cellStyle name="Followed Hyperlink" xfId="760" builtinId="9" hidden="1"/>
    <cellStyle name="Followed Hyperlink" xfId="762" builtinId="9" hidden="1"/>
    <cellStyle name="Followed Hyperlink" xfId="764" builtinId="9" hidden="1"/>
    <cellStyle name="Followed Hyperlink" xfId="766" builtinId="9" hidden="1"/>
    <cellStyle name="Followed Hyperlink" xfId="768" builtinId="9" hidden="1"/>
    <cellStyle name="Followed Hyperlink" xfId="770" builtinId="9" hidden="1"/>
    <cellStyle name="Followed Hyperlink" xfId="772" builtinId="9" hidden="1"/>
    <cellStyle name="Followed Hyperlink" xfId="774" builtinId="9" hidden="1"/>
    <cellStyle name="Followed Hyperlink" xfId="776" builtinId="9" hidden="1"/>
    <cellStyle name="Followed Hyperlink" xfId="778" builtinId="9" hidden="1"/>
    <cellStyle name="Followed Hyperlink" xfId="780" builtinId="9" hidden="1"/>
    <cellStyle name="Followed Hyperlink" xfId="782" builtinId="9" hidden="1"/>
    <cellStyle name="Followed Hyperlink" xfId="784" builtinId="9" hidden="1"/>
    <cellStyle name="Followed Hyperlink" xfId="786" builtinId="9" hidden="1"/>
    <cellStyle name="Followed Hyperlink" xfId="788" builtinId="9" hidden="1"/>
    <cellStyle name="Followed Hyperlink" xfId="790" builtinId="9" hidden="1"/>
    <cellStyle name="Followed Hyperlink" xfId="792" builtinId="9" hidden="1"/>
    <cellStyle name="Followed Hyperlink" xfId="794" builtinId="9" hidden="1"/>
    <cellStyle name="Followed Hyperlink" xfId="796" builtinId="9" hidden="1"/>
    <cellStyle name="Followed Hyperlink" xfId="798" builtinId="9" hidden="1"/>
    <cellStyle name="Followed Hyperlink" xfId="800" builtinId="9" hidden="1"/>
    <cellStyle name="Followed Hyperlink" xfId="802" builtinId="9" hidden="1"/>
    <cellStyle name="Followed Hyperlink" xfId="804" builtinId="9" hidden="1"/>
    <cellStyle name="Followed Hyperlink" xfId="806" builtinId="9" hidden="1"/>
    <cellStyle name="Followed Hyperlink" xfId="808" builtinId="9" hidden="1"/>
    <cellStyle name="Followed Hyperlink" xfId="810" builtinId="9" hidden="1"/>
    <cellStyle name="Followed Hyperlink" xfId="812" builtinId="9" hidden="1"/>
    <cellStyle name="Followed Hyperlink" xfId="814" builtinId="9" hidden="1"/>
    <cellStyle name="Followed Hyperlink" xfId="816" builtinId="9" hidden="1"/>
    <cellStyle name="Followed Hyperlink" xfId="818" builtinId="9" hidden="1"/>
    <cellStyle name="Followed Hyperlink" xfId="820" builtinId="9" hidden="1"/>
    <cellStyle name="Followed Hyperlink" xfId="822" builtinId="9" hidden="1"/>
    <cellStyle name="Followed Hyperlink" xfId="824" builtinId="9" hidden="1"/>
    <cellStyle name="Followed Hyperlink" xfId="826" builtinId="9" hidden="1"/>
    <cellStyle name="Followed Hyperlink" xfId="828" builtinId="9" hidden="1"/>
    <cellStyle name="Followed Hyperlink" xfId="830" builtinId="9" hidden="1"/>
    <cellStyle name="Followed Hyperlink" xfId="832" builtinId="9" hidden="1"/>
    <cellStyle name="Followed Hyperlink" xfId="834" builtinId="9" hidden="1"/>
    <cellStyle name="Followed Hyperlink" xfId="836" builtinId="9" hidden="1"/>
    <cellStyle name="Followed Hyperlink" xfId="838" builtinId="9" hidden="1"/>
    <cellStyle name="Followed Hyperlink" xfId="840" builtinId="9" hidden="1"/>
    <cellStyle name="Followed Hyperlink" xfId="842" builtinId="9" hidden="1"/>
    <cellStyle name="Followed Hyperlink" xfId="844" builtinId="9" hidden="1"/>
    <cellStyle name="Followed Hyperlink" xfId="846" builtinId="9" hidden="1"/>
    <cellStyle name="Followed Hyperlink" xfId="848" builtinId="9" hidden="1"/>
    <cellStyle name="Followed Hyperlink" xfId="850" builtinId="9" hidden="1"/>
    <cellStyle name="Followed Hyperlink" xfId="852" builtinId="9" hidden="1"/>
    <cellStyle name="Followed Hyperlink" xfId="854" builtinId="9" hidden="1"/>
    <cellStyle name="Followed Hyperlink" xfId="856" builtinId="9" hidden="1"/>
    <cellStyle name="Followed Hyperlink" xfId="858" builtinId="9" hidden="1"/>
    <cellStyle name="Followed Hyperlink" xfId="860" builtinId="9" hidden="1"/>
    <cellStyle name="Followed Hyperlink" xfId="862" builtinId="9" hidden="1"/>
    <cellStyle name="Followed Hyperlink" xfId="864" builtinId="9" hidden="1"/>
    <cellStyle name="Followed Hyperlink" xfId="866" builtinId="9" hidden="1"/>
    <cellStyle name="Followed Hyperlink" xfId="868" builtinId="9" hidden="1"/>
    <cellStyle name="Followed Hyperlink" xfId="870" builtinId="9" hidden="1"/>
    <cellStyle name="Followed Hyperlink" xfId="872" builtinId="9" hidden="1"/>
    <cellStyle name="Followed Hyperlink" xfId="874" builtinId="9" hidden="1"/>
    <cellStyle name="Followed Hyperlink" xfId="876" builtinId="9" hidden="1"/>
    <cellStyle name="Followed Hyperlink" xfId="878" builtinId="9" hidden="1"/>
    <cellStyle name="Followed Hyperlink" xfId="880" builtinId="9" hidden="1"/>
    <cellStyle name="Followed Hyperlink" xfId="882" builtinId="9" hidden="1"/>
    <cellStyle name="Followed Hyperlink" xfId="884" builtinId="9" hidden="1"/>
    <cellStyle name="Followed Hyperlink" xfId="886" builtinId="9" hidden="1"/>
    <cellStyle name="Followed Hyperlink" xfId="888" builtinId="9" hidden="1"/>
    <cellStyle name="Followed Hyperlink" xfId="890" builtinId="9" hidden="1"/>
    <cellStyle name="Followed Hyperlink" xfId="892" builtinId="9" hidden="1"/>
    <cellStyle name="Followed Hyperlink" xfId="894" builtinId="9" hidden="1"/>
    <cellStyle name="Followed Hyperlink" xfId="896" builtinId="9" hidden="1"/>
    <cellStyle name="Followed Hyperlink" xfId="898" builtinId="9" hidden="1"/>
    <cellStyle name="Followed Hyperlink" xfId="900" builtinId="9" hidden="1"/>
    <cellStyle name="Followed Hyperlink" xfId="902" builtinId="9" hidden="1"/>
    <cellStyle name="Followed Hyperlink" xfId="904" builtinId="9" hidden="1"/>
    <cellStyle name="Followed Hyperlink" xfId="906" builtinId="9" hidden="1"/>
    <cellStyle name="Followed Hyperlink" xfId="908" builtinId="9" hidden="1"/>
    <cellStyle name="Followed Hyperlink" xfId="910" builtinId="9" hidden="1"/>
    <cellStyle name="Followed Hyperlink" xfId="912" builtinId="9" hidden="1"/>
    <cellStyle name="Followed Hyperlink" xfId="914" builtinId="9" hidden="1"/>
    <cellStyle name="Followed Hyperlink" xfId="916" builtinId="9" hidden="1"/>
    <cellStyle name="Followed Hyperlink" xfId="918" builtinId="9" hidden="1"/>
    <cellStyle name="Followed Hyperlink" xfId="920" builtinId="9" hidden="1"/>
    <cellStyle name="Followed Hyperlink" xfId="922" builtinId="9" hidden="1"/>
    <cellStyle name="Followed Hyperlink" xfId="924" builtinId="9" hidden="1"/>
    <cellStyle name="Followed Hyperlink" xfId="926" builtinId="9" hidden="1"/>
    <cellStyle name="Followed Hyperlink" xfId="928" builtinId="9" hidden="1"/>
    <cellStyle name="Followed Hyperlink" xfId="930" builtinId="9" hidden="1"/>
    <cellStyle name="Followed Hyperlink" xfId="932" builtinId="9" hidden="1"/>
    <cellStyle name="Followed Hyperlink" xfId="934" builtinId="9" hidden="1"/>
    <cellStyle name="Followed Hyperlink" xfId="936" builtinId="9" hidden="1"/>
    <cellStyle name="Followed Hyperlink" xfId="938" builtinId="9" hidden="1"/>
    <cellStyle name="Followed Hyperlink" xfId="940" builtinId="9" hidden="1"/>
    <cellStyle name="Followed Hyperlink" xfId="942" builtinId="9" hidden="1"/>
    <cellStyle name="Followed Hyperlink" xfId="944" builtinId="9" hidden="1"/>
    <cellStyle name="Followed Hyperlink" xfId="946" builtinId="9" hidden="1"/>
    <cellStyle name="Followed Hyperlink" xfId="948" builtinId="9" hidden="1"/>
    <cellStyle name="Followed Hyperlink" xfId="950" builtinId="9" hidden="1"/>
    <cellStyle name="Followed Hyperlink" xfId="952" builtinId="9" hidden="1"/>
    <cellStyle name="Followed Hyperlink" xfId="954" builtinId="9" hidden="1"/>
    <cellStyle name="Followed Hyperlink" xfId="956" builtinId="9" hidden="1"/>
    <cellStyle name="Followed Hyperlink" xfId="958" builtinId="9" hidden="1"/>
    <cellStyle name="Followed Hyperlink" xfId="960" builtinId="9" hidden="1"/>
    <cellStyle name="Followed Hyperlink" xfId="962" builtinId="9" hidden="1"/>
    <cellStyle name="Followed Hyperlink" xfId="964" builtinId="9" hidden="1"/>
    <cellStyle name="Followed Hyperlink" xfId="966" builtinId="9" hidden="1"/>
    <cellStyle name="Followed Hyperlink" xfId="968" builtinId="9" hidden="1"/>
    <cellStyle name="Followed Hyperlink" xfId="970" builtinId="9" hidden="1"/>
    <cellStyle name="Followed Hyperlink" xfId="972" builtinId="9" hidden="1"/>
    <cellStyle name="Followed Hyperlink" xfId="974" builtinId="9" hidden="1"/>
    <cellStyle name="Followed Hyperlink" xfId="976" builtinId="9" hidden="1"/>
    <cellStyle name="Followed Hyperlink" xfId="978" builtinId="9" hidden="1"/>
    <cellStyle name="Followed Hyperlink" xfId="980" builtinId="9" hidden="1"/>
    <cellStyle name="Followed Hyperlink" xfId="982" builtinId="9" hidden="1"/>
    <cellStyle name="Followed Hyperlink" xfId="984" builtinId="9" hidden="1"/>
    <cellStyle name="Followed Hyperlink" xfId="986" builtinId="9" hidden="1"/>
    <cellStyle name="Followed Hyperlink" xfId="988" builtinId="9" hidden="1"/>
    <cellStyle name="Followed Hyperlink" xfId="990" builtinId="9" hidden="1"/>
    <cellStyle name="Followed Hyperlink" xfId="992" builtinId="9" hidden="1"/>
    <cellStyle name="Followed Hyperlink" xfId="994" builtinId="9" hidden="1"/>
    <cellStyle name="Followed Hyperlink" xfId="996" builtinId="9" hidden="1"/>
    <cellStyle name="Followed Hyperlink" xfId="998" builtinId="9" hidden="1"/>
    <cellStyle name="Followed Hyperlink" xfId="1000" builtinId="9" hidden="1"/>
    <cellStyle name="Followed Hyperlink" xfId="1002" builtinId="9" hidden="1"/>
    <cellStyle name="Followed Hyperlink" xfId="1004" builtinId="9" hidden="1"/>
    <cellStyle name="Followed Hyperlink" xfId="1006" builtinId="9" hidden="1"/>
    <cellStyle name="Followed Hyperlink" xfId="1008" builtinId="9" hidden="1"/>
    <cellStyle name="Followed Hyperlink" xfId="1010" builtinId="9" hidden="1"/>
    <cellStyle name="Followed Hyperlink" xfId="1012" builtinId="9" hidden="1"/>
    <cellStyle name="Followed Hyperlink" xfId="1014" builtinId="9" hidden="1"/>
    <cellStyle name="Followed Hyperlink" xfId="1016" builtinId="9" hidden="1"/>
    <cellStyle name="Followed Hyperlink" xfId="1018" builtinId="9" hidden="1"/>
    <cellStyle name="Followed Hyperlink" xfId="1020" builtinId="9" hidden="1"/>
    <cellStyle name="Followed Hyperlink" xfId="1022" builtinId="9" hidden="1"/>
    <cellStyle name="Followed Hyperlink" xfId="1024" builtinId="9" hidden="1"/>
    <cellStyle name="Followed Hyperlink" xfId="1026" builtinId="9" hidden="1"/>
    <cellStyle name="Followed Hyperlink" xfId="1028" builtinId="9" hidden="1"/>
    <cellStyle name="Followed Hyperlink" xfId="1030" builtinId="9" hidden="1"/>
    <cellStyle name="Followed Hyperlink" xfId="1032" builtinId="9" hidden="1"/>
    <cellStyle name="Followed Hyperlink" xfId="1034" builtinId="9" hidden="1"/>
    <cellStyle name="Followed Hyperlink" xfId="1036" builtinId="9" hidden="1"/>
    <cellStyle name="Followed Hyperlink" xfId="1038" builtinId="9" hidden="1"/>
    <cellStyle name="Followed Hyperlink" xfId="1040" builtinId="9" hidden="1"/>
    <cellStyle name="Followed Hyperlink" xfId="1042" builtinId="9" hidden="1"/>
    <cellStyle name="Followed Hyperlink" xfId="1044" builtinId="9" hidden="1"/>
    <cellStyle name="Followed Hyperlink" xfId="1046" builtinId="9" hidden="1"/>
    <cellStyle name="Followed Hyperlink" xfId="1048" builtinId="9" hidden="1"/>
    <cellStyle name="Followed Hyperlink" xfId="1050" builtinId="9" hidden="1"/>
    <cellStyle name="Followed Hyperlink" xfId="1052" builtinId="9" hidden="1"/>
    <cellStyle name="Followed Hyperlink" xfId="1054" builtinId="9" hidden="1"/>
    <cellStyle name="Followed Hyperlink" xfId="1056" builtinId="9" hidden="1"/>
    <cellStyle name="Followed Hyperlink" xfId="1058" builtinId="9" hidden="1"/>
    <cellStyle name="Followed Hyperlink" xfId="1060" builtinId="9" hidden="1"/>
    <cellStyle name="Followed Hyperlink" xfId="1062" builtinId="9" hidden="1"/>
    <cellStyle name="Followed Hyperlink" xfId="1064" builtinId="9" hidden="1"/>
    <cellStyle name="Followed Hyperlink" xfId="1066" builtinId="9" hidden="1"/>
    <cellStyle name="Followed Hyperlink" xfId="1068" builtinId="9" hidden="1"/>
    <cellStyle name="Followed Hyperlink" xfId="1070" builtinId="9" hidden="1"/>
    <cellStyle name="Followed Hyperlink" xfId="1072" builtinId="9" hidden="1"/>
    <cellStyle name="Followed Hyperlink" xfId="1074" builtinId="9" hidden="1"/>
    <cellStyle name="Followed Hyperlink" xfId="1078" builtinId="9" hidden="1"/>
    <cellStyle name="Followed Hyperlink" xfId="1080" builtinId="9" hidden="1"/>
    <cellStyle name="Followed Hyperlink" xfId="1082" builtinId="9" hidden="1"/>
    <cellStyle name="Followed Hyperlink" xfId="1084" builtinId="9" hidden="1"/>
    <cellStyle name="Followed Hyperlink" xfId="1086" builtinId="9" hidden="1"/>
    <cellStyle name="Followed Hyperlink" xfId="1088" builtinId="9" hidden="1"/>
    <cellStyle name="Followed Hyperlink" xfId="1090" builtinId="9" hidden="1"/>
    <cellStyle name="Followed Hyperlink" xfId="1092" builtinId="9" hidden="1"/>
    <cellStyle name="Followed Hyperlink" xfId="1094" builtinId="9" hidden="1"/>
    <cellStyle name="Followed Hyperlink" xfId="1096" builtinId="9" hidden="1"/>
    <cellStyle name="Followed Hyperlink" xfId="1098" builtinId="9" hidden="1"/>
    <cellStyle name="Followed Hyperlink" xfId="1100" builtinId="9" hidden="1"/>
    <cellStyle name="Followed Hyperlink" xfId="1102" builtinId="9" hidden="1"/>
    <cellStyle name="Followed Hyperlink" xfId="1104" builtinId="9" hidden="1"/>
    <cellStyle name="Followed Hyperlink" xfId="1106" builtinId="9" hidden="1"/>
    <cellStyle name="Followed Hyperlink" xfId="1108" builtinId="9" hidden="1"/>
    <cellStyle name="Followed Hyperlink" xfId="1110" builtinId="9" hidden="1"/>
    <cellStyle name="Followed Hyperlink" xfId="1112" builtinId="9" hidden="1"/>
    <cellStyle name="Followed Hyperlink" xfId="1114" builtinId="9" hidden="1"/>
    <cellStyle name="Followed Hyperlink" xfId="1116" builtinId="9" hidden="1"/>
    <cellStyle name="Followed Hyperlink" xfId="1118" builtinId="9" hidden="1"/>
    <cellStyle name="Followed Hyperlink" xfId="1120" builtinId="9" hidden="1"/>
    <cellStyle name="Followed Hyperlink" xfId="1122" builtinId="9" hidden="1"/>
    <cellStyle name="Followed Hyperlink" xfId="1124" builtinId="9" hidden="1"/>
    <cellStyle name="Followed Hyperlink" xfId="1126" builtinId="9" hidden="1"/>
    <cellStyle name="Followed Hyperlink" xfId="1128" builtinId="9" hidden="1"/>
    <cellStyle name="Followed Hyperlink" xfId="1130" builtinId="9" hidden="1"/>
    <cellStyle name="Followed Hyperlink" xfId="1132" builtinId="9" hidden="1"/>
    <cellStyle name="Followed Hyperlink" xfId="1134" builtinId="9" hidden="1"/>
    <cellStyle name="Followed Hyperlink" xfId="1136" builtinId="9" hidden="1"/>
    <cellStyle name="Followed Hyperlink" xfId="1138" builtinId="9" hidden="1"/>
    <cellStyle name="Followed Hyperlink" xfId="1140" builtinId="9" hidden="1"/>
    <cellStyle name="Followed Hyperlink" xfId="1142" builtinId="9" hidden="1"/>
    <cellStyle name="Followed Hyperlink" xfId="1144" builtinId="9" hidden="1"/>
    <cellStyle name="Followed Hyperlink" xfId="1146" builtinId="9" hidden="1"/>
    <cellStyle name="Followed Hyperlink" xfId="1148" builtinId="9" hidden="1"/>
    <cellStyle name="Followed Hyperlink" xfId="1150" builtinId="9" hidden="1"/>
    <cellStyle name="Followed Hyperlink" xfId="1152" builtinId="9" hidden="1"/>
    <cellStyle name="Followed Hyperlink" xfId="1154" builtinId="9" hidden="1"/>
    <cellStyle name="Followed Hyperlink" xfId="1156" builtinId="9" hidden="1"/>
    <cellStyle name="Followed Hyperlink" xfId="1158" builtinId="9" hidden="1"/>
    <cellStyle name="Followed Hyperlink" xfId="1160" builtinId="9" hidden="1"/>
    <cellStyle name="Followed Hyperlink" xfId="1162" builtinId="9" hidden="1"/>
    <cellStyle name="Followed Hyperlink" xfId="1164" builtinId="9" hidden="1"/>
    <cellStyle name="Followed Hyperlink" xfId="1166" builtinId="9" hidden="1"/>
    <cellStyle name="Followed Hyperlink" xfId="1168" builtinId="9" hidden="1"/>
    <cellStyle name="Followed Hyperlink" xfId="1170" builtinId="9" hidden="1"/>
    <cellStyle name="Followed Hyperlink" xfId="1172" builtinId="9" hidden="1"/>
    <cellStyle name="Followed Hyperlink" xfId="1174" builtinId="9" hidden="1"/>
    <cellStyle name="Followed Hyperlink" xfId="1176" builtinId="9" hidden="1"/>
    <cellStyle name="Followed Hyperlink" xfId="1178" builtinId="9" hidden="1"/>
    <cellStyle name="Followed Hyperlink" xfId="1180" builtinId="9" hidden="1"/>
    <cellStyle name="Followed Hyperlink" xfId="1182" builtinId="9" hidden="1"/>
    <cellStyle name="Followed Hyperlink" xfId="1184" builtinId="9" hidden="1"/>
    <cellStyle name="Followed Hyperlink" xfId="1186" builtinId="9" hidden="1"/>
    <cellStyle name="Followed Hyperlink" xfId="1188" builtinId="9" hidden="1"/>
    <cellStyle name="Followed Hyperlink" xfId="1190" builtinId="9" hidden="1"/>
    <cellStyle name="Followed Hyperlink" xfId="1192" builtinId="9" hidden="1"/>
    <cellStyle name="Followed Hyperlink" xfId="1194" builtinId="9" hidden="1"/>
    <cellStyle name="Followed Hyperlink" xfId="1196" builtinId="9" hidden="1"/>
    <cellStyle name="Followed Hyperlink" xfId="1198" builtinId="9" hidden="1"/>
    <cellStyle name="Followed Hyperlink" xfId="1200" builtinId="9" hidden="1"/>
    <cellStyle name="Followed Hyperlink" xfId="1202" builtinId="9" hidden="1"/>
    <cellStyle name="Followed Hyperlink" xfId="1204" builtinId="9" hidden="1"/>
    <cellStyle name="Followed Hyperlink" xfId="1206" builtinId="9" hidden="1"/>
    <cellStyle name="Followed Hyperlink" xfId="1208" builtinId="9" hidden="1"/>
    <cellStyle name="Followed Hyperlink" xfId="1210" builtinId="9" hidden="1"/>
    <cellStyle name="Followed Hyperlink" xfId="1212" builtinId="9" hidden="1"/>
    <cellStyle name="Followed Hyperlink" xfId="1214" builtinId="9" hidden="1"/>
    <cellStyle name="Followed Hyperlink" xfId="1216" builtinId="9" hidden="1"/>
    <cellStyle name="Followed Hyperlink" xfId="1218" builtinId="9" hidden="1"/>
    <cellStyle name="Followed Hyperlink" xfId="1220" builtinId="9" hidden="1"/>
    <cellStyle name="Followed Hyperlink" xfId="1222" builtinId="9" hidden="1"/>
    <cellStyle name="Followed Hyperlink" xfId="1224" builtinId="9" hidden="1"/>
    <cellStyle name="Followed Hyperlink" xfId="1226" builtinId="9" hidden="1"/>
    <cellStyle name="Followed Hyperlink" xfId="1228" builtinId="9" hidden="1"/>
    <cellStyle name="Followed Hyperlink" xfId="1230" builtinId="9" hidden="1"/>
    <cellStyle name="Followed Hyperlink" xfId="1232" builtinId="9" hidden="1"/>
    <cellStyle name="Followed Hyperlink" xfId="1234" builtinId="9" hidden="1"/>
    <cellStyle name="Followed Hyperlink" xfId="1236" builtinId="9" hidden="1"/>
    <cellStyle name="Followed Hyperlink" xfId="1238" builtinId="9" hidden="1"/>
    <cellStyle name="Followed Hyperlink" xfId="1240" builtinId="9" hidden="1"/>
    <cellStyle name="Followed Hyperlink" xfId="1242" builtinId="9" hidden="1"/>
    <cellStyle name="Followed Hyperlink" xfId="1244" builtinId="9" hidden="1"/>
    <cellStyle name="Followed Hyperlink" xfId="1246" builtinId="9" hidden="1"/>
    <cellStyle name="Followed Hyperlink" xfId="1248" builtinId="9" hidden="1"/>
    <cellStyle name="Followed Hyperlink" xfId="1250" builtinId="9" hidden="1"/>
    <cellStyle name="Followed Hyperlink" xfId="1252" builtinId="9" hidden="1"/>
    <cellStyle name="Followed Hyperlink" xfId="1254" builtinId="9" hidden="1"/>
    <cellStyle name="Followed Hyperlink" xfId="1256" builtinId="9" hidden="1"/>
    <cellStyle name="Followed Hyperlink" xfId="1258" builtinId="9" hidden="1"/>
    <cellStyle name="Followed Hyperlink" xfId="1260" builtinId="9" hidden="1"/>
    <cellStyle name="Followed Hyperlink" xfId="1262" builtinId="9" hidden="1"/>
    <cellStyle name="Followed Hyperlink" xfId="1264" builtinId="9" hidden="1"/>
    <cellStyle name="Followed Hyperlink" xfId="1266" builtinId="9" hidden="1"/>
    <cellStyle name="Followed Hyperlink" xfId="1268" builtinId="9" hidden="1"/>
    <cellStyle name="Followed Hyperlink" xfId="1270" builtinId="9" hidden="1"/>
    <cellStyle name="Followed Hyperlink" xfId="1272" builtinId="9" hidden="1"/>
    <cellStyle name="Followed Hyperlink" xfId="1274" builtinId="9" hidden="1"/>
    <cellStyle name="Followed Hyperlink" xfId="1276" builtinId="9" hidden="1"/>
    <cellStyle name="Followed Hyperlink" xfId="1278" builtinId="9" hidden="1"/>
    <cellStyle name="Followed Hyperlink" xfId="1280" builtinId="9" hidden="1"/>
    <cellStyle name="Followed Hyperlink" xfId="1282" builtinId="9" hidden="1"/>
    <cellStyle name="Followed Hyperlink" xfId="1284" builtinId="9" hidden="1"/>
    <cellStyle name="Followed Hyperlink" xfId="1286" builtinId="9" hidden="1"/>
    <cellStyle name="Followed Hyperlink" xfId="1288" builtinId="9" hidden="1"/>
    <cellStyle name="Followed Hyperlink" xfId="1290" builtinId="9" hidden="1"/>
    <cellStyle name="Followed Hyperlink" xfId="1292" builtinId="9" hidden="1"/>
    <cellStyle name="Followed Hyperlink" xfId="1294" builtinId="9" hidden="1"/>
    <cellStyle name="Followed Hyperlink" xfId="1296" builtinId="9" hidden="1"/>
    <cellStyle name="Followed Hyperlink" xfId="1298" builtinId="9" hidden="1"/>
    <cellStyle name="Followed Hyperlink" xfId="1300" builtinId="9" hidden="1"/>
    <cellStyle name="Followed Hyperlink" xfId="1302" builtinId="9" hidden="1"/>
    <cellStyle name="Followed Hyperlink" xfId="1304" builtinId="9" hidden="1"/>
    <cellStyle name="Followed Hyperlink" xfId="1306" builtinId="9" hidden="1"/>
    <cellStyle name="Followed Hyperlink" xfId="1308" builtinId="9" hidden="1"/>
    <cellStyle name="Followed Hyperlink" xfId="1310" builtinId="9" hidden="1"/>
    <cellStyle name="Followed Hyperlink" xfId="1312" builtinId="9" hidden="1"/>
    <cellStyle name="Followed Hyperlink" xfId="1314" builtinId="9" hidden="1"/>
    <cellStyle name="Followed Hyperlink" xfId="1316" builtinId="9" hidden="1"/>
    <cellStyle name="Followed Hyperlink" xfId="1318" builtinId="9" hidden="1"/>
    <cellStyle name="Followed Hyperlink" xfId="1320" builtinId="9" hidden="1"/>
    <cellStyle name="Followed Hyperlink" xfId="1322" builtinId="9" hidden="1"/>
    <cellStyle name="Followed Hyperlink" xfId="1324" builtinId="9" hidden="1"/>
    <cellStyle name="Followed Hyperlink" xfId="1326" builtinId="9" hidden="1"/>
    <cellStyle name="Followed Hyperlink" xfId="1328" builtinId="9" hidden="1"/>
    <cellStyle name="Followed Hyperlink" xfId="1330" builtinId="9" hidden="1"/>
    <cellStyle name="Followed Hyperlink" xfId="1331" builtinId="9" hidden="1"/>
    <cellStyle name="Followed Hyperlink" xfId="1441" builtinId="9" hidden="1"/>
    <cellStyle name="Followed Hyperlink" xfId="1443" builtinId="9" hidden="1"/>
    <cellStyle name="Followed Hyperlink" xfId="1445" builtinId="9" hidden="1"/>
    <cellStyle name="Followed Hyperlink" xfId="1447" builtinId="9" hidden="1"/>
    <cellStyle name="Followed Hyperlink" xfId="1449" builtinId="9" hidden="1"/>
    <cellStyle name="Followed Hyperlink" xfId="1451" builtinId="9" hidden="1"/>
    <cellStyle name="Followed Hyperlink" xfId="1453" builtinId="9" hidden="1"/>
    <cellStyle name="Followed Hyperlink" xfId="1455" builtinId="9" hidden="1"/>
    <cellStyle name="Followed Hyperlink" xfId="1457" builtinId="9" hidden="1"/>
    <cellStyle name="Followed Hyperlink" xfId="1459" builtinId="9" hidden="1"/>
    <cellStyle name="Followed Hyperlink" xfId="1461" builtinId="9" hidden="1"/>
    <cellStyle name="Followed Hyperlink" xfId="1463" builtinId="9" hidden="1"/>
    <cellStyle name="Followed Hyperlink" xfId="1465" builtinId="9" hidden="1"/>
    <cellStyle name="Followed Hyperlink" xfId="1467" builtinId="9" hidden="1"/>
    <cellStyle name="Followed Hyperlink" xfId="1469" builtinId="9" hidden="1"/>
    <cellStyle name="Followed Hyperlink" xfId="1471" builtinId="9" hidden="1"/>
    <cellStyle name="Followed Hyperlink" xfId="1473" builtinId="9" hidden="1"/>
    <cellStyle name="Followed Hyperlink" xfId="1475" builtinId="9" hidden="1"/>
    <cellStyle name="Followed Hyperlink" xfId="1477" builtinId="9" hidden="1"/>
    <cellStyle name="Followed Hyperlink" xfId="1479" builtinId="9" hidden="1"/>
    <cellStyle name="Followed Hyperlink" xfId="1481" builtinId="9" hidden="1"/>
    <cellStyle name="Followed Hyperlink" xfId="1483" builtinId="9" hidden="1"/>
    <cellStyle name="Followed Hyperlink" xfId="1485" builtinId="9" hidden="1"/>
    <cellStyle name="Followed Hyperlink" xfId="1487" builtinId="9" hidden="1"/>
    <cellStyle name="Followed Hyperlink" xfId="1489" builtinId="9" hidden="1"/>
    <cellStyle name="Followed Hyperlink" xfId="1491" builtinId="9" hidden="1"/>
    <cellStyle name="Followed Hyperlink" xfId="1493" builtinId="9" hidden="1"/>
    <cellStyle name="Followed Hyperlink" xfId="1495" builtinId="9" hidden="1"/>
    <cellStyle name="Followed Hyperlink" xfId="1497" builtinId="9" hidden="1"/>
    <cellStyle name="Followed Hyperlink" xfId="1499" builtinId="9" hidden="1"/>
    <cellStyle name="Followed Hyperlink" xfId="1501" builtinId="9" hidden="1"/>
    <cellStyle name="Followed Hyperlink" xfId="1503" builtinId="9" hidden="1"/>
    <cellStyle name="Followed Hyperlink" xfId="1505" builtinId="9" hidden="1"/>
    <cellStyle name="Followed Hyperlink" xfId="1507" builtinId="9" hidden="1"/>
    <cellStyle name="Followed Hyperlink" xfId="1509" builtinId="9" hidden="1"/>
    <cellStyle name="Followed Hyperlink" xfId="1511" builtinId="9" hidden="1"/>
    <cellStyle name="Followed Hyperlink" xfId="1513" builtinId="9" hidden="1"/>
    <cellStyle name="Followed Hyperlink" xfId="1515" builtinId="9" hidden="1"/>
    <cellStyle name="Followed Hyperlink" xfId="1517" builtinId="9" hidden="1"/>
    <cellStyle name="Followed Hyperlink" xfId="1519" builtinId="9" hidden="1"/>
    <cellStyle name="Followed Hyperlink" xfId="1521" builtinId="9" hidden="1"/>
    <cellStyle name="Followed Hyperlink" xfId="1523" builtinId="9" hidden="1"/>
    <cellStyle name="Followed Hyperlink" xfId="1694" builtinId="9" hidden="1"/>
    <cellStyle name="Followed Hyperlink" xfId="1696" builtinId="9" hidden="1"/>
    <cellStyle name="Followed Hyperlink" xfId="1698" builtinId="9" hidden="1"/>
    <cellStyle name="Followed Hyperlink" xfId="1700" builtinId="9" hidden="1"/>
    <cellStyle name="Followed Hyperlink" xfId="1702" builtinId="9" hidden="1"/>
    <cellStyle name="Followed Hyperlink" xfId="1704" builtinId="9" hidden="1"/>
    <cellStyle name="Followed Hyperlink" xfId="1706" builtinId="9" hidden="1"/>
    <cellStyle name="Followed Hyperlink" xfId="1708" builtinId="9" hidden="1"/>
    <cellStyle name="Followed Hyperlink" xfId="1710" builtinId="9" hidden="1"/>
    <cellStyle name="Followed Hyperlink" xfId="1712" builtinId="9" hidden="1"/>
    <cellStyle name="Followed Hyperlink" xfId="1714" builtinId="9" hidden="1"/>
    <cellStyle name="Followed Hyperlink" xfId="1716" builtinId="9" hidden="1"/>
    <cellStyle name="Followed Hyperlink" xfId="1718" builtinId="9" hidden="1"/>
    <cellStyle name="Followed Hyperlink" xfId="1720" builtinId="9" hidden="1"/>
    <cellStyle name="Followed Hyperlink" xfId="1722" builtinId="9" hidden="1"/>
    <cellStyle name="Followed Hyperlink" xfId="1724" builtinId="9" hidden="1"/>
    <cellStyle name="Followed Hyperlink" xfId="1726" builtinId="9" hidden="1"/>
    <cellStyle name="Followed Hyperlink" xfId="1728" builtinId="9" hidden="1"/>
    <cellStyle name="Followed Hyperlink" xfId="1730" builtinId="9" hidden="1"/>
    <cellStyle name="Followed Hyperlink" xfId="1732" builtinId="9" hidden="1"/>
    <cellStyle name="Followed Hyperlink" xfId="1734" builtinId="9" hidden="1"/>
    <cellStyle name="Followed Hyperlink" xfId="1736" builtinId="9" hidden="1"/>
    <cellStyle name="Followed Hyperlink" xfId="1738" builtinId="9" hidden="1"/>
    <cellStyle name="Followed Hyperlink" xfId="1740" builtinId="9" hidden="1"/>
    <cellStyle name="Followed Hyperlink" xfId="1742" builtinId="9" hidden="1"/>
    <cellStyle name="Followed Hyperlink" xfId="1744" builtinId="9" hidden="1"/>
    <cellStyle name="Followed Hyperlink" xfId="1746" builtinId="9" hidden="1"/>
    <cellStyle name="Followed Hyperlink" xfId="1748" builtinId="9" hidden="1"/>
    <cellStyle name="Followed Hyperlink" xfId="1750" builtinId="9" hidden="1"/>
    <cellStyle name="Followed Hyperlink" xfId="1752" builtinId="9" hidden="1"/>
    <cellStyle name="Followed Hyperlink" xfId="1754" builtinId="9" hidden="1"/>
    <cellStyle name="Followed Hyperlink" xfId="1756" builtinId="9" hidden="1"/>
    <cellStyle name="Followed Hyperlink" xfId="1758" builtinId="9" hidden="1"/>
    <cellStyle name="Followed Hyperlink" xfId="1760" builtinId="9" hidden="1"/>
    <cellStyle name="Followed Hyperlink" xfId="1762" builtinId="9" hidden="1"/>
    <cellStyle name="Followed Hyperlink" xfId="1764" builtinId="9" hidden="1"/>
    <cellStyle name="Followed Hyperlink" xfId="1766" builtinId="9" hidden="1"/>
    <cellStyle name="Followed Hyperlink" xfId="1768" builtinId="9" hidden="1"/>
    <cellStyle name="Followed Hyperlink" xfId="1770" builtinId="9" hidden="1"/>
    <cellStyle name="Followed Hyperlink" xfId="1772" builtinId="9" hidden="1"/>
    <cellStyle name="Followed Hyperlink" xfId="1774" builtinId="9" hidden="1"/>
    <cellStyle name="Followed Hyperlink" xfId="1776" builtinId="9" hidden="1"/>
    <cellStyle name="Followed Hyperlink" xfId="1778" builtinId="9" hidden="1"/>
    <cellStyle name="Followed Hyperlink" xfId="1780" builtinId="9" hidden="1"/>
    <cellStyle name="Followed Hyperlink" xfId="1782" builtinId="9" hidden="1"/>
    <cellStyle name="Followed Hyperlink" xfId="1784" builtinId="9" hidden="1"/>
    <cellStyle name="Followed Hyperlink" xfId="1786" builtinId="9" hidden="1"/>
    <cellStyle name="Followed Hyperlink" xfId="1788" builtinId="9" hidden="1"/>
    <cellStyle name="Followed Hyperlink" xfId="1790" builtinId="9" hidden="1"/>
    <cellStyle name="Followed Hyperlink" xfId="1792" builtinId="9" hidden="1"/>
    <cellStyle name="Followed Hyperlink" xfId="1794" builtinId="9" hidden="1"/>
    <cellStyle name="Followed Hyperlink" xfId="1796" builtinId="9" hidden="1"/>
    <cellStyle name="Followed Hyperlink" xfId="1798" builtinId="9" hidden="1"/>
    <cellStyle name="Followed Hyperlink" xfId="1800" builtinId="9" hidden="1"/>
    <cellStyle name="Followed Hyperlink" xfId="1802" builtinId="9" hidden="1"/>
    <cellStyle name="Followed Hyperlink" xfId="1804" builtinId="9" hidden="1"/>
    <cellStyle name="Followed Hyperlink" xfId="1806" builtinId="9" hidden="1"/>
    <cellStyle name="Followed Hyperlink" xfId="1808" builtinId="9" hidden="1"/>
    <cellStyle name="Followed Hyperlink" xfId="1810" builtinId="9" hidden="1"/>
    <cellStyle name="Followed Hyperlink" xfId="1812" builtinId="9" hidden="1"/>
    <cellStyle name="Followed Hyperlink" xfId="1814" builtinId="9" hidden="1"/>
    <cellStyle name="Followed Hyperlink" xfId="1816" builtinId="9" hidden="1"/>
    <cellStyle name="Followed Hyperlink" xfId="1818" builtinId="9" hidden="1"/>
    <cellStyle name="Followed Hyperlink" xfId="1820" builtinId="9" hidden="1"/>
    <cellStyle name="Followed Hyperlink" xfId="1822" builtinId="9" hidden="1"/>
    <cellStyle name="Followed Hyperlink" xfId="1824" builtinId="9" hidden="1"/>
    <cellStyle name="Followed Hyperlink" xfId="1826" builtinId="9" hidden="1"/>
    <cellStyle name="Followed Hyperlink" xfId="1828" builtinId="9" hidden="1"/>
    <cellStyle name="Followed Hyperlink" xfId="1830" builtinId="9" hidden="1"/>
    <cellStyle name="Followed Hyperlink" xfId="1832" builtinId="9" hidden="1"/>
    <cellStyle name="Followed Hyperlink" xfId="1834" builtinId="9" hidden="1"/>
    <cellStyle name="Followed Hyperlink" xfId="1836" builtinId="9" hidden="1"/>
    <cellStyle name="Followed Hyperlink" xfId="1838" builtinId="9" hidden="1"/>
    <cellStyle name="Followed Hyperlink" xfId="1840" builtinId="9" hidden="1"/>
    <cellStyle name="Followed Hyperlink" xfId="1842" builtinId="9" hidden="1"/>
    <cellStyle name="Followed Hyperlink" xfId="1844" builtinId="9" hidden="1"/>
    <cellStyle name="Followed Hyperlink" xfId="1846" builtinId="9" hidden="1"/>
    <cellStyle name="Followed Hyperlink" xfId="1848" builtinId="9" hidden="1"/>
    <cellStyle name="Followed Hyperlink" xfId="1850" builtinId="9" hidden="1"/>
    <cellStyle name="Followed Hyperlink" xfId="1852" builtinId="9" hidden="1"/>
    <cellStyle name="Followed Hyperlink" xfId="1854" builtinId="9" hidden="1"/>
    <cellStyle name="Followed Hyperlink" xfId="1856" builtinId="9" hidden="1"/>
    <cellStyle name="Followed Hyperlink" xfId="1858" builtinId="9" hidden="1"/>
    <cellStyle name="Followed Hyperlink" xfId="1860" builtinId="9" hidden="1"/>
    <cellStyle name="Followed Hyperlink" xfId="1862" builtinId="9" hidden="1"/>
    <cellStyle name="Followed Hyperlink" xfId="1864" builtinId="9" hidden="1"/>
    <cellStyle name="Followed Hyperlink" xfId="1866" builtinId="9" hidden="1"/>
    <cellStyle name="Followed Hyperlink" xfId="1868" builtinId="9" hidden="1"/>
    <cellStyle name="Followed Hyperlink" xfId="1870" builtinId="9" hidden="1"/>
    <cellStyle name="Followed Hyperlink" xfId="1872" builtinId="9" hidden="1"/>
    <cellStyle name="Followed Hyperlink" xfId="1874" builtinId="9" hidden="1"/>
    <cellStyle name="Followed Hyperlink" xfId="1876" builtinId="9" hidden="1"/>
    <cellStyle name="Followed Hyperlink" xfId="1878" builtinId="9" hidden="1"/>
    <cellStyle name="Followed Hyperlink" xfId="1880" builtinId="9" hidden="1"/>
    <cellStyle name="Followed Hyperlink" xfId="1882" builtinId="9" hidden="1"/>
    <cellStyle name="Followed Hyperlink" xfId="1884" builtinId="9" hidden="1"/>
    <cellStyle name="Followed Hyperlink" xfId="1886" builtinId="9" hidden="1"/>
    <cellStyle name="Followed Hyperlink" xfId="1888" builtinId="9" hidden="1"/>
    <cellStyle name="Followed Hyperlink" xfId="1890" builtinId="9" hidden="1"/>
    <cellStyle name="Followed Hyperlink" xfId="1892" builtinId="9" hidden="1"/>
    <cellStyle name="Followed Hyperlink" xfId="1894" builtinId="9" hidden="1"/>
    <cellStyle name="Followed Hyperlink" xfId="1896" builtinId="9" hidden="1"/>
    <cellStyle name="Followed Hyperlink" xfId="1898" builtinId="9" hidden="1"/>
    <cellStyle name="Followed Hyperlink" xfId="1900" builtinId="9" hidden="1"/>
    <cellStyle name="Followed Hyperlink" xfId="1902" builtinId="9" hidden="1"/>
    <cellStyle name="Followed Hyperlink" xfId="1904" builtinId="9" hidden="1"/>
    <cellStyle name="Followed Hyperlink" xfId="1906" builtinId="9" hidden="1"/>
    <cellStyle name="Followed Hyperlink" xfId="1908" builtinId="9" hidden="1"/>
    <cellStyle name="Followed Hyperlink" xfId="1910" builtinId="9" hidden="1"/>
    <cellStyle name="Followed Hyperlink" xfId="1912" builtinId="9" hidden="1"/>
    <cellStyle name="Followed Hyperlink" xfId="1914" builtinId="9" hidden="1"/>
    <cellStyle name="Followed Hyperlink" xfId="1916" builtinId="9" hidden="1"/>
    <cellStyle name="Followed Hyperlink" xfId="1918" builtinId="9" hidden="1"/>
    <cellStyle name="Followed Hyperlink" xfId="1920" builtinId="9" hidden="1"/>
    <cellStyle name="Followed Hyperlink" xfId="1922" builtinId="9" hidden="1"/>
    <cellStyle name="Followed Hyperlink" xfId="1924" builtinId="9" hidden="1"/>
    <cellStyle name="Followed Hyperlink" xfId="1926" builtinId="9" hidden="1"/>
    <cellStyle name="Followed Hyperlink" xfId="1928" builtinId="9" hidden="1"/>
    <cellStyle name="Followed Hyperlink" xfId="1930" builtinId="9" hidden="1"/>
    <cellStyle name="Followed Hyperlink" xfId="1932" builtinId="9" hidden="1"/>
    <cellStyle name="Followed Hyperlink" xfId="1934" builtinId="9" hidden="1"/>
    <cellStyle name="Followed Hyperlink" xfId="1936" builtinId="9" hidden="1"/>
    <cellStyle name="Followed Hyperlink" xfId="1938" builtinId="9" hidden="1"/>
    <cellStyle name="Followed Hyperlink" xfId="1940" builtinId="9" hidden="1"/>
    <cellStyle name="Followed Hyperlink" xfId="1942" builtinId="9" hidden="1"/>
    <cellStyle name="Followed Hyperlink" xfId="1944" builtinId="9" hidden="1"/>
    <cellStyle name="Followed Hyperlink" xfId="1946" builtinId="9" hidden="1"/>
    <cellStyle name="Followed Hyperlink" xfId="1948" builtinId="9" hidden="1"/>
    <cellStyle name="Followed Hyperlink" xfId="1950" builtinId="9" hidden="1"/>
    <cellStyle name="Followed Hyperlink" xfId="1952" builtinId="9" hidden="1"/>
    <cellStyle name="Followed Hyperlink" xfId="1954" builtinId="9" hidden="1"/>
    <cellStyle name="Followed Hyperlink" xfId="1956" builtinId="9" hidden="1"/>
    <cellStyle name="Followed Hyperlink" xfId="1958" builtinId="9" hidden="1"/>
    <cellStyle name="Followed Hyperlink" xfId="1960" builtinId="9" hidden="1"/>
    <cellStyle name="Followed Hyperlink" xfId="1962" builtinId="9" hidden="1"/>
    <cellStyle name="Followed Hyperlink" xfId="1964" builtinId="9" hidden="1"/>
    <cellStyle name="Followed Hyperlink" xfId="1966" builtinId="9" hidden="1"/>
    <cellStyle name="Followed Hyperlink" xfId="1968" builtinId="9" hidden="1"/>
    <cellStyle name="Followed Hyperlink" xfId="1970" builtinId="9" hidden="1"/>
    <cellStyle name="Followed Hyperlink" xfId="1972" builtinId="9" hidden="1"/>
    <cellStyle name="Followed Hyperlink" xfId="1974" builtinId="9" hidden="1"/>
    <cellStyle name="Followed Hyperlink" xfId="1976" builtinId="9" hidden="1"/>
    <cellStyle name="Followed Hyperlink" xfId="1978" builtinId="9" hidden="1"/>
    <cellStyle name="Followed Hyperlink" xfId="1980" builtinId="9" hidden="1"/>
    <cellStyle name="Followed Hyperlink" xfId="1982" builtinId="9" hidden="1"/>
    <cellStyle name="Followed Hyperlink" xfId="1984" builtinId="9" hidden="1"/>
    <cellStyle name="Followed Hyperlink" xfId="1986" builtinId="9" hidden="1"/>
    <cellStyle name="Followed Hyperlink" xfId="1988" builtinId="9" hidden="1"/>
    <cellStyle name="Followed Hyperlink" xfId="1990" builtinId="9" hidden="1"/>
    <cellStyle name="Followed Hyperlink" xfId="1992" builtinId="9" hidden="1"/>
    <cellStyle name="Followed Hyperlink" xfId="1994" builtinId="9" hidden="1"/>
    <cellStyle name="Followed Hyperlink" xfId="1996" builtinId="9" hidden="1"/>
    <cellStyle name="Followed Hyperlink" xfId="1998" builtinId="9" hidden="1"/>
    <cellStyle name="Followed Hyperlink" xfId="2000" builtinId="9" hidden="1"/>
    <cellStyle name="Followed Hyperlink" xfId="2002" builtinId="9" hidden="1"/>
    <cellStyle name="Followed Hyperlink" xfId="2004" builtinId="9" hidden="1"/>
    <cellStyle name="Followed Hyperlink" xfId="2006" builtinId="9" hidden="1"/>
    <cellStyle name="Followed Hyperlink" xfId="2008" builtinId="9" hidden="1"/>
    <cellStyle name="Followed Hyperlink" xfId="2010" builtinId="9" hidden="1"/>
    <cellStyle name="Followed Hyperlink" xfId="2012" builtinId="9" hidden="1"/>
    <cellStyle name="Followed Hyperlink" xfId="2014" builtinId="9" hidden="1"/>
    <cellStyle name="Followed Hyperlink" xfId="2016" builtinId="9" hidden="1"/>
    <cellStyle name="Followed Hyperlink" xfId="2018" builtinId="9" hidden="1"/>
    <cellStyle name="Followed Hyperlink" xfId="2020" builtinId="9" hidden="1"/>
    <cellStyle name="Followed Hyperlink" xfId="2022" builtinId="9" hidden="1"/>
    <cellStyle name="Followed Hyperlink" xfId="2024" builtinId="9" hidden="1"/>
    <cellStyle name="Followed Hyperlink" xfId="2026" builtinId="9" hidden="1"/>
    <cellStyle name="Followed Hyperlink" xfId="2028" builtinId="9" hidden="1"/>
    <cellStyle name="Followed Hyperlink" xfId="2030" builtinId="9" hidden="1"/>
    <cellStyle name="Followed Hyperlink" xfId="2032" builtinId="9" hidden="1"/>
    <cellStyle name="Followed Hyperlink" xfId="2034" builtinId="9" hidden="1"/>
    <cellStyle name="Followed Hyperlink" xfId="2036" builtinId="9" hidden="1"/>
    <cellStyle name="Followed Hyperlink" xfId="2038" builtinId="9" hidden="1"/>
    <cellStyle name="Followed Hyperlink" xfId="2040" builtinId="9" hidden="1"/>
    <cellStyle name="Followed Hyperlink" xfId="2042" builtinId="9" hidden="1"/>
    <cellStyle name="Followed Hyperlink" xfId="2044" builtinId="9" hidden="1"/>
    <cellStyle name="Followed Hyperlink" xfId="2046" builtinId="9" hidden="1"/>
    <cellStyle name="Followed Hyperlink" xfId="2048" builtinId="9" hidden="1"/>
    <cellStyle name="Followed Hyperlink" xfId="2050" builtinId="9" hidden="1"/>
    <cellStyle name="Followed Hyperlink" xfId="2052" builtinId="9" hidden="1"/>
    <cellStyle name="Followed Hyperlink" xfId="2054" builtinId="9" hidden="1"/>
    <cellStyle name="Followed Hyperlink" xfId="2056" builtinId="9" hidden="1"/>
    <cellStyle name="Followed Hyperlink" xfId="2058" builtinId="9" hidden="1"/>
    <cellStyle name="Followed Hyperlink" xfId="2060" builtinId="9" hidden="1"/>
    <cellStyle name="Followed Hyperlink" xfId="2062" builtinId="9" hidden="1"/>
    <cellStyle name="Followed Hyperlink" xfId="2064" builtinId="9" hidden="1"/>
    <cellStyle name="Followed Hyperlink" xfId="2066" builtinId="9" hidden="1"/>
    <cellStyle name="Followed Hyperlink" xfId="2068" builtinId="9" hidden="1"/>
    <cellStyle name="Followed Hyperlink" xfId="2070" builtinId="9" hidden="1"/>
    <cellStyle name="Followed Hyperlink" xfId="2072" builtinId="9" hidden="1"/>
    <cellStyle name="Followed Hyperlink" xfId="2074" builtinId="9" hidden="1"/>
    <cellStyle name="Followed Hyperlink" xfId="2076" builtinId="9" hidden="1"/>
    <cellStyle name="Followed Hyperlink" xfId="2078" builtinId="9" hidden="1"/>
    <cellStyle name="Followed Hyperlink" xfId="2080" builtinId="9" hidden="1"/>
    <cellStyle name="Followed Hyperlink" xfId="2082" builtinId="9" hidden="1"/>
    <cellStyle name="Followed Hyperlink" xfId="2084" builtinId="9" hidden="1"/>
    <cellStyle name="Followed Hyperlink" xfId="2086" builtinId="9" hidden="1"/>
    <cellStyle name="Followed Hyperlink" xfId="2088" builtinId="9" hidden="1"/>
    <cellStyle name="Followed Hyperlink" xfId="2090" builtinId="9" hidden="1"/>
    <cellStyle name="Followed Hyperlink" xfId="2092" builtinId="9" hidden="1"/>
    <cellStyle name="Followed Hyperlink" xfId="2094" builtinId="9" hidden="1"/>
    <cellStyle name="Followed Hyperlink" xfId="2096" builtinId="9" hidden="1"/>
    <cellStyle name="Followed Hyperlink" xfId="2098" builtinId="9" hidden="1"/>
    <cellStyle name="Followed Hyperlink" xfId="2100" builtinId="9" hidden="1"/>
    <cellStyle name="Followed Hyperlink" xfId="2102" builtinId="9" hidden="1"/>
    <cellStyle name="Followed Hyperlink" xfId="2104" builtinId="9" hidden="1"/>
    <cellStyle name="Followed Hyperlink" xfId="2106" builtinId="9" hidden="1"/>
    <cellStyle name="Followed Hyperlink" xfId="2108" builtinId="9" hidden="1"/>
    <cellStyle name="Followed Hyperlink" xfId="2110" builtinId="9" hidden="1"/>
    <cellStyle name="Followed Hyperlink" xfId="2112" builtinId="9" hidden="1"/>
    <cellStyle name="Followed Hyperlink" xfId="2114" builtinId="9" hidden="1"/>
    <cellStyle name="Followed Hyperlink" xfId="2116" builtinId="9" hidden="1"/>
    <cellStyle name="Followed Hyperlink" xfId="2118" builtinId="9" hidden="1"/>
    <cellStyle name="Followed Hyperlink" xfId="2120" builtinId="9" hidden="1"/>
    <cellStyle name="Followed Hyperlink" xfId="2122" builtinId="9" hidden="1"/>
    <cellStyle name="Followed Hyperlink" xfId="2124" builtinId="9" hidden="1"/>
    <cellStyle name="Followed Hyperlink" xfId="2126" builtinId="9" hidden="1"/>
    <cellStyle name="Followed Hyperlink" xfId="2128" builtinId="9" hidden="1"/>
    <cellStyle name="Followed Hyperlink" xfId="2130" builtinId="9" hidden="1"/>
    <cellStyle name="Followed Hyperlink" xfId="2132" builtinId="9" hidden="1"/>
    <cellStyle name="Followed Hyperlink" xfId="2134" builtinId="9" hidden="1"/>
    <cellStyle name="Followed Hyperlink" xfId="2136" builtinId="9" hidden="1"/>
    <cellStyle name="Followed Hyperlink" xfId="2138" builtinId="9" hidden="1"/>
    <cellStyle name="Followed Hyperlink" xfId="2140" builtinId="9" hidden="1"/>
    <cellStyle name="Followed Hyperlink" xfId="2142" builtinId="9" hidden="1"/>
    <cellStyle name="Followed Hyperlink" xfId="2144" builtinId="9" hidden="1"/>
    <cellStyle name="Followed Hyperlink" xfId="2146" builtinId="9" hidden="1"/>
    <cellStyle name="Followed Hyperlink" xfId="2148" builtinId="9" hidden="1"/>
    <cellStyle name="Followed Hyperlink" xfId="2150" builtinId="9" hidden="1"/>
    <cellStyle name="Followed Hyperlink" xfId="2152" builtinId="9" hidden="1"/>
    <cellStyle name="Followed Hyperlink" xfId="2154" builtinId="9" hidden="1"/>
    <cellStyle name="Followed Hyperlink" xfId="2156" builtinId="9" hidden="1"/>
    <cellStyle name="Followed Hyperlink" xfId="2158" builtinId="9" hidden="1"/>
    <cellStyle name="Followed Hyperlink" xfId="2160" builtinId="9" hidden="1"/>
    <cellStyle name="Followed Hyperlink" xfId="2162" builtinId="9" hidden="1"/>
    <cellStyle name="Followed Hyperlink" xfId="2164" builtinId="9" hidden="1"/>
    <cellStyle name="Followed Hyperlink" xfId="2166" builtinId="9" hidden="1"/>
    <cellStyle name="Followed Hyperlink" xfId="2168" builtinId="9" hidden="1"/>
    <cellStyle name="Followed Hyperlink" xfId="2170" builtinId="9" hidden="1"/>
    <cellStyle name="Followed Hyperlink" xfId="2172" builtinId="9" hidden="1"/>
    <cellStyle name="Followed Hyperlink" xfId="2174" builtinId="9" hidden="1"/>
    <cellStyle name="Followed Hyperlink" xfId="2176" builtinId="9" hidden="1"/>
    <cellStyle name="Followed Hyperlink" xfId="2178" builtinId="9" hidden="1"/>
    <cellStyle name="Followed Hyperlink" xfId="2180" builtinId="9" hidden="1"/>
    <cellStyle name="Followed Hyperlink" xfId="2182" builtinId="9" hidden="1"/>
    <cellStyle name="Followed Hyperlink" xfId="2184" builtinId="9" hidden="1"/>
    <cellStyle name="Followed Hyperlink" xfId="2186" builtinId="9" hidden="1"/>
    <cellStyle name="Followed Hyperlink" xfId="2188" builtinId="9" hidden="1"/>
    <cellStyle name="Followed Hyperlink" xfId="2190" builtinId="9" hidden="1"/>
    <cellStyle name="Followed Hyperlink" xfId="2192" builtinId="9" hidden="1"/>
    <cellStyle name="Followed Hyperlink" xfId="2194" builtinId="9" hidden="1"/>
    <cellStyle name="Followed Hyperlink" xfId="2196" builtinId="9" hidden="1"/>
    <cellStyle name="Followed Hyperlink" xfId="2198" builtinId="9" hidden="1"/>
    <cellStyle name="Followed Hyperlink" xfId="2200" builtinId="9" hidden="1"/>
    <cellStyle name="Followed Hyperlink" xfId="2202" builtinId="9" hidden="1"/>
    <cellStyle name="Followed Hyperlink" xfId="2204" builtinId="9" hidden="1"/>
    <cellStyle name="Followed Hyperlink" xfId="2206" builtinId="9" hidden="1"/>
    <cellStyle name="Followed Hyperlink" xfId="2208" builtinId="9" hidden="1"/>
    <cellStyle name="Followed Hyperlink" xfId="2210" builtinId="9" hidden="1"/>
    <cellStyle name="Followed Hyperlink" xfId="2212" builtinId="9" hidden="1"/>
    <cellStyle name="Followed Hyperlink" xfId="2214" builtinId="9" hidden="1"/>
    <cellStyle name="Followed Hyperlink" xfId="2216" builtinId="9" hidden="1"/>
    <cellStyle name="Followed Hyperlink" xfId="2218" builtinId="9" hidden="1"/>
    <cellStyle name="Followed Hyperlink" xfId="2220" builtinId="9" hidden="1"/>
    <cellStyle name="Followed Hyperlink" xfId="2222" builtinId="9" hidden="1"/>
    <cellStyle name="Followed Hyperlink" xfId="2224" builtinId="9" hidden="1"/>
    <cellStyle name="Followed Hyperlink" xfId="2226" builtinId="9" hidden="1"/>
    <cellStyle name="Followed Hyperlink" xfId="2228" builtinId="9" hidden="1"/>
    <cellStyle name="Followed Hyperlink" xfId="2230" builtinId="9" hidden="1"/>
    <cellStyle name="Followed Hyperlink" xfId="2232" builtinId="9" hidden="1"/>
    <cellStyle name="Followed Hyperlink" xfId="2234" builtinId="9" hidden="1"/>
    <cellStyle name="Followed Hyperlink" xfId="2236" builtinId="9" hidden="1"/>
    <cellStyle name="Followed Hyperlink" xfId="2238" builtinId="9" hidden="1"/>
    <cellStyle name="Followed Hyperlink" xfId="2240" builtinId="9" hidden="1"/>
    <cellStyle name="Followed Hyperlink" xfId="2242" builtinId="9" hidden="1"/>
    <cellStyle name="Followed Hyperlink" xfId="2244" builtinId="9" hidden="1"/>
    <cellStyle name="Followed Hyperlink" xfId="2246" builtinId="9" hidden="1"/>
    <cellStyle name="Followed Hyperlink" xfId="2248" builtinId="9" hidden="1"/>
    <cellStyle name="Followed Hyperlink" xfId="2250" builtinId="9" hidden="1"/>
    <cellStyle name="Followed Hyperlink" xfId="2252" builtinId="9" hidden="1"/>
    <cellStyle name="Followed Hyperlink" xfId="2254" builtinId="9" hidden="1"/>
    <cellStyle name="Followed Hyperlink" xfId="2256" builtinId="9" hidden="1"/>
    <cellStyle name="Followed Hyperlink" xfId="2258" builtinId="9" hidden="1"/>
    <cellStyle name="Followed Hyperlink" xfId="2260" builtinId="9" hidden="1"/>
    <cellStyle name="Followed Hyperlink" xfId="2262" builtinId="9" hidden="1"/>
    <cellStyle name="Followed Hyperlink" xfId="2264" builtinId="9" hidden="1"/>
    <cellStyle name="Followed Hyperlink" xfId="2266" builtinId="9" hidden="1"/>
    <cellStyle name="Followed Hyperlink" xfId="2268" builtinId="9" hidden="1"/>
    <cellStyle name="Followed Hyperlink" xfId="2270" builtinId="9" hidden="1"/>
    <cellStyle name="Followed Hyperlink" xfId="2272" builtinId="9" hidden="1"/>
    <cellStyle name="Followed Hyperlink" xfId="2274" builtinId="9" hidden="1"/>
    <cellStyle name="Followed Hyperlink" xfId="2276" builtinId="9" hidden="1"/>
    <cellStyle name="Followed Hyperlink" xfId="2278" builtinId="9" hidden="1"/>
    <cellStyle name="Followed Hyperlink" xfId="2280" builtinId="9" hidden="1"/>
    <cellStyle name="Followed Hyperlink" xfId="2282" builtinId="9" hidden="1"/>
    <cellStyle name="Followed Hyperlink" xfId="2284" builtinId="9" hidden="1"/>
    <cellStyle name="Followed Hyperlink" xfId="2286" builtinId="9" hidden="1"/>
    <cellStyle name="Followed Hyperlink" xfId="2288" builtinId="9" hidden="1"/>
    <cellStyle name="Followed Hyperlink" xfId="2290" builtinId="9" hidden="1"/>
    <cellStyle name="Followed Hyperlink" xfId="2292" builtinId="9" hidden="1"/>
    <cellStyle name="Followed Hyperlink" xfId="2294" builtinId="9" hidden="1"/>
    <cellStyle name="Followed Hyperlink" xfId="2296" builtinId="9" hidden="1"/>
    <cellStyle name="Followed Hyperlink" xfId="2298" builtinId="9" hidden="1"/>
    <cellStyle name="Followed Hyperlink" xfId="2300" builtinId="9" hidden="1"/>
    <cellStyle name="Followed Hyperlink" xfId="2302" builtinId="9" hidden="1"/>
    <cellStyle name="Followed Hyperlink" xfId="2304" builtinId="9" hidden="1"/>
    <cellStyle name="Followed Hyperlink" xfId="2306" builtinId="9" hidden="1"/>
    <cellStyle name="Followed Hyperlink" xfId="2308" builtinId="9" hidden="1"/>
    <cellStyle name="Followed Hyperlink" xfId="2310" builtinId="9" hidden="1"/>
    <cellStyle name="Followed Hyperlink" xfId="2312" builtinId="9" hidden="1"/>
    <cellStyle name="Followed Hyperlink" xfId="2314" builtinId="9" hidden="1"/>
    <cellStyle name="Followed Hyperlink" xfId="2316" builtinId="9" hidden="1"/>
    <cellStyle name="Followed Hyperlink" xfId="2318" builtinId="9" hidden="1"/>
    <cellStyle name="Followed Hyperlink" xfId="2320" builtinId="9" hidden="1"/>
    <cellStyle name="Followed Hyperlink" xfId="2322" builtinId="9" hidden="1"/>
    <cellStyle name="Followed Hyperlink" xfId="2324" builtinId="9" hidden="1"/>
    <cellStyle name="Followed Hyperlink" xfId="2326" builtinId="9" hidden="1"/>
    <cellStyle name="Followed Hyperlink" xfId="2328" builtinId="9" hidden="1"/>
    <cellStyle name="Followed Hyperlink" xfId="2330" builtinId="9" hidden="1"/>
    <cellStyle name="Followed Hyperlink" xfId="2332" builtinId="9" hidden="1"/>
    <cellStyle name="Followed Hyperlink" xfId="2334" builtinId="9" hidden="1"/>
    <cellStyle name="Followed Hyperlink" xfId="2336" builtinId="9" hidden="1"/>
    <cellStyle name="Followed Hyperlink" xfId="2338" builtinId="9" hidden="1"/>
    <cellStyle name="Followed Hyperlink" xfId="2340" builtinId="9" hidden="1"/>
    <cellStyle name="Followed Hyperlink" xfId="2342" builtinId="9" hidden="1"/>
    <cellStyle name="Followed Hyperlink" xfId="2344" builtinId="9" hidden="1"/>
    <cellStyle name="Followed Hyperlink" xfId="2346" builtinId="9" hidden="1"/>
    <cellStyle name="Followed Hyperlink" xfId="2348" builtinId="9" hidden="1"/>
    <cellStyle name="Followed Hyperlink" xfId="2350" builtinId="9" hidden="1"/>
    <cellStyle name="Followed Hyperlink" xfId="2352" builtinId="9" hidden="1"/>
    <cellStyle name="Followed Hyperlink" xfId="2354" builtinId="9" hidden="1"/>
    <cellStyle name="Followed Hyperlink" xfId="2356" builtinId="9" hidden="1"/>
    <cellStyle name="Followed Hyperlink" xfId="2358" builtinId="9" hidden="1"/>
    <cellStyle name="Followed Hyperlink" xfId="2360" builtinId="9" hidden="1"/>
    <cellStyle name="Followed Hyperlink" xfId="2362" builtinId="9" hidden="1"/>
    <cellStyle name="Followed Hyperlink" xfId="2364" builtinId="9" hidden="1"/>
    <cellStyle name="Followed Hyperlink" xfId="2366" builtinId="9" hidden="1"/>
    <cellStyle name="Followed Hyperlink" xfId="2368" builtinId="9" hidden="1"/>
    <cellStyle name="Followed Hyperlink" xfId="2370" builtinId="9" hidden="1"/>
    <cellStyle name="Followed Hyperlink" xfId="2372" builtinId="9" hidden="1"/>
    <cellStyle name="Followed Hyperlink" xfId="2374" builtinId="9" hidden="1"/>
    <cellStyle name="Followed Hyperlink" xfId="2376" builtinId="9" hidden="1"/>
    <cellStyle name="Followed Hyperlink" xfId="2378" builtinId="9" hidden="1"/>
    <cellStyle name="Followed Hyperlink" xfId="2380" builtinId="9" hidden="1"/>
    <cellStyle name="Followed Hyperlink" xfId="2382" builtinId="9" hidden="1"/>
    <cellStyle name="Followed Hyperlink" xfId="2384" builtinId="9" hidden="1"/>
    <cellStyle name="Followed Hyperlink" xfId="2386" builtinId="9" hidden="1"/>
    <cellStyle name="Followed Hyperlink" xfId="2388" builtinId="9" hidden="1"/>
    <cellStyle name="Followed Hyperlink" xfId="2390" builtinId="9" hidden="1"/>
    <cellStyle name="Followed Hyperlink" xfId="2392" builtinId="9" hidden="1"/>
    <cellStyle name="Followed Hyperlink" xfId="2394" builtinId="9" hidden="1"/>
    <cellStyle name="Followed Hyperlink" xfId="2396" builtinId="9" hidden="1"/>
    <cellStyle name="Followed Hyperlink" xfId="2398" builtinId="9" hidden="1"/>
    <cellStyle name="Followed Hyperlink" xfId="2400" builtinId="9" hidden="1"/>
    <cellStyle name="Followed Hyperlink" xfId="2402" builtinId="9" hidden="1"/>
    <cellStyle name="Followed Hyperlink" xfId="2404" builtinId="9" hidden="1"/>
    <cellStyle name="Followed Hyperlink" xfId="2406" builtinId="9" hidden="1"/>
    <cellStyle name="Followed Hyperlink" xfId="2408" builtinId="9" hidden="1"/>
    <cellStyle name="Followed Hyperlink" xfId="2410" builtinId="9" hidden="1"/>
    <cellStyle name="Followed Hyperlink" xfId="2412" builtinId="9" hidden="1"/>
    <cellStyle name="Followed Hyperlink" xfId="2414" builtinId="9" hidden="1"/>
    <cellStyle name="Followed Hyperlink" xfId="2416" builtinId="9" hidden="1"/>
    <cellStyle name="Followed Hyperlink" xfId="2418" builtinId="9" hidden="1"/>
    <cellStyle name="Followed Hyperlink" xfId="2420" builtinId="9" hidden="1"/>
    <cellStyle name="Followed Hyperlink" xfId="2422" builtinId="9" hidden="1"/>
    <cellStyle name="Followed Hyperlink" xfId="2424" builtinId="9" hidden="1"/>
    <cellStyle name="Followed Hyperlink" xfId="2426" builtinId="9" hidden="1"/>
    <cellStyle name="Followed Hyperlink" xfId="2428" builtinId="9" hidden="1"/>
    <cellStyle name="Followed Hyperlink" xfId="2430" builtinId="9" hidden="1"/>
    <cellStyle name="Followed Hyperlink" xfId="2432" builtinId="9" hidden="1"/>
    <cellStyle name="Followed Hyperlink" xfId="2434" builtinId="9" hidden="1"/>
    <cellStyle name="Followed Hyperlink" xfId="2436" builtinId="9" hidden="1"/>
    <cellStyle name="Followed Hyperlink" xfId="2438" builtinId="9" hidden="1"/>
    <cellStyle name="Followed Hyperlink" xfId="2440" builtinId="9" hidden="1"/>
    <cellStyle name="Followed Hyperlink" xfId="2442" builtinId="9" hidden="1"/>
    <cellStyle name="Followed Hyperlink" xfId="2444" builtinId="9" hidden="1"/>
    <cellStyle name="Followed Hyperlink" xfId="2446" builtinId="9" hidden="1"/>
    <cellStyle name="Followed Hyperlink" xfId="2448" builtinId="9" hidden="1"/>
    <cellStyle name="Followed Hyperlink" xfId="2450" builtinId="9" hidden="1"/>
    <cellStyle name="Followed Hyperlink" xfId="2452" builtinId="9" hidden="1"/>
    <cellStyle name="Followed Hyperlink" xfId="2454" builtinId="9" hidden="1"/>
    <cellStyle name="Followed Hyperlink" xfId="2456" builtinId="9" hidden="1"/>
    <cellStyle name="Followed Hyperlink" xfId="2458" builtinId="9" hidden="1"/>
    <cellStyle name="Followed Hyperlink" xfId="2460" builtinId="9" hidden="1"/>
    <cellStyle name="Followed Hyperlink" xfId="2462" builtinId="9" hidden="1"/>
    <cellStyle name="Followed Hyperlink" xfId="2464" builtinId="9" hidden="1"/>
    <cellStyle name="Followed Hyperlink" xfId="2466" builtinId="9" hidden="1"/>
    <cellStyle name="Followed Hyperlink" xfId="2468" builtinId="9" hidden="1"/>
    <cellStyle name="Followed Hyperlink" xfId="2470" builtinId="9" hidden="1"/>
    <cellStyle name="Followed Hyperlink" xfId="2472" builtinId="9" hidden="1"/>
    <cellStyle name="Followed Hyperlink" xfId="2474" builtinId="9" hidden="1"/>
    <cellStyle name="Followed Hyperlink" xfId="2476" builtinId="9" hidden="1"/>
    <cellStyle name="Followed Hyperlink" xfId="2478" builtinId="9" hidden="1"/>
    <cellStyle name="Followed Hyperlink" xfId="2480" builtinId="9" hidden="1"/>
    <cellStyle name="Followed Hyperlink" xfId="2482" builtinId="9" hidden="1"/>
    <cellStyle name="Followed Hyperlink" xfId="2484" builtinId="9" hidden="1"/>
    <cellStyle name="Followed Hyperlink" xfId="2486" builtinId="9" hidden="1"/>
    <cellStyle name="Followed Hyperlink" xfId="2488" builtinId="9" hidden="1"/>
    <cellStyle name="Followed Hyperlink" xfId="2490" builtinId="9" hidden="1"/>
    <cellStyle name="Followed Hyperlink" xfId="2492" builtinId="9" hidden="1"/>
    <cellStyle name="Followed Hyperlink" xfId="2494" builtinId="9" hidden="1"/>
    <cellStyle name="Followed Hyperlink" xfId="2496" builtinId="9" hidden="1"/>
    <cellStyle name="Followed Hyperlink" xfId="2498" builtinId="9" hidden="1"/>
    <cellStyle name="Followed Hyperlink" xfId="2500" builtinId="9" hidden="1"/>
    <cellStyle name="Followed Hyperlink" xfId="2502" builtinId="9" hidden="1"/>
    <cellStyle name="Followed Hyperlink" xfId="2504" builtinId="9" hidden="1"/>
    <cellStyle name="Followed Hyperlink" xfId="2506" builtinId="9" hidden="1"/>
    <cellStyle name="Followed Hyperlink" xfId="2508" builtinId="9" hidden="1"/>
    <cellStyle name="Followed Hyperlink" xfId="2510" builtinId="9" hidden="1"/>
    <cellStyle name="Followed Hyperlink" xfId="2512" builtinId="9" hidden="1"/>
    <cellStyle name="Followed Hyperlink" xfId="2514" builtinId="9" hidden="1"/>
    <cellStyle name="Followed Hyperlink" xfId="2516" builtinId="9" hidden="1"/>
    <cellStyle name="Followed Hyperlink" xfId="2518" builtinId="9" hidden="1"/>
    <cellStyle name="Followed Hyperlink" xfId="2520" builtinId="9" hidden="1"/>
    <cellStyle name="Followed Hyperlink" xfId="2522" builtinId="9" hidden="1"/>
    <cellStyle name="Followed Hyperlink" xfId="2524" builtinId="9" hidden="1"/>
    <cellStyle name="Followed Hyperlink" xfId="2526" builtinId="9" hidden="1"/>
    <cellStyle name="Followed Hyperlink" xfId="2528" builtinId="9" hidden="1"/>
    <cellStyle name="Followed Hyperlink" xfId="2530" builtinId="9" hidden="1"/>
    <cellStyle name="Followed Hyperlink" xfId="2532" builtinId="9" hidden="1"/>
    <cellStyle name="Followed Hyperlink" xfId="2534" builtinId="9" hidden="1"/>
    <cellStyle name="Followed Hyperlink" xfId="2536" builtinId="9" hidden="1"/>
    <cellStyle name="Followed Hyperlink" xfId="2538" builtinId="9" hidden="1"/>
    <cellStyle name="Followed Hyperlink" xfId="2540" builtinId="9" hidden="1"/>
    <cellStyle name="Followed Hyperlink" xfId="2542" builtinId="9" hidden="1"/>
    <cellStyle name="Followed Hyperlink" xfId="2544" builtinId="9" hidden="1"/>
    <cellStyle name="Followed Hyperlink" xfId="2546" builtinId="9" hidden="1"/>
    <cellStyle name="Followed Hyperlink" xfId="2548" builtinId="9" hidden="1"/>
    <cellStyle name="Followed Hyperlink" xfId="2550" builtinId="9" hidden="1"/>
    <cellStyle name="Followed Hyperlink" xfId="2552" builtinId="9" hidden="1"/>
    <cellStyle name="Followed Hyperlink" xfId="2554" builtinId="9" hidden="1"/>
    <cellStyle name="Followed Hyperlink" xfId="2556" builtinId="9" hidden="1"/>
    <cellStyle name="Followed Hyperlink" xfId="2558" builtinId="9" hidden="1"/>
    <cellStyle name="Followed Hyperlink" xfId="2560" builtinId="9" hidden="1"/>
    <cellStyle name="Followed Hyperlink" xfId="2562" builtinId="9" hidden="1"/>
    <cellStyle name="Followed Hyperlink" xfId="2564" builtinId="9" hidden="1"/>
    <cellStyle name="Followed Hyperlink" xfId="2566" builtinId="9" hidden="1"/>
    <cellStyle name="Followed Hyperlink" xfId="2568" builtinId="9" hidden="1"/>
    <cellStyle name="Followed Hyperlink" xfId="2570" builtinId="9" hidden="1"/>
    <cellStyle name="Followed Hyperlink" xfId="2572" builtinId="9" hidden="1"/>
    <cellStyle name="Followed Hyperlink" xfId="2574" builtinId="9" hidden="1"/>
    <cellStyle name="Followed Hyperlink" xfId="2576" builtinId="9" hidden="1"/>
    <cellStyle name="Followed Hyperlink" xfId="2578" builtinId="9" hidden="1"/>
    <cellStyle name="Followed Hyperlink" xfId="2580" builtinId="9" hidden="1"/>
    <cellStyle name="Followed Hyperlink" xfId="2582" builtinId="9" hidden="1"/>
    <cellStyle name="Followed Hyperlink" xfId="2584" builtinId="9" hidden="1"/>
    <cellStyle name="Followed Hyperlink" xfId="2586" builtinId="9" hidden="1"/>
    <cellStyle name="Followed Hyperlink" xfId="2588" builtinId="9" hidden="1"/>
    <cellStyle name="Followed Hyperlink" xfId="2590" builtinId="9" hidden="1"/>
    <cellStyle name="Followed Hyperlink" xfId="2592" builtinId="9" hidden="1"/>
    <cellStyle name="Followed Hyperlink" xfId="2594" builtinId="9" hidden="1"/>
    <cellStyle name="Followed Hyperlink" xfId="2596" builtinId="9" hidden="1"/>
    <cellStyle name="Followed Hyperlink" xfId="2598" builtinId="9" hidden="1"/>
    <cellStyle name="Followed Hyperlink" xfId="2600" builtinId="9" hidden="1"/>
    <cellStyle name="Followed Hyperlink" xfId="2602" builtinId="9" hidden="1"/>
    <cellStyle name="Followed Hyperlink" xfId="2604" builtinId="9" hidden="1"/>
    <cellStyle name="Followed Hyperlink" xfId="2606" builtinId="9" hidden="1"/>
    <cellStyle name="Followed Hyperlink" xfId="2608" builtinId="9" hidden="1"/>
    <cellStyle name="Followed Hyperlink" xfId="2610" builtinId="9" hidden="1"/>
    <cellStyle name="Followed Hyperlink" xfId="2612" builtinId="9" hidden="1"/>
    <cellStyle name="Followed Hyperlink" xfId="2614" builtinId="9" hidden="1"/>
    <cellStyle name="Followed Hyperlink" xfId="2616" builtinId="9" hidden="1"/>
    <cellStyle name="Followed Hyperlink" xfId="2618" builtinId="9" hidden="1"/>
    <cellStyle name="Followed Hyperlink" xfId="2620" builtinId="9" hidden="1"/>
    <cellStyle name="Followed Hyperlink" xfId="2622" builtinId="9" hidden="1"/>
    <cellStyle name="Followed Hyperlink" xfId="2624" builtinId="9" hidden="1"/>
    <cellStyle name="Followed Hyperlink" xfId="2626" builtinId="9" hidden="1"/>
    <cellStyle name="Followed Hyperlink" xfId="2628" builtinId="9" hidden="1"/>
    <cellStyle name="Followed Hyperlink" xfId="2630" builtinId="9" hidden="1"/>
    <cellStyle name="Followed Hyperlink" xfId="2632" builtinId="9" hidden="1"/>
    <cellStyle name="Followed Hyperlink" xfId="2634" builtinId="9" hidden="1"/>
    <cellStyle name="Followed Hyperlink" xfId="2636" builtinId="9" hidden="1"/>
    <cellStyle name="Followed Hyperlink" xfId="2638" builtinId="9" hidden="1"/>
    <cellStyle name="Followed Hyperlink" xfId="2640" builtinId="9" hidden="1"/>
    <cellStyle name="Followed Hyperlink" xfId="2642" builtinId="9" hidden="1"/>
    <cellStyle name="Followed Hyperlink" xfId="2644" builtinId="9" hidden="1"/>
    <cellStyle name="Followed Hyperlink" xfId="2646" builtinId="9" hidden="1"/>
    <cellStyle name="Followed Hyperlink" xfId="2648" builtinId="9" hidden="1"/>
    <cellStyle name="Followed Hyperlink" xfId="2650" builtinId="9" hidden="1"/>
    <cellStyle name="Followed Hyperlink" xfId="2652" builtinId="9" hidden="1"/>
    <cellStyle name="Followed Hyperlink" xfId="2654" builtinId="9" hidden="1"/>
    <cellStyle name="Followed Hyperlink" xfId="2656" builtinId="9" hidden="1"/>
    <cellStyle name="Followed Hyperlink" xfId="2658" builtinId="9" hidden="1"/>
    <cellStyle name="Followed Hyperlink" xfId="2660" builtinId="9" hidden="1"/>
    <cellStyle name="Followed Hyperlink" xfId="2662" builtinId="9" hidden="1"/>
    <cellStyle name="Followed Hyperlink" xfId="2664" builtinId="9" hidden="1"/>
    <cellStyle name="Followed Hyperlink" xfId="2666" builtinId="9" hidden="1"/>
    <cellStyle name="Followed Hyperlink" xfId="2668" builtinId="9" hidden="1"/>
    <cellStyle name="Followed Hyperlink" xfId="2670" builtinId="9" hidden="1"/>
    <cellStyle name="Followed Hyperlink" xfId="2672" builtinId="9" hidden="1"/>
    <cellStyle name="Followed Hyperlink" xfId="2674" builtinId="9" hidden="1"/>
    <cellStyle name="Followed Hyperlink" xfId="2676" builtinId="9" hidden="1"/>
    <cellStyle name="Followed Hyperlink" xfId="2678" builtinId="9" hidden="1"/>
    <cellStyle name="Followed Hyperlink" xfId="2680" builtinId="9" hidden="1"/>
    <cellStyle name="Followed Hyperlink" xfId="2682" builtinId="9" hidden="1"/>
    <cellStyle name="Followed Hyperlink" xfId="2684" builtinId="9" hidden="1"/>
    <cellStyle name="Followed Hyperlink" xfId="2686" builtinId="9" hidden="1"/>
    <cellStyle name="Followed Hyperlink" xfId="2688" builtinId="9" hidden="1"/>
    <cellStyle name="Followed Hyperlink" xfId="2690" builtinId="9" hidden="1"/>
    <cellStyle name="Followed Hyperlink" xfId="2692" builtinId="9" hidden="1"/>
    <cellStyle name="Followed Hyperlink" xfId="2694" builtinId="9" hidden="1"/>
    <cellStyle name="Followed Hyperlink" xfId="2696" builtinId="9" hidden="1"/>
    <cellStyle name="Followed Hyperlink" xfId="2698" builtinId="9" hidden="1"/>
    <cellStyle name="Followed Hyperlink" xfId="2700" builtinId="9" hidden="1"/>
    <cellStyle name="Followed Hyperlink" xfId="2702" builtinId="9" hidden="1"/>
    <cellStyle name="Followed Hyperlink" xfId="2704" builtinId="9" hidden="1"/>
    <cellStyle name="Followed Hyperlink" xfId="2706" builtinId="9" hidden="1"/>
    <cellStyle name="Followed Hyperlink" xfId="2708" builtinId="9" hidden="1"/>
    <cellStyle name="Followed Hyperlink" xfId="2710" builtinId="9" hidden="1"/>
    <cellStyle name="Followed Hyperlink" xfId="2712" builtinId="9" hidden="1"/>
    <cellStyle name="Followed Hyperlink" xfId="2714" builtinId="9" hidden="1"/>
    <cellStyle name="Followed Hyperlink" xfId="2716" builtinId="9" hidden="1"/>
    <cellStyle name="Followed Hyperlink" xfId="2718" builtinId="9" hidden="1"/>
    <cellStyle name="Followed Hyperlink" xfId="2720" builtinId="9" hidden="1"/>
    <cellStyle name="Followed Hyperlink" xfId="2722" builtinId="9" hidden="1"/>
    <cellStyle name="Followed Hyperlink" xfId="2724" builtinId="9" hidden="1"/>
    <cellStyle name="Followed Hyperlink" xfId="2726" builtinId="9" hidden="1"/>
    <cellStyle name="Followed Hyperlink" xfId="2728" builtinId="9" hidden="1"/>
    <cellStyle name="Followed Hyperlink" xfId="2730" builtinId="9" hidden="1"/>
    <cellStyle name="Followed Hyperlink" xfId="2732" builtinId="9" hidden="1"/>
    <cellStyle name="Followed Hyperlink" xfId="2734" builtinId="9" hidden="1"/>
    <cellStyle name="Followed Hyperlink" xfId="2736" builtinId="9" hidden="1"/>
    <cellStyle name="Followed Hyperlink" xfId="2738" builtinId="9" hidden="1"/>
    <cellStyle name="Followed Hyperlink" xfId="2740" builtinId="9" hidden="1"/>
    <cellStyle name="Followed Hyperlink" xfId="2742" builtinId="9" hidden="1"/>
    <cellStyle name="Followed Hyperlink" xfId="2744" builtinId="9" hidden="1"/>
    <cellStyle name="Followed Hyperlink" xfId="2746" builtinId="9" hidden="1"/>
    <cellStyle name="Followed Hyperlink" xfId="2748" builtinId="9" hidden="1"/>
    <cellStyle name="Followed Hyperlink" xfId="2750" builtinId="9" hidden="1"/>
    <cellStyle name="Followed Hyperlink" xfId="2752" builtinId="9" hidden="1"/>
    <cellStyle name="Followed Hyperlink" xfId="2754" builtinId="9" hidden="1"/>
    <cellStyle name="Followed Hyperlink" xfId="2756" builtinId="9" hidden="1"/>
    <cellStyle name="Followed Hyperlink" xfId="2758" builtinId="9" hidden="1"/>
    <cellStyle name="Followed Hyperlink" xfId="2760" builtinId="9" hidden="1"/>
    <cellStyle name="Followed Hyperlink" xfId="2762" builtinId="9" hidden="1"/>
    <cellStyle name="Followed Hyperlink" xfId="2764" builtinId="9" hidden="1"/>
    <cellStyle name="Followed Hyperlink" xfId="2766" builtinId="9" hidden="1"/>
    <cellStyle name="Followed Hyperlink" xfId="2768" builtinId="9" hidden="1"/>
    <cellStyle name="Followed Hyperlink" xfId="2770" builtinId="9" hidden="1"/>
    <cellStyle name="Followed Hyperlink" xfId="2772" builtinId="9" hidden="1"/>
    <cellStyle name="Followed Hyperlink" xfId="2774" builtinId="9" hidden="1"/>
    <cellStyle name="Followed Hyperlink" xfId="2776" builtinId="9" hidden="1"/>
    <cellStyle name="Followed Hyperlink" xfId="2778" builtinId="9" hidden="1"/>
    <cellStyle name="Followed Hyperlink" xfId="2780" builtinId="9" hidden="1"/>
    <cellStyle name="Followed Hyperlink" xfId="2782" builtinId="9" hidden="1"/>
    <cellStyle name="Followed Hyperlink" xfId="2784" builtinId="9" hidden="1"/>
    <cellStyle name="Followed Hyperlink" xfId="2786" builtinId="9" hidden="1"/>
    <cellStyle name="Followed Hyperlink" xfId="2788" builtinId="9" hidden="1"/>
    <cellStyle name="Followed Hyperlink" xfId="2790" builtinId="9" hidden="1"/>
    <cellStyle name="Followed Hyperlink" xfId="2792" builtinId="9" hidden="1"/>
    <cellStyle name="Followed Hyperlink" xfId="2794" builtinId="9" hidden="1"/>
    <cellStyle name="Followed Hyperlink" xfId="2796" builtinId="9" hidden="1"/>
    <cellStyle name="Followed Hyperlink" xfId="2798" builtinId="9" hidden="1"/>
    <cellStyle name="Followed Hyperlink" xfId="2800" builtinId="9" hidden="1"/>
    <cellStyle name="Followed Hyperlink" xfId="2802" builtinId="9" hidden="1"/>
    <cellStyle name="Followed Hyperlink" xfId="2804" builtinId="9" hidden="1"/>
    <cellStyle name="Followed Hyperlink" xfId="2806" builtinId="9" hidden="1"/>
    <cellStyle name="Followed Hyperlink" xfId="2808" builtinId="9" hidden="1"/>
    <cellStyle name="Followed Hyperlink" xfId="2810" builtinId="9" hidden="1"/>
    <cellStyle name="Followed Hyperlink" xfId="2812" builtinId="9" hidden="1"/>
    <cellStyle name="Followed Hyperlink" xfId="2814" builtinId="9" hidden="1"/>
    <cellStyle name="Followed Hyperlink" xfId="2816" builtinId="9" hidden="1"/>
    <cellStyle name="Followed Hyperlink" xfId="2818" builtinId="9" hidden="1"/>
    <cellStyle name="Followed Hyperlink" xfId="2820" builtinId="9" hidden="1"/>
    <cellStyle name="Followed Hyperlink" xfId="2822" builtinId="9" hidden="1"/>
    <cellStyle name="Followed Hyperlink" xfId="2824" builtinId="9" hidden="1"/>
    <cellStyle name="Followed Hyperlink" xfId="2826" builtinId="9" hidden="1"/>
    <cellStyle name="Followed Hyperlink" xfId="2828" builtinId="9" hidden="1"/>
    <cellStyle name="Followed Hyperlink" xfId="2830" builtinId="9" hidden="1"/>
    <cellStyle name="Followed Hyperlink" xfId="2832" builtinId="9" hidden="1"/>
    <cellStyle name="Followed Hyperlink" xfId="2834" builtinId="9" hidden="1"/>
    <cellStyle name="Followed Hyperlink" xfId="2836" builtinId="9" hidden="1"/>
    <cellStyle name="Followed Hyperlink" xfId="2838" builtinId="9" hidden="1"/>
    <cellStyle name="Followed Hyperlink" xfId="2840" builtinId="9" hidden="1"/>
    <cellStyle name="Followed Hyperlink" xfId="2842" builtinId="9" hidden="1"/>
    <cellStyle name="Followed Hyperlink" xfId="2844" builtinId="9" hidden="1"/>
    <cellStyle name="Followed Hyperlink" xfId="2846" builtinId="9" hidden="1"/>
    <cellStyle name="Followed Hyperlink" xfId="2848" builtinId="9" hidden="1"/>
    <cellStyle name="Followed Hyperlink" xfId="2850" builtinId="9" hidden="1"/>
    <cellStyle name="Followed Hyperlink" xfId="2852" builtinId="9" hidden="1"/>
    <cellStyle name="Followed Hyperlink" xfId="2854" builtinId="9" hidden="1"/>
    <cellStyle name="Followed Hyperlink" xfId="2856" builtinId="9" hidden="1"/>
    <cellStyle name="Followed Hyperlink" xfId="2858" builtinId="9" hidden="1"/>
    <cellStyle name="Followed Hyperlink" xfId="2860" builtinId="9" hidden="1"/>
    <cellStyle name="Followed Hyperlink" xfId="2862" builtinId="9" hidden="1"/>
    <cellStyle name="Followed Hyperlink" xfId="2864" builtinId="9" hidden="1"/>
    <cellStyle name="Followed Hyperlink" xfId="2866" builtinId="9" hidden="1"/>
    <cellStyle name="Followed Hyperlink" xfId="2868" builtinId="9" hidden="1"/>
    <cellStyle name="Followed Hyperlink" xfId="2870" builtinId="9" hidden="1"/>
    <cellStyle name="Followed Hyperlink" xfId="2872" builtinId="9" hidden="1"/>
    <cellStyle name="Followed Hyperlink" xfId="2874" builtinId="9" hidden="1"/>
    <cellStyle name="Followed Hyperlink" xfId="2876" builtinId="9" hidden="1"/>
    <cellStyle name="Followed Hyperlink" xfId="2878" builtinId="9" hidden="1"/>
    <cellStyle name="Followed Hyperlink" xfId="2880" builtinId="9" hidden="1"/>
    <cellStyle name="Followed Hyperlink" xfId="2882" builtinId="9" hidden="1"/>
    <cellStyle name="Followed Hyperlink" xfId="2884" builtinId="9" hidden="1"/>
    <cellStyle name="Followed Hyperlink" xfId="2886" builtinId="9" hidden="1"/>
    <cellStyle name="Followed Hyperlink" xfId="2888" builtinId="9" hidden="1"/>
    <cellStyle name="Followed Hyperlink" xfId="2890" builtinId="9" hidden="1"/>
    <cellStyle name="Followed Hyperlink" xfId="2892" builtinId="9" hidden="1"/>
    <cellStyle name="Followed Hyperlink" xfId="2894" builtinId="9" hidden="1"/>
    <cellStyle name="Followed Hyperlink" xfId="2896" builtinId="9" hidden="1"/>
    <cellStyle name="Followed Hyperlink" xfId="2898" builtinId="9" hidden="1"/>
    <cellStyle name="Followed Hyperlink" xfId="2900" builtinId="9" hidden="1"/>
    <cellStyle name="Followed Hyperlink" xfId="2902" builtinId="9" hidden="1"/>
    <cellStyle name="Followed Hyperlink" xfId="2904" builtinId="9" hidden="1"/>
    <cellStyle name="Followed Hyperlink" xfId="2906" builtinId="9" hidden="1"/>
    <cellStyle name="Followed Hyperlink" xfId="2908" builtinId="9" hidden="1"/>
    <cellStyle name="Followed Hyperlink" xfId="2910" builtinId="9" hidden="1"/>
    <cellStyle name="Followed Hyperlink" xfId="2912" builtinId="9" hidden="1"/>
    <cellStyle name="Followed Hyperlink" xfId="2914" builtinId="9" hidden="1"/>
    <cellStyle name="Followed Hyperlink" xfId="2916" builtinId="9" hidden="1"/>
    <cellStyle name="Followed Hyperlink" xfId="2918" builtinId="9" hidden="1"/>
    <cellStyle name="Followed Hyperlink" xfId="2920" builtinId="9" hidden="1"/>
    <cellStyle name="Followed Hyperlink" xfId="2922" builtinId="9" hidden="1"/>
    <cellStyle name="Followed Hyperlink" xfId="2924" builtinId="9" hidden="1"/>
    <cellStyle name="Followed Hyperlink" xfId="2926" builtinId="9" hidden="1"/>
    <cellStyle name="Followed Hyperlink" xfId="2928" builtinId="9" hidden="1"/>
    <cellStyle name="Followed Hyperlink" xfId="2930" builtinId="9" hidden="1"/>
    <cellStyle name="Followed Hyperlink" xfId="2932" builtinId="9" hidden="1"/>
    <cellStyle name="Followed Hyperlink" xfId="2934" builtinId="9" hidden="1"/>
    <cellStyle name="Followed Hyperlink" xfId="2936" builtinId="9" hidden="1"/>
    <cellStyle name="Followed Hyperlink" xfId="2938" builtinId="9" hidden="1"/>
    <cellStyle name="Followed Hyperlink" xfId="2940" builtinId="9" hidden="1"/>
    <cellStyle name="Followed Hyperlink" xfId="2942" builtinId="9" hidden="1"/>
    <cellStyle name="Followed Hyperlink" xfId="2944" builtinId="9" hidden="1"/>
    <cellStyle name="Followed Hyperlink" xfId="2946" builtinId="9" hidden="1"/>
    <cellStyle name="Followed Hyperlink" xfId="2948" builtinId="9" hidden="1"/>
    <cellStyle name="Followed Hyperlink" xfId="2950" builtinId="9" hidden="1"/>
    <cellStyle name="Followed Hyperlink" xfId="2952" builtinId="9" hidden="1"/>
    <cellStyle name="Followed Hyperlink" xfId="2954" builtinId="9" hidden="1"/>
    <cellStyle name="Followed Hyperlink" xfId="2956" builtinId="9" hidden="1"/>
    <cellStyle name="Followed Hyperlink" xfId="2958" builtinId="9" hidden="1"/>
    <cellStyle name="Followed Hyperlink" xfId="2960" builtinId="9" hidden="1"/>
    <cellStyle name="Followed Hyperlink" xfId="2962" builtinId="9" hidden="1"/>
    <cellStyle name="Followed Hyperlink" xfId="2964" builtinId="9" hidden="1"/>
    <cellStyle name="Followed Hyperlink" xfId="2966" builtinId="9" hidden="1"/>
    <cellStyle name="Followed Hyperlink" xfId="2968" builtinId="9" hidden="1"/>
    <cellStyle name="Followed Hyperlink" xfId="2970" builtinId="9" hidden="1"/>
    <cellStyle name="Followed Hyperlink" xfId="2972" builtinId="9" hidden="1"/>
    <cellStyle name="Followed Hyperlink" xfId="2974" builtinId="9" hidden="1"/>
    <cellStyle name="Followed Hyperlink" xfId="2976" builtinId="9" hidden="1"/>
    <cellStyle name="Followed Hyperlink" xfId="2978" builtinId="9" hidden="1"/>
    <cellStyle name="Followed Hyperlink" xfId="2980" builtinId="9" hidden="1"/>
    <cellStyle name="Followed Hyperlink" xfId="2982" builtinId="9" hidden="1"/>
    <cellStyle name="Followed Hyperlink" xfId="2984" builtinId="9" hidden="1"/>
    <cellStyle name="Followed Hyperlink" xfId="2986" builtinId="9" hidden="1"/>
    <cellStyle name="Followed Hyperlink" xfId="2988" builtinId="9" hidden="1"/>
    <cellStyle name="Followed Hyperlink" xfId="2990" builtinId="9" hidden="1"/>
    <cellStyle name="Followed Hyperlink" xfId="2992" builtinId="9" hidden="1"/>
    <cellStyle name="Followed Hyperlink" xfId="2994" builtinId="9" hidden="1"/>
    <cellStyle name="Followed Hyperlink" xfId="2996" builtinId="9" hidden="1"/>
    <cellStyle name="Followed Hyperlink" xfId="2998" builtinId="9" hidden="1"/>
    <cellStyle name="Followed Hyperlink" xfId="3000" builtinId="9" hidden="1"/>
    <cellStyle name="Followed Hyperlink" xfId="3002" builtinId="9" hidden="1"/>
    <cellStyle name="Followed Hyperlink" xfId="3004" builtinId="9" hidden="1"/>
    <cellStyle name="Followed Hyperlink" xfId="3006" builtinId="9" hidden="1"/>
    <cellStyle name="Followed Hyperlink" xfId="3008" builtinId="9" hidden="1"/>
    <cellStyle name="Followed Hyperlink" xfId="3010" builtinId="9" hidden="1"/>
    <cellStyle name="Followed Hyperlink" xfId="3012" builtinId="9" hidden="1"/>
    <cellStyle name="Followed Hyperlink" xfId="3014" builtinId="9" hidden="1"/>
    <cellStyle name="Followed Hyperlink" xfId="3016" builtinId="9" hidden="1"/>
    <cellStyle name="Followed Hyperlink" xfId="3018" builtinId="9" hidden="1"/>
    <cellStyle name="Followed Hyperlink" xfId="3020" builtinId="9" hidden="1"/>
    <cellStyle name="Followed Hyperlink" xfId="3022" builtinId="9" hidden="1"/>
    <cellStyle name="Followed Hyperlink" xfId="3024" builtinId="9" hidden="1"/>
    <cellStyle name="Followed Hyperlink" xfId="3026" builtinId="9" hidden="1"/>
    <cellStyle name="Followed Hyperlink" xfId="3028" builtinId="9" hidden="1"/>
    <cellStyle name="Followed Hyperlink" xfId="3030" builtinId="9" hidden="1"/>
    <cellStyle name="Followed Hyperlink" xfId="3032" builtinId="9" hidden="1"/>
    <cellStyle name="Followed Hyperlink" xfId="3034" builtinId="9" hidden="1"/>
    <cellStyle name="Followed Hyperlink" xfId="3036" builtinId="9" hidden="1"/>
    <cellStyle name="Followed Hyperlink" xfId="3038" builtinId="9" hidden="1"/>
    <cellStyle name="Followed Hyperlink" xfId="3040" builtinId="9" hidden="1"/>
    <cellStyle name="Followed Hyperlink" xfId="3042" builtinId="9" hidden="1"/>
    <cellStyle name="Followed Hyperlink" xfId="3044" builtinId="9" hidden="1"/>
    <cellStyle name="Followed Hyperlink" xfId="3046" builtinId="9" hidden="1"/>
    <cellStyle name="Followed Hyperlink" xfId="3048" builtinId="9" hidden="1"/>
    <cellStyle name="Followed Hyperlink" xfId="3050" builtinId="9" hidden="1"/>
    <cellStyle name="Followed Hyperlink" xfId="3052" builtinId="9" hidden="1"/>
    <cellStyle name="Followed Hyperlink" xfId="3054" builtinId="9" hidden="1"/>
    <cellStyle name="Followed Hyperlink" xfId="3056" builtinId="9" hidden="1"/>
    <cellStyle name="Followed Hyperlink" xfId="3058" builtinId="9" hidden="1"/>
    <cellStyle name="Followed Hyperlink" xfId="3060" builtinId="9" hidden="1"/>
    <cellStyle name="Followed Hyperlink" xfId="3062" builtinId="9" hidden="1"/>
    <cellStyle name="Followed Hyperlink" xfId="3064" builtinId="9" hidden="1"/>
    <cellStyle name="Followed Hyperlink" xfId="3066" builtinId="9" hidden="1"/>
    <cellStyle name="Followed Hyperlink" xfId="3068" builtinId="9" hidden="1"/>
    <cellStyle name="Followed Hyperlink" xfId="3070" builtinId="9" hidden="1"/>
    <cellStyle name="Followed Hyperlink" xfId="3072" builtinId="9" hidden="1"/>
    <cellStyle name="Followed Hyperlink" xfId="3074" builtinId="9" hidden="1"/>
    <cellStyle name="Followed Hyperlink" xfId="3076" builtinId="9" hidden="1"/>
    <cellStyle name="Followed Hyperlink" xfId="3078" builtinId="9" hidden="1"/>
    <cellStyle name="Followed Hyperlink" xfId="3080" builtinId="9" hidden="1"/>
    <cellStyle name="Followed Hyperlink" xfId="3082" builtinId="9" hidden="1"/>
    <cellStyle name="Followed Hyperlink" xfId="3084" builtinId="9" hidden="1"/>
    <cellStyle name="Followed Hyperlink" xfId="3086" builtinId="9" hidden="1"/>
    <cellStyle name="Followed Hyperlink" xfId="3088" builtinId="9" hidden="1"/>
    <cellStyle name="Followed Hyperlink" xfId="3090" builtinId="9" hidden="1"/>
    <cellStyle name="Followed Hyperlink" xfId="3092" builtinId="9" hidden="1"/>
    <cellStyle name="Followed Hyperlink" xfId="3094" builtinId="9" hidden="1"/>
    <cellStyle name="Followed Hyperlink" xfId="3096" builtinId="9" hidden="1"/>
    <cellStyle name="Followed Hyperlink" xfId="3098" builtinId="9" hidden="1"/>
    <cellStyle name="Followed Hyperlink" xfId="3100" builtinId="9" hidden="1"/>
    <cellStyle name="Followed Hyperlink" xfId="3102" builtinId="9" hidden="1"/>
    <cellStyle name="Followed Hyperlink" xfId="3104" builtinId="9" hidden="1"/>
    <cellStyle name="Followed Hyperlink" xfId="3106" builtinId="9" hidden="1"/>
    <cellStyle name="Followed Hyperlink" xfId="3108" builtinId="9" hidden="1"/>
    <cellStyle name="Followed Hyperlink" xfId="3110" builtinId="9" hidden="1"/>
    <cellStyle name="Followed Hyperlink" xfId="3112" builtinId="9" hidden="1"/>
    <cellStyle name="Followed Hyperlink" xfId="3114" builtinId="9" hidden="1"/>
    <cellStyle name="Followed Hyperlink" xfId="3116" builtinId="9" hidden="1"/>
    <cellStyle name="Followed Hyperlink" xfId="3118" builtinId="9" hidden="1"/>
    <cellStyle name="Followed Hyperlink" xfId="3120" builtinId="9" hidden="1"/>
    <cellStyle name="Followed Hyperlink" xfId="3122" builtinId="9" hidden="1"/>
    <cellStyle name="Followed Hyperlink" xfId="3124" builtinId="9" hidden="1"/>
    <cellStyle name="Followed Hyperlink" xfId="3126" builtinId="9" hidden="1"/>
    <cellStyle name="Followed Hyperlink" xfId="3128" builtinId="9" hidden="1"/>
    <cellStyle name="Followed Hyperlink" xfId="3130" builtinId="9" hidden="1"/>
    <cellStyle name="Followed Hyperlink" xfId="3132" builtinId="9" hidden="1"/>
    <cellStyle name="Followed Hyperlink" xfId="3134" builtinId="9" hidden="1"/>
    <cellStyle name="Followed Hyperlink" xfId="3136" builtinId="9" hidden="1"/>
    <cellStyle name="Followed Hyperlink" xfId="3138" builtinId="9" hidden="1"/>
    <cellStyle name="Followed Hyperlink" xfId="3140" builtinId="9" hidden="1"/>
    <cellStyle name="Followed Hyperlink" xfId="3142" builtinId="9" hidden="1"/>
    <cellStyle name="Followed Hyperlink" xfId="3144" builtinId="9" hidden="1"/>
    <cellStyle name="Followed Hyperlink" xfId="3146" builtinId="9" hidden="1"/>
    <cellStyle name="Followed Hyperlink" xfId="3148" builtinId="9" hidden="1"/>
    <cellStyle name="Followed Hyperlink" xfId="3150" builtinId="9" hidden="1"/>
    <cellStyle name="Followed Hyperlink" xfId="3152" builtinId="9" hidden="1"/>
    <cellStyle name="Followed Hyperlink" xfId="3154" builtinId="9" hidden="1"/>
    <cellStyle name="Followed Hyperlink" xfId="3156" builtinId="9" hidden="1"/>
    <cellStyle name="Followed Hyperlink" xfId="3158" builtinId="9" hidden="1"/>
    <cellStyle name="Followed Hyperlink" xfId="3160" builtinId="9" hidden="1"/>
    <cellStyle name="Followed Hyperlink" xfId="3162" builtinId="9" hidden="1"/>
    <cellStyle name="Followed Hyperlink" xfId="3164" builtinId="9" hidden="1"/>
    <cellStyle name="Followed Hyperlink" xfId="3166" builtinId="9" hidden="1"/>
    <cellStyle name="Followed Hyperlink" xfId="3168" builtinId="9" hidden="1"/>
    <cellStyle name="Followed Hyperlink" xfId="3170" builtinId="9" hidden="1"/>
    <cellStyle name="Followed Hyperlink" xfId="3172" builtinId="9" hidden="1"/>
    <cellStyle name="Followed Hyperlink" xfId="3174" builtinId="9" hidden="1"/>
    <cellStyle name="Followed Hyperlink" xfId="3176" builtinId="9" hidden="1"/>
    <cellStyle name="Followed Hyperlink" xfId="3178" builtinId="9" hidden="1"/>
    <cellStyle name="Followed Hyperlink" xfId="3180" builtinId="9" hidden="1"/>
    <cellStyle name="Followed Hyperlink" xfId="3182" builtinId="9" hidden="1"/>
    <cellStyle name="Followed Hyperlink" xfId="3184" builtinId="9" hidden="1"/>
    <cellStyle name="Followed Hyperlink" xfId="3186" builtinId="9" hidden="1"/>
    <cellStyle name="Followed Hyperlink" xfId="3188" builtinId="9" hidden="1"/>
    <cellStyle name="Followed Hyperlink" xfId="3190" builtinId="9" hidden="1"/>
    <cellStyle name="Followed Hyperlink" xfId="3192" builtinId="9" hidden="1"/>
    <cellStyle name="Followed Hyperlink" xfId="3194" builtinId="9" hidden="1"/>
    <cellStyle name="Followed Hyperlink" xfId="3196" builtinId="9" hidden="1"/>
    <cellStyle name="Followed Hyperlink" xfId="3198" builtinId="9" hidden="1"/>
    <cellStyle name="Followed Hyperlink" xfId="3200" builtinId="9" hidden="1"/>
    <cellStyle name="Followed Hyperlink" xfId="3202" builtinId="9" hidden="1"/>
    <cellStyle name="Followed Hyperlink" xfId="3204" builtinId="9" hidden="1"/>
    <cellStyle name="Followed Hyperlink" xfId="3206" builtinId="9" hidden="1"/>
    <cellStyle name="Followed Hyperlink" xfId="3208" builtinId="9" hidden="1"/>
    <cellStyle name="Followed Hyperlink" xfId="3210" builtinId="9" hidden="1"/>
    <cellStyle name="Followed Hyperlink" xfId="3212" builtinId="9" hidden="1"/>
    <cellStyle name="Followed Hyperlink" xfId="3214" builtinId="9" hidden="1"/>
    <cellStyle name="Followed Hyperlink" xfId="3216" builtinId="9" hidden="1"/>
    <cellStyle name="Followed Hyperlink" xfId="3218" builtinId="9" hidden="1"/>
    <cellStyle name="Followed Hyperlink" xfId="3220" builtinId="9" hidden="1"/>
    <cellStyle name="Followed Hyperlink" xfId="3222" builtinId="9" hidden="1"/>
    <cellStyle name="Followed Hyperlink" xfId="3224" builtinId="9" hidden="1"/>
    <cellStyle name="Followed Hyperlink" xfId="3226" builtinId="9" hidden="1"/>
    <cellStyle name="Followed Hyperlink" xfId="3228" builtinId="9" hidden="1"/>
    <cellStyle name="Followed Hyperlink" xfId="3230" builtinId="9" hidden="1"/>
    <cellStyle name="Followed Hyperlink" xfId="3232" builtinId="9" hidden="1"/>
    <cellStyle name="Followed Hyperlink" xfId="3234" builtinId="9" hidden="1"/>
    <cellStyle name="Followed Hyperlink" xfId="3236" builtinId="9" hidden="1"/>
    <cellStyle name="Followed Hyperlink" xfId="3238" builtinId="9" hidden="1"/>
    <cellStyle name="Followed Hyperlink" xfId="3240" builtinId="9" hidden="1"/>
    <cellStyle name="Followed Hyperlink" xfId="3242" builtinId="9" hidden="1"/>
    <cellStyle name="Followed Hyperlink" xfId="3244" builtinId="9" hidden="1"/>
    <cellStyle name="Followed Hyperlink" xfId="3246" builtinId="9" hidden="1"/>
    <cellStyle name="Followed Hyperlink" xfId="3248" builtinId="9" hidden="1"/>
    <cellStyle name="Followed Hyperlink" xfId="3250" builtinId="9" hidden="1"/>
    <cellStyle name="Followed Hyperlink" xfId="3252" builtinId="9" hidden="1"/>
    <cellStyle name="Followed Hyperlink" xfId="3254" builtinId="9" hidden="1"/>
    <cellStyle name="Followed Hyperlink" xfId="3256" builtinId="9" hidden="1"/>
    <cellStyle name="Followed Hyperlink" xfId="3258" builtinId="9" hidden="1"/>
    <cellStyle name="Followed Hyperlink" xfId="3260" builtinId="9" hidden="1"/>
    <cellStyle name="Followed Hyperlink" xfId="3262" builtinId="9" hidden="1"/>
    <cellStyle name="Followed Hyperlink" xfId="3264" builtinId="9" hidden="1"/>
    <cellStyle name="Followed Hyperlink" xfId="3266" builtinId="9" hidden="1"/>
    <cellStyle name="Followed Hyperlink" xfId="3268" builtinId="9" hidden="1"/>
    <cellStyle name="Followed Hyperlink" xfId="3270" builtinId="9" hidden="1"/>
    <cellStyle name="Followed Hyperlink" xfId="3272" builtinId="9" hidden="1"/>
    <cellStyle name="Followed Hyperlink" xfId="3274" builtinId="9" hidden="1"/>
    <cellStyle name="Followed Hyperlink" xfId="3276" builtinId="9" hidden="1"/>
    <cellStyle name="Followed Hyperlink" xfId="3278" builtinId="9" hidden="1"/>
    <cellStyle name="Followed Hyperlink" xfId="3280" builtinId="9" hidden="1"/>
    <cellStyle name="Followed Hyperlink" xfId="3282" builtinId="9" hidden="1"/>
    <cellStyle name="Followed Hyperlink" xfId="3284" builtinId="9" hidden="1"/>
    <cellStyle name="Followed Hyperlink" xfId="3286" builtinId="9" hidden="1"/>
    <cellStyle name="Followed Hyperlink" xfId="3288" builtinId="9" hidden="1"/>
    <cellStyle name="Followed Hyperlink" xfId="3290" builtinId="9" hidden="1"/>
    <cellStyle name="Followed Hyperlink" xfId="3292" builtinId="9" hidden="1"/>
    <cellStyle name="Followed Hyperlink" xfId="3294" builtinId="9" hidden="1"/>
    <cellStyle name="Followed Hyperlink" xfId="3296" builtinId="9" hidden="1"/>
    <cellStyle name="Followed Hyperlink" xfId="3298" builtinId="9" hidden="1"/>
    <cellStyle name="Followed Hyperlink" xfId="3300" builtinId="9" hidden="1"/>
    <cellStyle name="Followed Hyperlink" xfId="3302" builtinId="9" hidden="1"/>
    <cellStyle name="Followed Hyperlink" xfId="3304" builtinId="9" hidden="1"/>
    <cellStyle name="Followed Hyperlink" xfId="3306" builtinId="9" hidden="1"/>
    <cellStyle name="Followed Hyperlink" xfId="3308" builtinId="9" hidden="1"/>
    <cellStyle name="Followed Hyperlink" xfId="3310" builtinId="9" hidden="1"/>
    <cellStyle name="Followed Hyperlink" xfId="3312" builtinId="9" hidden="1"/>
    <cellStyle name="Followed Hyperlink" xfId="3314" builtinId="9" hidden="1"/>
    <cellStyle name="Followed Hyperlink" xfId="3316" builtinId="9" hidden="1"/>
    <cellStyle name="Followed Hyperlink" xfId="3318" builtinId="9" hidden="1"/>
    <cellStyle name="Followed Hyperlink" xfId="3320" builtinId="9" hidden="1"/>
    <cellStyle name="Followed Hyperlink" xfId="3322" builtinId="9" hidden="1"/>
    <cellStyle name="Followed Hyperlink" xfId="3324" builtinId="9" hidden="1"/>
    <cellStyle name="Followed Hyperlink" xfId="3326" builtinId="9" hidden="1"/>
    <cellStyle name="Followed Hyperlink" xfId="3328" builtinId="9" hidden="1"/>
    <cellStyle name="Followed Hyperlink" xfId="3330" builtinId="9" hidden="1"/>
    <cellStyle name="Followed Hyperlink" xfId="3332" builtinId="9" hidden="1"/>
    <cellStyle name="Followed Hyperlink" xfId="3334" builtinId="9" hidden="1"/>
    <cellStyle name="Followed Hyperlink" xfId="3336" builtinId="9" hidden="1"/>
    <cellStyle name="Followed Hyperlink" xfId="3338" builtinId="9" hidden="1"/>
    <cellStyle name="Followed Hyperlink" xfId="3340" builtinId="9" hidden="1"/>
    <cellStyle name="Followed Hyperlink" xfId="3342" builtinId="9" hidden="1"/>
    <cellStyle name="Followed Hyperlink" xfId="3344" builtinId="9" hidden="1"/>
    <cellStyle name="Followed Hyperlink" xfId="3346" builtinId="9" hidden="1"/>
    <cellStyle name="Followed Hyperlink" xfId="3348" builtinId="9" hidden="1"/>
    <cellStyle name="Followed Hyperlink" xfId="3350" builtinId="9" hidden="1"/>
    <cellStyle name="Followed Hyperlink" xfId="3352" builtinId="9" hidden="1"/>
    <cellStyle name="Followed Hyperlink" xfId="3354" builtinId="9" hidden="1"/>
    <cellStyle name="Followed Hyperlink" xfId="3356" builtinId="9" hidden="1"/>
    <cellStyle name="Followed Hyperlink" xfId="3358" builtinId="9" hidden="1"/>
    <cellStyle name="Followed Hyperlink" xfId="3360" builtinId="9" hidden="1"/>
    <cellStyle name="Followed Hyperlink" xfId="3362" builtinId="9" hidden="1"/>
    <cellStyle name="Followed Hyperlink" xfId="3364" builtinId="9" hidden="1"/>
    <cellStyle name="Followed Hyperlink" xfId="3366" builtinId="9" hidden="1"/>
    <cellStyle name="Followed Hyperlink" xfId="3368" builtinId="9" hidden="1"/>
    <cellStyle name="Followed Hyperlink" xfId="3370" builtinId="9" hidden="1"/>
    <cellStyle name="Followed Hyperlink" xfId="3372" builtinId="9" hidden="1"/>
    <cellStyle name="Followed Hyperlink" xfId="3374" builtinId="9" hidden="1"/>
    <cellStyle name="Followed Hyperlink" xfId="3376" builtinId="9" hidden="1"/>
    <cellStyle name="Followed Hyperlink" xfId="3378" builtinId="9" hidden="1"/>
    <cellStyle name="Followed Hyperlink" xfId="3380" builtinId="9" hidden="1"/>
    <cellStyle name="Followed Hyperlink" xfId="3382" builtinId="9" hidden="1"/>
    <cellStyle name="Followed Hyperlink" xfId="3384" builtinId="9" hidden="1"/>
    <cellStyle name="Followed Hyperlink" xfId="3386" builtinId="9" hidden="1"/>
    <cellStyle name="Followed Hyperlink" xfId="3388" builtinId="9" hidden="1"/>
    <cellStyle name="Followed Hyperlink" xfId="3390" builtinId="9" hidden="1"/>
    <cellStyle name="Followed Hyperlink" xfId="3392" builtinId="9" hidden="1"/>
    <cellStyle name="Followed Hyperlink" xfId="3394" builtinId="9" hidden="1"/>
    <cellStyle name="Followed Hyperlink" xfId="3396" builtinId="9" hidden="1"/>
    <cellStyle name="Followed Hyperlink" xfId="3398" builtinId="9" hidden="1"/>
    <cellStyle name="Followed Hyperlink" xfId="3400" builtinId="9" hidden="1"/>
    <cellStyle name="Followed Hyperlink" xfId="3402" builtinId="9" hidden="1"/>
    <cellStyle name="Followed Hyperlink" xfId="3404" builtinId="9" hidden="1"/>
    <cellStyle name="Followed Hyperlink" xfId="3406" builtinId="9" hidden="1"/>
    <cellStyle name="Followed Hyperlink" xfId="3408" builtinId="9" hidden="1"/>
    <cellStyle name="Followed Hyperlink" xfId="3410" builtinId="9" hidden="1"/>
    <cellStyle name="Followed Hyperlink" xfId="3412" builtinId="9" hidden="1"/>
    <cellStyle name="Followed Hyperlink" xfId="3414" builtinId="9" hidden="1"/>
    <cellStyle name="Followed Hyperlink" xfId="3416" builtinId="9" hidden="1"/>
    <cellStyle name="Followed Hyperlink" xfId="3418" builtinId="9" hidden="1"/>
    <cellStyle name="Followed Hyperlink" xfId="3420" builtinId="9" hidden="1"/>
    <cellStyle name="Followed Hyperlink" xfId="3422" builtinId="9" hidden="1"/>
    <cellStyle name="Followed Hyperlink" xfId="3424" builtinId="9" hidden="1"/>
    <cellStyle name="Followed Hyperlink" xfId="3426" builtinId="9" hidden="1"/>
    <cellStyle name="Followed Hyperlink" xfId="3428" builtinId="9" hidden="1"/>
    <cellStyle name="Followed Hyperlink" xfId="3430" builtinId="9" hidden="1"/>
    <cellStyle name="Followed Hyperlink" xfId="3432" builtinId="9" hidden="1"/>
    <cellStyle name="Followed Hyperlink" xfId="3434" builtinId="9" hidden="1"/>
    <cellStyle name="Followed Hyperlink" xfId="3436" builtinId="9" hidden="1"/>
    <cellStyle name="Followed Hyperlink" xfId="3438" builtinId="9" hidden="1"/>
    <cellStyle name="Followed Hyperlink" xfId="3440" builtinId="9" hidden="1"/>
    <cellStyle name="Followed Hyperlink" xfId="3442" builtinId="9" hidden="1"/>
    <cellStyle name="Followed Hyperlink" xfId="3444" builtinId="9" hidden="1"/>
    <cellStyle name="Followed Hyperlink" xfId="3446" builtinId="9" hidden="1"/>
    <cellStyle name="Followed Hyperlink" xfId="3448" builtinId="9" hidden="1"/>
    <cellStyle name="Followed Hyperlink" xfId="3450" builtinId="9" hidden="1"/>
    <cellStyle name="Followed Hyperlink" xfId="3452" builtinId="9" hidden="1"/>
    <cellStyle name="Followed Hyperlink" xfId="3454" builtinId="9" hidden="1"/>
    <cellStyle name="Followed Hyperlink" xfId="3456" builtinId="9" hidden="1"/>
    <cellStyle name="Followed Hyperlink" xfId="3458" builtinId="9" hidden="1"/>
    <cellStyle name="Followed Hyperlink" xfId="3460" builtinId="9" hidden="1"/>
    <cellStyle name="Followed Hyperlink" xfId="3462" builtinId="9" hidden="1"/>
    <cellStyle name="Followed Hyperlink" xfId="3464" builtinId="9" hidden="1"/>
    <cellStyle name="Followed Hyperlink" xfId="3466" builtinId="9" hidden="1"/>
    <cellStyle name="Followed Hyperlink" xfId="3468" builtinId="9" hidden="1"/>
    <cellStyle name="Followed Hyperlink" xfId="3470" builtinId="9" hidden="1"/>
    <cellStyle name="Followed Hyperlink" xfId="3472" builtinId="9" hidden="1"/>
    <cellStyle name="Followed Hyperlink" xfId="3474" builtinId="9" hidden="1"/>
    <cellStyle name="Followed Hyperlink" xfId="3476" builtinId="9" hidden="1"/>
    <cellStyle name="Followed Hyperlink" xfId="3478" builtinId="9" hidden="1"/>
    <cellStyle name="Followed Hyperlink" xfId="3480" builtinId="9" hidden="1"/>
    <cellStyle name="Followed Hyperlink" xfId="3482" builtinId="9" hidden="1"/>
    <cellStyle name="Followed Hyperlink" xfId="3484" builtinId="9" hidden="1"/>
    <cellStyle name="Followed Hyperlink" xfId="3486" builtinId="9" hidden="1"/>
    <cellStyle name="Followed Hyperlink" xfId="3488" builtinId="9" hidden="1"/>
    <cellStyle name="Followed Hyperlink" xfId="3490" builtinId="9" hidden="1"/>
    <cellStyle name="Followed Hyperlink" xfId="3492" builtinId="9" hidden="1"/>
    <cellStyle name="Followed Hyperlink" xfId="3494" builtinId="9" hidden="1"/>
    <cellStyle name="Followed Hyperlink" xfId="3496" builtinId="9" hidden="1"/>
    <cellStyle name="Followed Hyperlink" xfId="3498" builtinId="9" hidden="1"/>
    <cellStyle name="Followed Hyperlink" xfId="3500" builtinId="9" hidden="1"/>
    <cellStyle name="Followed Hyperlink" xfId="3502" builtinId="9" hidden="1"/>
    <cellStyle name="Followed Hyperlink" xfId="3504" builtinId="9" hidden="1"/>
    <cellStyle name="Followed Hyperlink" xfId="3506" builtinId="9" hidden="1"/>
    <cellStyle name="Followed Hyperlink" xfId="3508" builtinId="9" hidden="1"/>
    <cellStyle name="Followed Hyperlink" xfId="3510" builtinId="9" hidden="1"/>
    <cellStyle name="Followed Hyperlink" xfId="3512" builtinId="9" hidden="1"/>
    <cellStyle name="Followed Hyperlink" xfId="3514" builtinId="9" hidden="1"/>
    <cellStyle name="Followed Hyperlink" xfId="3516" builtinId="9" hidden="1"/>
    <cellStyle name="Followed Hyperlink" xfId="3518" builtinId="9" hidden="1"/>
    <cellStyle name="Followed Hyperlink" xfId="3520" builtinId="9" hidden="1"/>
    <cellStyle name="Followed Hyperlink" xfId="3522" builtinId="9" hidden="1"/>
    <cellStyle name="Followed Hyperlink" xfId="3524" builtinId="9" hidden="1"/>
    <cellStyle name="Followed Hyperlink" xfId="3526" builtinId="9" hidden="1"/>
    <cellStyle name="Followed Hyperlink" xfId="3528" builtinId="9" hidden="1"/>
    <cellStyle name="Followed Hyperlink" xfId="3530" builtinId="9" hidden="1"/>
    <cellStyle name="Followed Hyperlink" xfId="3532" builtinId="9" hidden="1"/>
    <cellStyle name="Followed Hyperlink" xfId="3534" builtinId="9" hidden="1"/>
    <cellStyle name="Followed Hyperlink" xfId="3536" builtinId="9" hidden="1"/>
    <cellStyle name="Followed Hyperlink" xfId="3538" builtinId="9" hidden="1"/>
    <cellStyle name="Followed Hyperlink" xfId="3540" builtinId="9" hidden="1"/>
    <cellStyle name="Followed Hyperlink" xfId="3542" builtinId="9" hidden="1"/>
    <cellStyle name="Followed Hyperlink" xfId="3544" builtinId="9" hidden="1"/>
    <cellStyle name="Followed Hyperlink" xfId="3546" builtinId="9" hidden="1"/>
    <cellStyle name="Followed Hyperlink" xfId="3548" builtinId="9" hidden="1"/>
    <cellStyle name="Followed Hyperlink" xfId="3550" builtinId="9" hidden="1"/>
    <cellStyle name="Followed Hyperlink" xfId="3552" builtinId="9" hidden="1"/>
    <cellStyle name="Followed Hyperlink" xfId="3554" builtinId="9" hidden="1"/>
    <cellStyle name="Followed Hyperlink" xfId="3556" builtinId="9" hidden="1"/>
    <cellStyle name="Followed Hyperlink" xfId="3558" builtinId="9" hidden="1"/>
    <cellStyle name="Followed Hyperlink" xfId="3560" builtinId="9" hidden="1"/>
    <cellStyle name="Followed Hyperlink" xfId="3562" builtinId="9" hidden="1"/>
    <cellStyle name="Followed Hyperlink" xfId="3564" builtinId="9" hidden="1"/>
    <cellStyle name="Followed Hyperlink" xfId="3566" builtinId="9" hidden="1"/>
    <cellStyle name="Followed Hyperlink" xfId="3568" builtinId="9" hidden="1"/>
    <cellStyle name="Followed Hyperlink" xfId="3570" builtinId="9" hidden="1"/>
    <cellStyle name="Followed Hyperlink" xfId="3572" builtinId="9" hidden="1"/>
    <cellStyle name="Followed Hyperlink" xfId="3574" builtinId="9" hidden="1"/>
    <cellStyle name="Followed Hyperlink" xfId="3576" builtinId="9" hidden="1"/>
    <cellStyle name="Followed Hyperlink" xfId="3578" builtinId="9" hidden="1"/>
    <cellStyle name="Followed Hyperlink" xfId="3580" builtinId="9" hidden="1"/>
    <cellStyle name="Followed Hyperlink" xfId="3582" builtinId="9" hidden="1"/>
    <cellStyle name="Followed Hyperlink" xfId="3584" builtinId="9" hidden="1"/>
    <cellStyle name="Followed Hyperlink" xfId="3586" builtinId="9" hidden="1"/>
    <cellStyle name="Followed Hyperlink" xfId="3588" builtinId="9" hidden="1"/>
    <cellStyle name="Followed Hyperlink" xfId="3590" builtinId="9" hidden="1"/>
    <cellStyle name="Followed Hyperlink" xfId="3592" builtinId="9" hidden="1"/>
    <cellStyle name="Followed Hyperlink" xfId="3594" builtinId="9" hidden="1"/>
    <cellStyle name="Followed Hyperlink" xfId="3596" builtinId="9" hidden="1"/>
    <cellStyle name="Followed Hyperlink" xfId="3598" builtinId="9" hidden="1"/>
    <cellStyle name="Followed Hyperlink" xfId="3600" builtinId="9" hidden="1"/>
    <cellStyle name="Followed Hyperlink" xfId="3602" builtinId="9" hidden="1"/>
    <cellStyle name="Followed Hyperlink" xfId="3604" builtinId="9" hidden="1"/>
    <cellStyle name="Followed Hyperlink" xfId="3606" builtinId="9" hidden="1"/>
    <cellStyle name="Followed Hyperlink" xfId="3608" builtinId="9" hidden="1"/>
    <cellStyle name="Followed Hyperlink" xfId="3610" builtinId="9" hidden="1"/>
    <cellStyle name="Followed Hyperlink" xfId="3612" builtinId="9" hidden="1"/>
    <cellStyle name="Followed Hyperlink" xfId="3614" builtinId="9" hidden="1"/>
    <cellStyle name="Followed Hyperlink" xfId="3616" builtinId="9" hidden="1"/>
    <cellStyle name="Followed Hyperlink" xfId="3618" builtinId="9" hidden="1"/>
    <cellStyle name="Followed Hyperlink" xfId="3620" builtinId="9" hidden="1"/>
    <cellStyle name="Followed Hyperlink" xfId="3622" builtinId="9" hidden="1"/>
    <cellStyle name="Followed Hyperlink" xfId="3624" builtinId="9" hidden="1"/>
    <cellStyle name="Followed Hyperlink" xfId="3626" builtinId="9" hidden="1"/>
    <cellStyle name="Followed Hyperlink" xfId="3628" builtinId="9" hidden="1"/>
    <cellStyle name="Followed Hyperlink" xfId="3630" builtinId="9" hidden="1"/>
    <cellStyle name="Followed Hyperlink" xfId="3632" builtinId="9" hidden="1"/>
    <cellStyle name="Followed Hyperlink" xfId="3634" builtinId="9" hidden="1"/>
    <cellStyle name="Followed Hyperlink" xfId="3636" builtinId="9" hidden="1"/>
    <cellStyle name="Followed Hyperlink" xfId="3638" builtinId="9" hidden="1"/>
    <cellStyle name="Followed Hyperlink" xfId="3640" builtinId="9" hidden="1"/>
    <cellStyle name="Followed Hyperlink" xfId="3642" builtinId="9" hidden="1"/>
    <cellStyle name="Followed Hyperlink" xfId="3644" builtinId="9" hidden="1"/>
    <cellStyle name="Followed Hyperlink" xfId="3646" builtinId="9" hidden="1"/>
    <cellStyle name="Followed Hyperlink" xfId="3648" builtinId="9" hidden="1"/>
    <cellStyle name="Followed Hyperlink" xfId="3650" builtinId="9" hidden="1"/>
    <cellStyle name="Followed Hyperlink" xfId="3652" builtinId="9" hidden="1"/>
    <cellStyle name="Followed Hyperlink" xfId="3654" builtinId="9" hidden="1"/>
    <cellStyle name="Followed Hyperlink" xfId="3656" builtinId="9" hidden="1"/>
    <cellStyle name="Followed Hyperlink" xfId="3658" builtinId="9" hidden="1"/>
    <cellStyle name="Followed Hyperlink" xfId="3660" builtinId="9" hidden="1"/>
    <cellStyle name="Followed Hyperlink" xfId="3662" builtinId="9" hidden="1"/>
    <cellStyle name="Followed Hyperlink" xfId="3664" builtinId="9" hidden="1"/>
    <cellStyle name="Followed Hyperlink" xfId="3666" builtinId="9" hidden="1"/>
    <cellStyle name="Followed Hyperlink" xfId="3668" builtinId="9" hidden="1"/>
    <cellStyle name="Followed Hyperlink" xfId="3670" builtinId="9" hidden="1"/>
    <cellStyle name="Followed Hyperlink" xfId="3672" builtinId="9" hidden="1"/>
    <cellStyle name="Followed Hyperlink" xfId="3674" builtinId="9" hidden="1"/>
    <cellStyle name="Followed Hyperlink" xfId="3676" builtinId="9" hidden="1"/>
    <cellStyle name="Followed Hyperlink" xfId="3678" builtinId="9" hidden="1"/>
    <cellStyle name="Followed Hyperlink" xfId="3680" builtinId="9" hidden="1"/>
    <cellStyle name="Followed Hyperlink" xfId="3682" builtinId="9" hidden="1"/>
    <cellStyle name="Followed Hyperlink" xfId="3684" builtinId="9" hidden="1"/>
    <cellStyle name="Followed Hyperlink" xfId="3686" builtinId="9" hidden="1"/>
    <cellStyle name="Followed Hyperlink" xfId="3688" builtinId="9" hidden="1"/>
    <cellStyle name="Followed Hyperlink" xfId="3690" builtinId="9" hidden="1"/>
    <cellStyle name="Followed Hyperlink" xfId="3692" builtinId="9" hidden="1"/>
    <cellStyle name="Followed Hyperlink" xfId="3694" builtinId="9" hidden="1"/>
    <cellStyle name="Followed Hyperlink" xfId="3696" builtinId="9" hidden="1"/>
    <cellStyle name="Followed Hyperlink" xfId="3698" builtinId="9" hidden="1"/>
    <cellStyle name="Followed Hyperlink" xfId="3700" builtinId="9" hidden="1"/>
    <cellStyle name="Followed Hyperlink" xfId="3702" builtinId="9" hidden="1"/>
    <cellStyle name="Followed Hyperlink" xfId="3704" builtinId="9" hidden="1"/>
    <cellStyle name="Followed Hyperlink" xfId="3706" builtinId="9" hidden="1"/>
    <cellStyle name="Followed Hyperlink" xfId="3708" builtinId="9" hidden="1"/>
    <cellStyle name="Followed Hyperlink" xfId="3710" builtinId="9" hidden="1"/>
    <cellStyle name="Followed Hyperlink" xfId="3712" builtinId="9" hidden="1"/>
    <cellStyle name="Followed Hyperlink" xfId="3714" builtinId="9" hidden="1"/>
    <cellStyle name="Followed Hyperlink" xfId="3716" builtinId="9" hidden="1"/>
    <cellStyle name="Followed Hyperlink" xfId="3718" builtinId="9" hidden="1"/>
    <cellStyle name="Followed Hyperlink" xfId="3720" builtinId="9" hidden="1"/>
    <cellStyle name="Followed Hyperlink" xfId="3722" builtinId="9" hidden="1"/>
    <cellStyle name="Followed Hyperlink" xfId="3724" builtinId="9" hidden="1"/>
    <cellStyle name="Followed Hyperlink" xfId="3726" builtinId="9" hidden="1"/>
    <cellStyle name="Followed Hyperlink" xfId="3728" builtinId="9" hidden="1"/>
    <cellStyle name="Followed Hyperlink" xfId="3730" builtinId="9" hidden="1"/>
    <cellStyle name="Followed Hyperlink" xfId="3732" builtinId="9" hidden="1"/>
    <cellStyle name="Followed Hyperlink" xfId="3734" builtinId="9" hidden="1"/>
    <cellStyle name="Followed Hyperlink" xfId="3736" builtinId="9" hidden="1"/>
    <cellStyle name="Followed Hyperlink" xfId="3738" builtinId="9" hidden="1"/>
    <cellStyle name="Followed Hyperlink" xfId="3740" builtinId="9" hidden="1"/>
    <cellStyle name="Followed Hyperlink" xfId="3742" builtinId="9" hidden="1"/>
    <cellStyle name="Followed Hyperlink" xfId="3744" builtinId="9" hidden="1"/>
    <cellStyle name="Followed Hyperlink" xfId="3746" builtinId="9" hidden="1"/>
    <cellStyle name="Followed Hyperlink" xfId="3748" builtinId="9" hidden="1"/>
    <cellStyle name="Followed Hyperlink" xfId="3750" builtinId="9" hidden="1"/>
    <cellStyle name="Followed Hyperlink" xfId="3752" builtinId="9" hidden="1"/>
    <cellStyle name="Followed Hyperlink" xfId="3754" builtinId="9" hidden="1"/>
    <cellStyle name="Followed Hyperlink" xfId="3756" builtinId="9" hidden="1"/>
    <cellStyle name="Followed Hyperlink" xfId="3758" builtinId="9" hidden="1"/>
    <cellStyle name="Followed Hyperlink" xfId="3760" builtinId="9" hidden="1"/>
    <cellStyle name="Followed Hyperlink" xfId="3762" builtinId="9" hidden="1"/>
    <cellStyle name="Followed Hyperlink" xfId="3764" builtinId="9" hidden="1"/>
    <cellStyle name="Followed Hyperlink" xfId="3766" builtinId="9" hidden="1"/>
    <cellStyle name="Followed Hyperlink" xfId="3768" builtinId="9" hidden="1"/>
    <cellStyle name="Followed Hyperlink" xfId="3770" builtinId="9" hidden="1"/>
    <cellStyle name="Followed Hyperlink" xfId="3772" builtinId="9" hidden="1"/>
    <cellStyle name="Followed Hyperlink" xfId="3774" builtinId="9" hidden="1"/>
    <cellStyle name="Followed Hyperlink" xfId="3776" builtinId="9" hidden="1"/>
    <cellStyle name="Followed Hyperlink" xfId="3778" builtinId="9" hidden="1"/>
    <cellStyle name="Followed Hyperlink" xfId="3780" builtinId="9" hidden="1"/>
    <cellStyle name="Followed Hyperlink" xfId="3782" builtinId="9" hidden="1"/>
    <cellStyle name="Followed Hyperlink" xfId="3784" builtinId="9" hidden="1"/>
    <cellStyle name="Followed Hyperlink" xfId="3786" builtinId="9" hidden="1"/>
    <cellStyle name="Followed Hyperlink" xfId="3788" builtinId="9" hidden="1"/>
    <cellStyle name="Followed Hyperlink" xfId="3790" builtinId="9" hidden="1"/>
    <cellStyle name="Followed Hyperlink" xfId="3792" builtinId="9" hidden="1"/>
    <cellStyle name="Followed Hyperlink" xfId="3794" builtinId="9" hidden="1"/>
    <cellStyle name="Followed Hyperlink" xfId="3796" builtinId="9" hidden="1"/>
    <cellStyle name="Followed Hyperlink" xfId="3798" builtinId="9" hidden="1"/>
    <cellStyle name="Followed Hyperlink" xfId="3800" builtinId="9" hidden="1"/>
    <cellStyle name="Followed Hyperlink" xfId="3802" builtinId="9" hidden="1"/>
    <cellStyle name="Followed Hyperlink" xfId="3804" builtinId="9" hidden="1"/>
    <cellStyle name="Followed Hyperlink" xfId="3806" builtinId="9" hidden="1"/>
    <cellStyle name="Followed Hyperlink" xfId="3808" builtinId="9" hidden="1"/>
    <cellStyle name="Followed Hyperlink" xfId="3810" builtinId="9" hidden="1"/>
    <cellStyle name="Followed Hyperlink" xfId="3812" builtinId="9" hidden="1"/>
    <cellStyle name="Followed Hyperlink" xfId="3814" builtinId="9" hidden="1"/>
    <cellStyle name="Followed Hyperlink" xfId="3816" builtinId="9" hidden="1"/>
    <cellStyle name="Followed Hyperlink" xfId="3818" builtinId="9" hidden="1"/>
    <cellStyle name="Followed Hyperlink" xfId="3820" builtinId="9" hidden="1"/>
    <cellStyle name="Followed Hyperlink" xfId="3822" builtinId="9" hidden="1"/>
    <cellStyle name="Followed Hyperlink" xfId="3824" builtinId="9" hidden="1"/>
    <cellStyle name="Followed Hyperlink" xfId="3826" builtinId="9" hidden="1"/>
    <cellStyle name="Followed Hyperlink" xfId="3828" builtinId="9" hidden="1"/>
    <cellStyle name="Followed Hyperlink" xfId="3830" builtinId="9" hidden="1"/>
    <cellStyle name="Followed Hyperlink" xfId="3832" builtinId="9" hidden="1"/>
    <cellStyle name="Followed Hyperlink" xfId="3834" builtinId="9" hidden="1"/>
    <cellStyle name="Followed Hyperlink" xfId="3836" builtinId="9" hidden="1"/>
    <cellStyle name="Followed Hyperlink" xfId="3838" builtinId="9" hidden="1"/>
    <cellStyle name="Followed Hyperlink" xfId="3840" builtinId="9" hidden="1"/>
    <cellStyle name="Followed Hyperlink" xfId="3842" builtinId="9" hidden="1"/>
    <cellStyle name="Followed Hyperlink" xfId="3844" builtinId="9" hidden="1"/>
    <cellStyle name="Followed Hyperlink" xfId="3846" builtinId="9" hidden="1"/>
    <cellStyle name="Followed Hyperlink" xfId="3848" builtinId="9" hidden="1"/>
    <cellStyle name="Followed Hyperlink" xfId="3850" builtinId="9" hidden="1"/>
    <cellStyle name="Followed Hyperlink" xfId="3852" builtinId="9" hidden="1"/>
    <cellStyle name="Followed Hyperlink" xfId="3854" builtinId="9" hidden="1"/>
    <cellStyle name="Followed Hyperlink" xfId="3856" builtinId="9" hidden="1"/>
    <cellStyle name="Followed Hyperlink" xfId="3858" builtinId="9" hidden="1"/>
    <cellStyle name="Followed Hyperlink" xfId="3860" builtinId="9" hidden="1"/>
    <cellStyle name="Followed Hyperlink" xfId="3862" builtinId="9" hidden="1"/>
    <cellStyle name="Followed Hyperlink" xfId="3864" builtinId="9" hidden="1"/>
    <cellStyle name="Followed Hyperlink" xfId="3866" builtinId="9" hidden="1"/>
    <cellStyle name="Followed Hyperlink" xfId="3868" builtinId="9" hidden="1"/>
    <cellStyle name="Followed Hyperlink" xfId="3870" builtinId="9" hidden="1"/>
    <cellStyle name="Followed Hyperlink" xfId="3872" builtinId="9" hidden="1"/>
    <cellStyle name="Followed Hyperlink" xfId="3874" builtinId="9" hidden="1"/>
    <cellStyle name="Followed Hyperlink" xfId="3876" builtinId="9" hidden="1"/>
    <cellStyle name="Followed Hyperlink" xfId="3878" builtinId="9" hidden="1"/>
    <cellStyle name="Followed Hyperlink" xfId="3880" builtinId="9" hidden="1"/>
    <cellStyle name="Followed Hyperlink" xfId="3882" builtinId="9" hidden="1"/>
    <cellStyle name="Followed Hyperlink" xfId="3884" builtinId="9" hidden="1"/>
    <cellStyle name="Followed Hyperlink" xfId="3886" builtinId="9" hidden="1"/>
    <cellStyle name="Followed Hyperlink" xfId="3888" builtinId="9" hidden="1"/>
    <cellStyle name="Followed Hyperlink" xfId="3890" builtinId="9" hidden="1"/>
    <cellStyle name="Followed Hyperlink" xfId="3892" builtinId="9" hidden="1"/>
    <cellStyle name="Followed Hyperlink" xfId="3894" builtinId="9" hidden="1"/>
    <cellStyle name="Followed Hyperlink" xfId="3896" builtinId="9" hidden="1"/>
    <cellStyle name="Followed Hyperlink" xfId="3940" builtinId="9" hidden="1"/>
    <cellStyle name="Followed Hyperlink" xfId="3942" builtinId="9" hidden="1"/>
    <cellStyle name="Followed Hyperlink" xfId="3944" builtinId="9" hidden="1"/>
    <cellStyle name="Followed Hyperlink" xfId="3946" builtinId="9" hidden="1"/>
    <cellStyle name="Followed Hyperlink" xfId="3948" builtinId="9" hidden="1"/>
    <cellStyle name="Followed Hyperlink" xfId="3950" builtinId="9" hidden="1"/>
    <cellStyle name="Followed Hyperlink" xfId="3952" builtinId="9" hidden="1"/>
    <cellStyle name="Followed Hyperlink" xfId="3954" builtinId="9" hidden="1"/>
    <cellStyle name="Followed Hyperlink" xfId="3956" builtinId="9" hidden="1"/>
    <cellStyle name="Followed Hyperlink" xfId="3958" builtinId="9" hidden="1"/>
    <cellStyle name="Followed Hyperlink" xfId="3960" builtinId="9" hidden="1"/>
    <cellStyle name="Followed Hyperlink" xfId="3962" builtinId="9" hidden="1"/>
    <cellStyle name="Followed Hyperlink" xfId="3964" builtinId="9" hidden="1"/>
    <cellStyle name="Followed Hyperlink" xfId="3966" builtinId="9" hidden="1"/>
    <cellStyle name="Followed Hyperlink" xfId="3968" builtinId="9" hidden="1"/>
    <cellStyle name="Followed Hyperlink" xfId="3970" builtinId="9" hidden="1"/>
    <cellStyle name="Followed Hyperlink" xfId="3972" builtinId="9" hidden="1"/>
    <cellStyle name="Followed Hyperlink" xfId="3974" builtinId="9" hidden="1"/>
    <cellStyle name="Followed Hyperlink" xfId="3976" builtinId="9" hidden="1"/>
    <cellStyle name="Followed Hyperlink" xfId="3978" builtinId="9" hidden="1"/>
    <cellStyle name="Followed Hyperlink" xfId="3980" builtinId="9" hidden="1"/>
    <cellStyle name="Followed Hyperlink" xfId="3982" builtinId="9" hidden="1"/>
    <cellStyle name="Followed Hyperlink" xfId="3984" builtinId="9" hidden="1"/>
    <cellStyle name="Followed Hyperlink" xfId="3986" builtinId="9" hidden="1"/>
    <cellStyle name="Followed Hyperlink" xfId="3988" builtinId="9" hidden="1"/>
    <cellStyle name="Followed Hyperlink" xfId="3990" builtinId="9" hidden="1"/>
    <cellStyle name="Followed Hyperlink" xfId="3992" builtinId="9" hidden="1"/>
    <cellStyle name="Followed Hyperlink" xfId="3994" builtinId="9" hidden="1"/>
    <cellStyle name="Followed Hyperlink" xfId="3996" builtinId="9" hidden="1"/>
    <cellStyle name="Followed Hyperlink" xfId="3998" builtinId="9" hidden="1"/>
    <cellStyle name="Followed Hyperlink" xfId="4000" builtinId="9" hidden="1"/>
    <cellStyle name="Followed Hyperlink" xfId="4002" builtinId="9" hidden="1"/>
    <cellStyle name="Followed Hyperlink" xfId="4004" builtinId="9" hidden="1"/>
    <cellStyle name="Followed Hyperlink" xfId="4006" builtinId="9" hidden="1"/>
    <cellStyle name="Followed Hyperlink" xfId="4008" builtinId="9" hidden="1"/>
    <cellStyle name="Followed Hyperlink" xfId="4010" builtinId="9" hidden="1"/>
    <cellStyle name="Followed Hyperlink" xfId="4012" builtinId="9" hidden="1"/>
    <cellStyle name="Followed Hyperlink" xfId="4014" builtinId="9" hidden="1"/>
    <cellStyle name="Followed Hyperlink" xfId="4016" builtinId="9" hidden="1"/>
    <cellStyle name="Followed Hyperlink" xfId="4018" builtinId="9" hidden="1"/>
    <cellStyle name="Followed Hyperlink" xfId="4020" builtinId="9" hidden="1"/>
    <cellStyle name="Followed Hyperlink" xfId="4022" builtinId="9" hidden="1"/>
    <cellStyle name="Followed Hyperlink" xfId="4024" builtinId="9" hidden="1"/>
    <cellStyle name="Followed Hyperlink" xfId="4026" builtinId="9" hidden="1"/>
    <cellStyle name="Followed Hyperlink" xfId="4028" builtinId="9" hidden="1"/>
    <cellStyle name="Followed Hyperlink" xfId="4030" builtinId="9" hidden="1"/>
    <cellStyle name="Followed Hyperlink" xfId="4032" builtinId="9" hidden="1"/>
    <cellStyle name="Followed Hyperlink" xfId="4034" builtinId="9" hidden="1"/>
    <cellStyle name="Followed Hyperlink" xfId="4036" builtinId="9" hidden="1"/>
    <cellStyle name="Followed Hyperlink" xfId="4038" builtinId="9" hidden="1"/>
    <cellStyle name="Followed Hyperlink" xfId="4040" builtinId="9" hidden="1"/>
    <cellStyle name="Followed Hyperlink" xfId="4042" builtinId="9" hidden="1"/>
    <cellStyle name="Followed Hyperlink" xfId="4044" builtinId="9" hidden="1"/>
    <cellStyle name="Followed Hyperlink" xfId="4046" builtinId="9" hidden="1"/>
    <cellStyle name="Followed Hyperlink" xfId="4048" builtinId="9" hidden="1"/>
    <cellStyle name="Followed Hyperlink" xfId="4050" builtinId="9" hidden="1"/>
    <cellStyle name="Followed Hyperlink" xfId="4052" builtinId="9" hidden="1"/>
    <cellStyle name="Followed Hyperlink" xfId="4054" builtinId="9" hidden="1"/>
    <cellStyle name="Followed Hyperlink" xfId="4056" builtinId="9" hidden="1"/>
    <cellStyle name="Followed Hyperlink" xfId="4058" builtinId="9" hidden="1"/>
    <cellStyle name="Followed Hyperlink" xfId="4060" builtinId="9" hidden="1"/>
    <cellStyle name="Followed Hyperlink" xfId="4062" builtinId="9" hidden="1"/>
    <cellStyle name="Followed Hyperlink" xfId="4064" builtinId="9" hidden="1"/>
    <cellStyle name="Followed Hyperlink" xfId="4066" builtinId="9" hidden="1"/>
    <cellStyle name="Followed Hyperlink" xfId="4068" builtinId="9" hidden="1"/>
    <cellStyle name="Followed Hyperlink" xfId="4070" builtinId="9" hidden="1"/>
    <cellStyle name="Followed Hyperlink" xfId="4072" builtinId="9" hidden="1"/>
    <cellStyle name="Followed Hyperlink" xfId="4074" builtinId="9" hidden="1"/>
    <cellStyle name="Followed Hyperlink" xfId="4076" builtinId="9" hidden="1"/>
    <cellStyle name="Followed Hyperlink" xfId="4078" builtinId="9" hidden="1"/>
    <cellStyle name="Followed Hyperlink" xfId="4080" builtinId="9" hidden="1"/>
    <cellStyle name="Followed Hyperlink" xfId="4082" builtinId="9" hidden="1"/>
    <cellStyle name="Followed Hyperlink" xfId="4084" builtinId="9" hidden="1"/>
    <cellStyle name="Followed Hyperlink" xfId="4086" builtinId="9" hidden="1"/>
    <cellStyle name="Followed Hyperlink" xfId="4088" builtinId="9" hidden="1"/>
    <cellStyle name="Followed Hyperlink" xfId="4090" builtinId="9" hidden="1"/>
    <cellStyle name="Followed Hyperlink" xfId="4092" builtinId="9" hidden="1"/>
    <cellStyle name="Followed Hyperlink" xfId="4094" builtinId="9" hidden="1"/>
    <cellStyle name="Followed Hyperlink" xfId="4096" builtinId="9" hidden="1"/>
    <cellStyle name="Followed Hyperlink" xfId="4098" builtinId="9" hidden="1"/>
    <cellStyle name="Followed Hyperlink" xfId="4100" builtinId="9" hidden="1"/>
    <cellStyle name="Followed Hyperlink" xfId="4102" builtinId="9" hidden="1"/>
    <cellStyle name="Followed Hyperlink" xfId="4104" builtinId="9" hidden="1"/>
    <cellStyle name="Followed Hyperlink" xfId="4106" builtinId="9" hidden="1"/>
    <cellStyle name="Followed Hyperlink" xfId="4108" builtinId="9" hidden="1"/>
    <cellStyle name="Followed Hyperlink" xfId="4110" builtinId="9" hidden="1"/>
    <cellStyle name="Followed Hyperlink" xfId="4112" builtinId="9" hidden="1"/>
    <cellStyle name="Followed Hyperlink" xfId="4114" builtinId="9" hidden="1"/>
    <cellStyle name="Followed Hyperlink" xfId="4116" builtinId="9" hidden="1"/>
    <cellStyle name="Followed Hyperlink" xfId="4118" builtinId="9" hidden="1"/>
    <cellStyle name="Followed Hyperlink" xfId="4120" builtinId="9" hidden="1"/>
    <cellStyle name="Followed Hyperlink" xfId="4122" builtinId="9" hidden="1"/>
    <cellStyle name="Followed Hyperlink" xfId="4124" builtinId="9" hidden="1"/>
    <cellStyle name="Followed Hyperlink" xfId="4126" builtinId="9" hidden="1"/>
    <cellStyle name="Followed Hyperlink" xfId="4128" builtinId="9" hidden="1"/>
    <cellStyle name="Followed Hyperlink" xfId="4130" builtinId="9" hidden="1"/>
    <cellStyle name="Followed Hyperlink" xfId="4132" builtinId="9" hidden="1"/>
    <cellStyle name="Followed Hyperlink" xfId="4134" builtinId="9" hidden="1"/>
    <cellStyle name="Followed Hyperlink" xfId="4136" builtinId="9" hidden="1"/>
    <cellStyle name="Followed Hyperlink" xfId="4138" builtinId="9" hidden="1"/>
    <cellStyle name="Followed Hyperlink" xfId="4140" builtinId="9" hidden="1"/>
    <cellStyle name="Followed Hyperlink" xfId="4142" builtinId="9" hidden="1"/>
    <cellStyle name="Followed Hyperlink" xfId="4144" builtinId="9" hidden="1"/>
    <cellStyle name="Followed Hyperlink" xfId="4146" builtinId="9" hidden="1"/>
    <cellStyle name="Followed Hyperlink" xfId="4148" builtinId="9" hidden="1"/>
    <cellStyle name="Followed Hyperlink" xfId="4150" builtinId="9" hidden="1"/>
    <cellStyle name="Followed Hyperlink" xfId="4152" builtinId="9" hidden="1"/>
    <cellStyle name="Followed Hyperlink" xfId="4154" builtinId="9" hidden="1"/>
    <cellStyle name="Followed Hyperlink" xfId="4156" builtinId="9" hidden="1"/>
    <cellStyle name="Followed Hyperlink" xfId="4158" builtinId="9" hidden="1"/>
    <cellStyle name="Followed Hyperlink" xfId="4160" builtinId="9" hidden="1"/>
    <cellStyle name="Followed Hyperlink" xfId="4162" builtinId="9" hidden="1"/>
    <cellStyle name="Followed Hyperlink" xfId="4164" builtinId="9" hidden="1"/>
    <cellStyle name="Followed Hyperlink" xfId="4166" builtinId="9" hidden="1"/>
    <cellStyle name="Followed Hyperlink" xfId="4168" builtinId="9" hidden="1"/>
    <cellStyle name="Followed Hyperlink" xfId="4170" builtinId="9" hidden="1"/>
    <cellStyle name="Followed Hyperlink" xfId="4172" builtinId="9" hidden="1"/>
    <cellStyle name="Followed Hyperlink" xfId="4174" builtinId="9" hidden="1"/>
    <cellStyle name="Followed Hyperlink" xfId="4176" builtinId="9" hidden="1"/>
    <cellStyle name="Followed Hyperlink" xfId="4178" builtinId="9" hidden="1"/>
    <cellStyle name="Followed Hyperlink" xfId="4180" builtinId="9" hidden="1"/>
    <cellStyle name="Followed Hyperlink" xfId="4182" builtinId="9" hidden="1"/>
    <cellStyle name="Followed Hyperlink" xfId="4184" builtinId="9" hidden="1"/>
    <cellStyle name="Followed Hyperlink" xfId="4186" builtinId="9" hidden="1"/>
    <cellStyle name="Followed Hyperlink" xfId="4188" builtinId="9" hidden="1"/>
    <cellStyle name="Followed Hyperlink" xfId="4190" builtinId="9" hidden="1"/>
    <cellStyle name="Followed Hyperlink" xfId="4192" builtinId="9" hidden="1"/>
    <cellStyle name="Followed Hyperlink" xfId="4194" builtinId="9" hidden="1"/>
    <cellStyle name="Followed Hyperlink" xfId="4196" builtinId="9" hidden="1"/>
    <cellStyle name="Followed Hyperlink" xfId="4198" builtinId="9" hidden="1"/>
    <cellStyle name="Followed Hyperlink" xfId="4200" builtinId="9" hidden="1"/>
    <cellStyle name="Followed Hyperlink" xfId="4202" builtinId="9" hidden="1"/>
    <cellStyle name="Followed Hyperlink" xfId="4204" builtinId="9" hidden="1"/>
    <cellStyle name="Followed Hyperlink" xfId="4206" builtinId="9" hidden="1"/>
    <cellStyle name="Followed Hyperlink" xfId="4208" builtinId="9" hidden="1"/>
    <cellStyle name="Followed Hyperlink" xfId="4210" builtinId="9" hidden="1"/>
    <cellStyle name="Followed Hyperlink" xfId="4212" builtinId="9" hidden="1"/>
    <cellStyle name="Followed Hyperlink" xfId="4214" builtinId="9" hidden="1"/>
    <cellStyle name="Followed Hyperlink" xfId="4216" builtinId="9" hidden="1"/>
    <cellStyle name="Followed Hyperlink" xfId="4218" builtinId="9" hidden="1"/>
    <cellStyle name="Followed Hyperlink" xfId="4220" builtinId="9" hidden="1"/>
    <cellStyle name="Followed Hyperlink" xfId="4222" builtinId="9" hidden="1"/>
    <cellStyle name="Followed Hyperlink" xfId="4224" builtinId="9" hidden="1"/>
    <cellStyle name="Followed Hyperlink" xfId="4226" builtinId="9" hidden="1"/>
    <cellStyle name="Followed Hyperlink" xfId="4228" builtinId="9" hidden="1"/>
    <cellStyle name="Followed Hyperlink" xfId="4230" builtinId="9" hidden="1"/>
    <cellStyle name="Followed Hyperlink" xfId="4232" builtinId="9" hidden="1"/>
    <cellStyle name="Followed Hyperlink" xfId="4234" builtinId="9" hidden="1"/>
    <cellStyle name="Followed Hyperlink" xfId="4236" builtinId="9" hidden="1"/>
    <cellStyle name="Followed Hyperlink" xfId="4238" builtinId="9" hidden="1"/>
    <cellStyle name="Followed Hyperlink" xfId="4240" builtinId="9" hidden="1"/>
    <cellStyle name="Followed Hyperlink" xfId="4242" builtinId="9" hidden="1"/>
    <cellStyle name="Followed Hyperlink" xfId="4244" builtinId="9" hidden="1"/>
    <cellStyle name="Followed Hyperlink" xfId="4253" builtinId="9" hidden="1"/>
    <cellStyle name="Followed Hyperlink" xfId="4255" builtinId="9" hidden="1"/>
    <cellStyle name="Followed Hyperlink" xfId="4257" builtinId="9" hidden="1"/>
    <cellStyle name="Followed Hyperlink" xfId="4259" builtinId="9" hidden="1"/>
    <cellStyle name="Followed Hyperlink" xfId="4261" builtinId="9" hidden="1"/>
    <cellStyle name="Followed Hyperlink" xfId="4263" builtinId="9" hidden="1"/>
    <cellStyle name="Followed Hyperlink" xfId="4265" builtinId="9" hidden="1"/>
    <cellStyle name="Followed Hyperlink" xfId="4267" builtinId="9" hidden="1"/>
    <cellStyle name="Followed Hyperlink" xfId="4269" builtinId="9" hidden="1"/>
    <cellStyle name="Followed Hyperlink" xfId="4271" builtinId="9" hidden="1"/>
    <cellStyle name="Followed Hyperlink" xfId="4273" builtinId="9" hidden="1"/>
    <cellStyle name="Followed Hyperlink" xfId="4275" builtinId="9" hidden="1"/>
    <cellStyle name="Followed Hyperlink" xfId="4277" builtinId="9" hidden="1"/>
    <cellStyle name="Followed Hyperlink" xfId="4279" builtinId="9" hidden="1"/>
    <cellStyle name="Followed Hyperlink" xfId="4281" builtinId="9" hidden="1"/>
    <cellStyle name="Followed Hyperlink" xfId="4283" builtinId="9" hidden="1"/>
    <cellStyle name="Followed Hyperlink" xfId="4285" builtinId="9" hidden="1"/>
    <cellStyle name="Followed Hyperlink" xfId="4287" builtinId="9" hidden="1"/>
    <cellStyle name="Followed Hyperlink" xfId="4289" builtinId="9" hidden="1"/>
    <cellStyle name="Followed Hyperlink" xfId="4291" builtinId="9" hidden="1"/>
    <cellStyle name="Followed Hyperlink" xfId="4293" builtinId="9" hidden="1"/>
    <cellStyle name="Followed Hyperlink" xfId="4295" builtinId="9" hidden="1"/>
    <cellStyle name="Followed Hyperlink" xfId="4297" builtinId="9" hidden="1"/>
    <cellStyle name="Followed Hyperlink" xfId="4299" builtinId="9" hidden="1"/>
    <cellStyle name="Followed Hyperlink" xfId="4301" builtinId="9" hidden="1"/>
    <cellStyle name="Followed Hyperlink" xfId="4303" builtinId="9" hidden="1"/>
    <cellStyle name="Followed Hyperlink" xfId="4305" builtinId="9" hidden="1"/>
    <cellStyle name="Followed Hyperlink" xfId="4307" builtinId="9" hidden="1"/>
    <cellStyle name="Followed Hyperlink" xfId="4309" builtinId="9" hidden="1"/>
    <cellStyle name="Followed Hyperlink" xfId="4311" builtinId="9" hidden="1"/>
    <cellStyle name="Followed Hyperlink" xfId="4313" builtinId="9" hidden="1"/>
    <cellStyle name="Followed Hyperlink" xfId="4315" builtinId="9" hidden="1"/>
    <cellStyle name="Followed Hyperlink" xfId="4317" builtinId="9" hidden="1"/>
    <cellStyle name="Followed Hyperlink" xfId="4319" builtinId="9" hidden="1"/>
    <cellStyle name="Followed Hyperlink" xfId="4321" builtinId="9" hidden="1"/>
    <cellStyle name="Followed Hyperlink" xfId="4323" builtinId="9" hidden="1"/>
    <cellStyle name="Followed Hyperlink" xfId="4325" builtinId="9" hidden="1"/>
    <cellStyle name="Followed Hyperlink" xfId="4327" builtinId="9" hidden="1"/>
    <cellStyle name="Followed Hyperlink" xfId="4329" builtinId="9" hidden="1"/>
    <cellStyle name="Followed Hyperlink" xfId="4331" builtinId="9" hidden="1"/>
    <cellStyle name="Followed Hyperlink" xfId="4333" builtinId="9" hidden="1"/>
    <cellStyle name="Followed Hyperlink" xfId="4335" builtinId="9" hidden="1"/>
    <cellStyle name="Followed Hyperlink" xfId="4337" builtinId="9" hidden="1"/>
    <cellStyle name="Followed Hyperlink" xfId="4339" builtinId="9" hidden="1"/>
    <cellStyle name="Followed Hyperlink" xfId="4341" builtinId="9" hidden="1"/>
    <cellStyle name="Followed Hyperlink" xfId="4343" builtinId="9" hidden="1"/>
    <cellStyle name="Followed Hyperlink" xfId="4345" builtinId="9" hidden="1"/>
    <cellStyle name="Followed Hyperlink" xfId="4347" builtinId="9" hidden="1"/>
    <cellStyle name="Followed Hyperlink" xfId="4349" builtinId="9" hidden="1"/>
    <cellStyle name="Followed Hyperlink" xfId="4351" builtinId="9" hidden="1"/>
    <cellStyle name="Followed Hyperlink" xfId="4353" builtinId="9" hidden="1"/>
    <cellStyle name="Followed Hyperlink" xfId="4355" builtinId="9" hidden="1"/>
    <cellStyle name="Followed Hyperlink" xfId="4357" builtinId="9" hidden="1"/>
    <cellStyle name="Followed Hyperlink" xfId="4359" builtinId="9" hidden="1"/>
    <cellStyle name="Followed Hyperlink" xfId="4361" builtinId="9" hidden="1"/>
    <cellStyle name="Followed Hyperlink" xfId="4363" builtinId="9" hidden="1"/>
    <cellStyle name="Followed Hyperlink" xfId="4365" builtinId="9" hidden="1"/>
    <cellStyle name="Followed Hyperlink" xfId="4367" builtinId="9" hidden="1"/>
    <cellStyle name="Followed Hyperlink" xfId="4369" builtinId="9" hidden="1"/>
    <cellStyle name="Followed Hyperlink" xfId="4371" builtinId="9" hidden="1"/>
    <cellStyle name="Followed Hyperlink" xfId="4373" builtinId="9" hidden="1"/>
    <cellStyle name="Followed Hyperlink" xfId="4375" builtinId="9" hidden="1"/>
    <cellStyle name="Followed Hyperlink" xfId="4377" builtinId="9" hidden="1"/>
    <cellStyle name="Followed Hyperlink" xfId="4379" builtinId="9" hidden="1"/>
    <cellStyle name="Followed Hyperlink" xfId="4381" builtinId="9" hidden="1"/>
    <cellStyle name="Followed Hyperlink" xfId="4383" builtinId="9" hidden="1"/>
    <cellStyle name="Followed Hyperlink" xfId="4385" builtinId="9" hidden="1"/>
    <cellStyle name="Followed Hyperlink" xfId="4387" builtinId="9" hidden="1"/>
    <cellStyle name="Followed Hyperlink" xfId="4389" builtinId="9" hidden="1"/>
    <cellStyle name="Followed Hyperlink" xfId="4391" builtinId="9" hidden="1"/>
    <cellStyle name="Followed Hyperlink" xfId="4393" builtinId="9" hidden="1"/>
    <cellStyle name="Followed Hyperlink" xfId="4395" builtinId="9" hidden="1"/>
    <cellStyle name="Followed Hyperlink" xfId="4397" builtinId="9" hidden="1"/>
    <cellStyle name="Followed Hyperlink" xfId="4399" builtinId="9" hidden="1"/>
    <cellStyle name="Followed Hyperlink" xfId="4401" builtinId="9" hidden="1"/>
    <cellStyle name="Followed Hyperlink" xfId="4403" builtinId="9" hidden="1"/>
    <cellStyle name="Followed Hyperlink" xfId="4405" builtinId="9" hidden="1"/>
    <cellStyle name="Followed Hyperlink" xfId="4407" builtinId="9" hidden="1"/>
    <cellStyle name="Followed Hyperlink" xfId="4409" builtinId="9" hidden="1"/>
    <cellStyle name="Followed Hyperlink" xfId="4411" builtinId="9" hidden="1"/>
    <cellStyle name="Followed Hyperlink" xfId="4413" builtinId="9" hidden="1"/>
    <cellStyle name="Followed Hyperlink" xfId="4415" builtinId="9" hidden="1"/>
    <cellStyle name="Followed Hyperlink" xfId="4417" builtinId="9" hidden="1"/>
    <cellStyle name="Followed Hyperlink" xfId="4419" builtinId="9" hidden="1"/>
    <cellStyle name="Followed Hyperlink" xfId="4421" builtinId="9" hidden="1"/>
    <cellStyle name="Followed Hyperlink" xfId="4423" builtinId="9" hidden="1"/>
    <cellStyle name="Followed Hyperlink" xfId="4425" builtinId="9" hidden="1"/>
    <cellStyle name="Followed Hyperlink" xfId="4427" builtinId="9" hidden="1"/>
    <cellStyle name="Followed Hyperlink" xfId="4429" builtinId="9" hidden="1"/>
    <cellStyle name="Followed Hyperlink" xfId="4431" builtinId="9" hidden="1"/>
    <cellStyle name="Followed Hyperlink" xfId="4433" builtinId="9" hidden="1"/>
    <cellStyle name="Followed Hyperlink" xfId="4435" builtinId="9" hidden="1"/>
    <cellStyle name="Followed Hyperlink" xfId="4437" builtinId="9" hidden="1"/>
    <cellStyle name="Followed Hyperlink" xfId="4439" builtinId="9" hidden="1"/>
    <cellStyle name="Followed Hyperlink" xfId="4441" builtinId="9" hidden="1"/>
    <cellStyle name="Followed Hyperlink" xfId="4443" builtinId="9" hidden="1"/>
    <cellStyle name="Followed Hyperlink" xfId="4445" builtinId="9" hidden="1"/>
    <cellStyle name="Followed Hyperlink" xfId="4447" builtinId="9" hidden="1"/>
    <cellStyle name="Followed Hyperlink" xfId="4449" builtinId="9" hidden="1"/>
    <cellStyle name="Followed Hyperlink" xfId="4455" builtinId="9" hidden="1"/>
    <cellStyle name="Followed Hyperlink" xfId="4457" builtinId="9" hidden="1"/>
    <cellStyle name="Followed Hyperlink" xfId="4459" builtinId="9" hidden="1"/>
    <cellStyle name="Followed Hyperlink" xfId="4461" builtinId="9" hidden="1"/>
    <cellStyle name="Followed Hyperlink" xfId="4463" builtinId="9" hidden="1"/>
    <cellStyle name="Followed Hyperlink" xfId="4465" builtinId="9" hidden="1"/>
    <cellStyle name="Followed Hyperlink" xfId="4467" builtinId="9" hidden="1"/>
    <cellStyle name="Followed Hyperlink" xfId="4469" builtinId="9" hidden="1"/>
    <cellStyle name="Followed Hyperlink" xfId="4471" builtinId="9" hidden="1"/>
    <cellStyle name="Followed Hyperlink" xfId="4473" builtinId="9" hidden="1"/>
    <cellStyle name="Followed Hyperlink" xfId="4475" builtinId="9" hidden="1"/>
    <cellStyle name="Followed Hyperlink" xfId="4477" builtinId="9" hidden="1"/>
    <cellStyle name="Followed Hyperlink" xfId="4479" builtinId="9" hidden="1"/>
    <cellStyle name="Followed Hyperlink" xfId="4481" builtinId="9" hidden="1"/>
    <cellStyle name="Followed Hyperlink" xfId="4483" builtinId="9" hidden="1"/>
    <cellStyle name="Followed Hyperlink" xfId="4485" builtinId="9" hidden="1"/>
    <cellStyle name="Followed Hyperlink" xfId="4487" builtinId="9" hidden="1"/>
    <cellStyle name="Followed Hyperlink" xfId="4489" builtinId="9" hidden="1"/>
    <cellStyle name="Followed Hyperlink" xfId="4491" builtinId="9" hidden="1"/>
    <cellStyle name="Followed Hyperlink" xfId="4493" builtinId="9" hidden="1"/>
    <cellStyle name="Followed Hyperlink" xfId="4495" builtinId="9" hidden="1"/>
    <cellStyle name="Followed Hyperlink" xfId="4497" builtinId="9" hidden="1"/>
    <cellStyle name="Followed Hyperlink" xfId="4499" builtinId="9" hidden="1"/>
    <cellStyle name="Followed Hyperlink" xfId="4501" builtinId="9" hidden="1"/>
    <cellStyle name="Followed Hyperlink" xfId="4503" builtinId="9" hidden="1"/>
    <cellStyle name="Followed Hyperlink" xfId="4505" builtinId="9" hidden="1"/>
    <cellStyle name="Followed Hyperlink" xfId="4507" builtinId="9" hidden="1"/>
    <cellStyle name="Followed Hyperlink" xfId="4509" builtinId="9" hidden="1"/>
    <cellStyle name="Followed Hyperlink" xfId="4511" builtinId="9" hidden="1"/>
    <cellStyle name="Followed Hyperlink" xfId="4513" builtinId="9" hidden="1"/>
    <cellStyle name="Followed Hyperlink" xfId="4515" builtinId="9" hidden="1"/>
    <cellStyle name="Followed Hyperlink" xfId="4517" builtinId="9" hidden="1"/>
    <cellStyle name="Followed Hyperlink" xfId="4519" builtinId="9" hidden="1"/>
    <cellStyle name="Followed Hyperlink" xfId="4521" builtinId="9" hidden="1"/>
    <cellStyle name="Followed Hyperlink" xfId="4523" builtinId="9" hidden="1"/>
    <cellStyle name="Followed Hyperlink" xfId="4525" builtinId="9" hidden="1"/>
    <cellStyle name="Followed Hyperlink" xfId="4527" builtinId="9" hidden="1"/>
    <cellStyle name="Followed Hyperlink" xfId="4529" builtinId="9" hidden="1"/>
    <cellStyle name="Followed Hyperlink" xfId="4531" builtinId="9" hidden="1"/>
    <cellStyle name="Followed Hyperlink" xfId="4533" builtinId="9" hidden="1"/>
    <cellStyle name="Followed Hyperlink" xfId="4535" builtinId="9" hidden="1"/>
    <cellStyle name="Followed Hyperlink" xfId="4537" builtinId="9" hidden="1"/>
    <cellStyle name="Followed Hyperlink" xfId="4539" builtinId="9" hidden="1"/>
    <cellStyle name="Followed Hyperlink" xfId="4541" builtinId="9" hidden="1"/>
    <cellStyle name="Followed Hyperlink" xfId="4543" builtinId="9" hidden="1"/>
    <cellStyle name="Followed Hyperlink" xfId="4545" builtinId="9" hidden="1"/>
    <cellStyle name="Followed Hyperlink" xfId="4547" builtinId="9" hidden="1"/>
    <cellStyle name="Followed Hyperlink" xfId="4549" builtinId="9" hidden="1"/>
    <cellStyle name="Followed Hyperlink" xfId="4551" builtinId="9" hidden="1"/>
    <cellStyle name="Followed Hyperlink" xfId="4553" builtinId="9" hidden="1"/>
    <cellStyle name="Followed Hyperlink" xfId="4555" builtinId="9" hidden="1"/>
    <cellStyle name="Followed Hyperlink" xfId="4557" builtinId="9" hidden="1"/>
    <cellStyle name="Followed Hyperlink" xfId="4559" builtinId="9" hidden="1"/>
    <cellStyle name="Followed Hyperlink" xfId="4561" builtinId="9" hidden="1"/>
    <cellStyle name="Followed Hyperlink" xfId="4563" builtinId="9" hidden="1"/>
    <cellStyle name="Followed Hyperlink" xfId="4565" builtinId="9" hidden="1"/>
    <cellStyle name="Followed Hyperlink" xfId="4567" builtinId="9" hidden="1"/>
    <cellStyle name="Followed Hyperlink" xfId="4569" builtinId="9" hidden="1"/>
    <cellStyle name="Followed Hyperlink" xfId="4571" builtinId="9" hidden="1"/>
    <cellStyle name="Followed Hyperlink" xfId="4573" builtinId="9" hidden="1"/>
    <cellStyle name="Followed Hyperlink" xfId="4575" builtinId="9" hidden="1"/>
    <cellStyle name="Followed Hyperlink" xfId="4577" builtinId="9" hidden="1"/>
    <cellStyle name="Followed Hyperlink" xfId="4579" builtinId="9" hidden="1"/>
    <cellStyle name="Followed Hyperlink" xfId="4581" builtinId="9" hidden="1"/>
    <cellStyle name="Followed Hyperlink" xfId="4583" builtinId="9" hidden="1"/>
    <cellStyle name="Followed Hyperlink" xfId="4585" builtinId="9" hidden="1"/>
    <cellStyle name="Followed Hyperlink" xfId="4587" builtinId="9" hidden="1"/>
    <cellStyle name="Followed Hyperlink" xfId="4589" builtinId="9" hidden="1"/>
    <cellStyle name="Followed Hyperlink" xfId="4591" builtinId="9" hidden="1"/>
    <cellStyle name="Followed Hyperlink" xfId="4593" builtinId="9" hidden="1"/>
    <cellStyle name="Followed Hyperlink" xfId="4595" builtinId="9" hidden="1"/>
    <cellStyle name="Followed Hyperlink" xfId="4597" builtinId="9" hidden="1"/>
    <cellStyle name="Followed Hyperlink" xfId="4599" builtinId="9" hidden="1"/>
    <cellStyle name="Followed Hyperlink" xfId="4601" builtinId="9" hidden="1"/>
    <cellStyle name="Followed Hyperlink" xfId="4603" builtinId="9" hidden="1"/>
    <cellStyle name="Followed Hyperlink" xfId="4605" builtinId="9" hidden="1"/>
    <cellStyle name="Followed Hyperlink" xfId="4607" builtinId="9" hidden="1"/>
    <cellStyle name="Followed Hyperlink" xfId="4609" builtinId="9" hidden="1"/>
    <cellStyle name="Followed Hyperlink" xfId="4611" builtinId="9" hidden="1"/>
    <cellStyle name="Followed Hyperlink" xfId="4613" builtinId="9" hidden="1"/>
    <cellStyle name="Followed Hyperlink" xfId="4615" builtinId="9" hidden="1"/>
    <cellStyle name="Followed Hyperlink" xfId="4617" builtinId="9" hidden="1"/>
    <cellStyle name="Followed Hyperlink" xfId="4619" builtinId="9" hidden="1"/>
    <cellStyle name="Followed Hyperlink" xfId="4621" builtinId="9" hidden="1"/>
    <cellStyle name="Followed Hyperlink" xfId="4623" builtinId="9" hidden="1"/>
    <cellStyle name="Followed Hyperlink" xfId="4625" builtinId="9" hidden="1"/>
    <cellStyle name="Followed Hyperlink" xfId="4627" builtinId="9" hidden="1"/>
    <cellStyle name="Followed Hyperlink" xfId="4629" builtinId="9" hidden="1"/>
    <cellStyle name="Followed Hyperlink" xfId="4631" builtinId="9" hidden="1"/>
    <cellStyle name="Followed Hyperlink" xfId="4633" builtinId="9" hidden="1"/>
    <cellStyle name="Followed Hyperlink" xfId="4635" builtinId="9" hidden="1"/>
    <cellStyle name="Followed Hyperlink" xfId="4637" builtinId="9" hidden="1"/>
    <cellStyle name="Followed Hyperlink" xfId="4639" builtinId="9" hidden="1"/>
    <cellStyle name="Followed Hyperlink" xfId="4641" builtinId="9" hidden="1"/>
    <cellStyle name="Followed Hyperlink" xfId="4643" builtinId="9" hidden="1"/>
    <cellStyle name="Followed Hyperlink" xfId="4645" builtinId="9" hidden="1"/>
    <cellStyle name="Followed Hyperlink" xfId="4647" builtinId="9" hidden="1"/>
    <cellStyle name="Followed Hyperlink" xfId="4649" builtinId="9" hidden="1"/>
    <cellStyle name="Followed Hyperlink" xfId="4651" builtinId="9" hidden="1"/>
    <cellStyle name="Followed Hyperlink" xfId="4653" builtinId="9" hidden="1"/>
    <cellStyle name="Followed Hyperlink" xfId="4655" builtinId="9" hidden="1"/>
    <cellStyle name="Followed Hyperlink" xfId="4657" builtinId="9" hidden="1"/>
    <cellStyle name="Followed Hyperlink" xfId="4659" builtinId="9" hidden="1"/>
    <cellStyle name="Followed Hyperlink" xfId="4661" builtinId="9" hidden="1"/>
    <cellStyle name="Followed Hyperlink" xfId="4663" builtinId="9" hidden="1"/>
    <cellStyle name="Followed Hyperlink" xfId="4665" builtinId="9" hidden="1"/>
    <cellStyle name="Followed Hyperlink" xfId="4667" builtinId="9" hidden="1"/>
    <cellStyle name="Followed Hyperlink" xfId="4669" builtinId="9" hidden="1"/>
    <cellStyle name="Followed Hyperlink" xfId="4671" builtinId="9" hidden="1"/>
    <cellStyle name="Followed Hyperlink" xfId="4673" builtinId="9" hidden="1"/>
    <cellStyle name="Followed Hyperlink" xfId="4675" builtinId="9" hidden="1"/>
    <cellStyle name="Followed Hyperlink" xfId="4677" builtinId="9" hidden="1"/>
    <cellStyle name="Followed Hyperlink" xfId="4679" builtinId="9" hidden="1"/>
    <cellStyle name="Followed Hyperlink" xfId="4681" builtinId="9" hidden="1"/>
    <cellStyle name="Followed Hyperlink" xfId="4683" builtinId="9" hidden="1"/>
    <cellStyle name="Followed Hyperlink" xfId="4685" builtinId="9" hidden="1"/>
    <cellStyle name="Followed Hyperlink" xfId="4687" builtinId="9" hidden="1"/>
    <cellStyle name="Followed Hyperlink" xfId="4689" builtinId="9" hidden="1"/>
    <cellStyle name="Followed Hyperlink" xfId="4691" builtinId="9" hidden="1"/>
    <cellStyle name="Followed Hyperlink" xfId="4693" builtinId="9" hidden="1"/>
    <cellStyle name="Followed Hyperlink" xfId="4695" builtinId="9" hidden="1"/>
    <cellStyle name="Followed Hyperlink" xfId="4697" builtinId="9" hidden="1"/>
    <cellStyle name="Followed Hyperlink" xfId="4699" builtinId="9" hidden="1"/>
    <cellStyle name="Followed Hyperlink" xfId="4701" builtinId="9" hidden="1"/>
    <cellStyle name="Followed Hyperlink" xfId="4703" builtinId="9" hidden="1"/>
    <cellStyle name="Followed Hyperlink" xfId="4705" builtinId="9" hidden="1"/>
    <cellStyle name="Followed Hyperlink" xfId="4707" builtinId="9" hidden="1"/>
    <cellStyle name="Followed Hyperlink" xfId="4709" builtinId="9" hidden="1"/>
    <cellStyle name="Followed Hyperlink" xfId="4711" builtinId="9" hidden="1"/>
    <cellStyle name="Followed Hyperlink" xfId="4713" builtinId="9" hidden="1"/>
    <cellStyle name="Followed Hyperlink" xfId="4715" builtinId="9" hidden="1"/>
    <cellStyle name="Followed Hyperlink" xfId="4717" builtinId="9" hidden="1"/>
    <cellStyle name="Followed Hyperlink" xfId="4719" builtinId="9" hidden="1"/>
    <cellStyle name="Followed Hyperlink" xfId="4721" builtinId="9" hidden="1"/>
    <cellStyle name="Followed Hyperlink" xfId="4723" builtinId="9" hidden="1"/>
    <cellStyle name="Followed Hyperlink" xfId="4725" builtinId="9" hidden="1"/>
    <cellStyle name="Followed Hyperlink" xfId="4727" builtinId="9" hidden="1"/>
    <cellStyle name="Followed Hyperlink" xfId="4729" builtinId="9" hidden="1"/>
    <cellStyle name="Followed Hyperlink" xfId="4731" builtinId="9" hidden="1"/>
    <cellStyle name="Followed Hyperlink" xfId="4733" builtinId="9" hidden="1"/>
    <cellStyle name="Followed Hyperlink" xfId="4735" builtinId="9" hidden="1"/>
    <cellStyle name="Followed Hyperlink" xfId="4737" builtinId="9" hidden="1"/>
    <cellStyle name="Followed Hyperlink" xfId="4739" builtinId="9" hidden="1"/>
    <cellStyle name="Followed Hyperlink" xfId="4741" builtinId="9" hidden="1"/>
    <cellStyle name="Followed Hyperlink" xfId="4743" builtinId="9" hidden="1"/>
    <cellStyle name="Followed Hyperlink" xfId="4745" builtinId="9" hidden="1"/>
    <cellStyle name="Followed Hyperlink" xfId="4747" builtinId="9" hidden="1"/>
    <cellStyle name="Followed Hyperlink" xfId="4749" builtinId="9" hidden="1"/>
    <cellStyle name="Followed Hyperlink" xfId="4751" builtinId="9" hidden="1"/>
    <cellStyle name="Followed Hyperlink" xfId="4753" builtinId="9" hidden="1"/>
    <cellStyle name="Followed Hyperlink" xfId="4755" builtinId="9" hidden="1"/>
    <cellStyle name="Followed Hyperlink" xfId="4757" builtinId="9" hidden="1"/>
    <cellStyle name="Followed Hyperlink" xfId="4759" builtinId="9" hidden="1"/>
    <cellStyle name="Followed Hyperlink" xfId="4761" builtinId="9" hidden="1"/>
    <cellStyle name="Followed Hyperlink" xfId="4763" builtinId="9" hidden="1"/>
    <cellStyle name="Followed Hyperlink" xfId="4765" builtinId="9" hidden="1"/>
    <cellStyle name="Followed Hyperlink" xfId="4767" builtinId="9" hidden="1"/>
    <cellStyle name="Followed Hyperlink" xfId="4769" builtinId="9" hidden="1"/>
    <cellStyle name="Followed Hyperlink" xfId="4771" builtinId="9" hidden="1"/>
    <cellStyle name="Followed Hyperlink" xfId="4773" builtinId="9" hidden="1"/>
    <cellStyle name="Followed Hyperlink" xfId="4775" builtinId="9" hidden="1"/>
    <cellStyle name="Followed Hyperlink" xfId="4777" builtinId="9" hidden="1"/>
    <cellStyle name="Followed Hyperlink" xfId="4779" builtinId="9" hidden="1"/>
    <cellStyle name="Followed Hyperlink" xfId="4781" builtinId="9" hidden="1"/>
    <cellStyle name="Followed Hyperlink" xfId="4783" builtinId="9" hidden="1"/>
    <cellStyle name="Followed Hyperlink" xfId="4785" builtinId="9" hidden="1"/>
    <cellStyle name="Followed Hyperlink" xfId="4787" builtinId="9" hidden="1"/>
    <cellStyle name="Followed Hyperlink" xfId="4789" builtinId="9" hidden="1"/>
    <cellStyle name="Followed Hyperlink" xfId="4791" builtinId="9" hidden="1"/>
    <cellStyle name="Followed Hyperlink" xfId="4793" builtinId="9" hidden="1"/>
    <cellStyle name="Followed Hyperlink" xfId="4795" builtinId="9" hidden="1"/>
    <cellStyle name="Followed Hyperlink" xfId="4797" builtinId="9" hidden="1"/>
    <cellStyle name="Followed Hyperlink" xfId="4799" builtinId="9" hidden="1"/>
    <cellStyle name="Followed Hyperlink" xfId="4801" builtinId="9" hidden="1"/>
    <cellStyle name="Followed Hyperlink" xfId="4803" builtinId="9" hidden="1"/>
    <cellStyle name="Followed Hyperlink" xfId="4805" builtinId="9" hidden="1"/>
    <cellStyle name="Followed Hyperlink" xfId="4807" builtinId="9" hidden="1"/>
    <cellStyle name="Followed Hyperlink" xfId="4809" builtinId="9" hidden="1"/>
    <cellStyle name="Followed Hyperlink" xfId="4811" builtinId="9" hidden="1"/>
    <cellStyle name="Followed Hyperlink" xfId="4813" builtinId="9" hidden="1"/>
    <cellStyle name="Followed Hyperlink" xfId="4815" builtinId="9" hidden="1"/>
    <cellStyle name="Followed Hyperlink" xfId="4817" builtinId="9" hidden="1"/>
    <cellStyle name="Followed Hyperlink" xfId="4819" builtinId="9" hidden="1"/>
    <cellStyle name="Followed Hyperlink" xfId="4821" builtinId="9" hidden="1"/>
    <cellStyle name="Followed Hyperlink" xfId="4823" builtinId="9" hidden="1"/>
    <cellStyle name="Followed Hyperlink" xfId="4825" builtinId="9" hidden="1"/>
    <cellStyle name="Followed Hyperlink" xfId="4827" builtinId="9" hidden="1"/>
    <cellStyle name="Followed Hyperlink" xfId="4829" builtinId="9" hidden="1"/>
    <cellStyle name="Followed Hyperlink" xfId="4831" builtinId="9" hidden="1"/>
    <cellStyle name="Followed Hyperlink" xfId="4833" builtinId="9" hidden="1"/>
    <cellStyle name="Followed Hyperlink" xfId="4835" builtinId="9" hidden="1"/>
    <cellStyle name="Followed Hyperlink" xfId="4837" builtinId="9" hidden="1"/>
    <cellStyle name="Followed Hyperlink" xfId="4839" builtinId="9" hidden="1"/>
    <cellStyle name="Followed Hyperlink" xfId="4841" builtinId="9" hidden="1"/>
    <cellStyle name="Followed Hyperlink" xfId="4843" builtinId="9" hidden="1"/>
    <cellStyle name="Followed Hyperlink" xfId="4845" builtinId="9" hidden="1"/>
    <cellStyle name="Followed Hyperlink" xfId="4847" builtinId="9" hidden="1"/>
    <cellStyle name="Followed Hyperlink" xfId="4849" builtinId="9" hidden="1"/>
    <cellStyle name="Followed Hyperlink" xfId="4851" builtinId="9" hidden="1"/>
    <cellStyle name="Followed Hyperlink" xfId="4853" builtinId="9" hidden="1"/>
    <cellStyle name="Followed Hyperlink" xfId="4855" builtinId="9" hidden="1"/>
    <cellStyle name="Followed Hyperlink" xfId="4857" builtinId="9" hidden="1"/>
    <cellStyle name="Followed Hyperlink" xfId="4859" builtinId="9" hidden="1"/>
    <cellStyle name="Followed Hyperlink" xfId="4861" builtinId="9" hidden="1"/>
    <cellStyle name="Followed Hyperlink" xfId="4863" builtinId="9" hidden="1"/>
    <cellStyle name="Followed Hyperlink" xfId="4865" builtinId="9" hidden="1"/>
    <cellStyle name="Followed Hyperlink" xfId="4867" builtinId="9" hidden="1"/>
    <cellStyle name="Followed Hyperlink" xfId="4869" builtinId="9" hidden="1"/>
    <cellStyle name="Followed Hyperlink" xfId="4871" builtinId="9" hidden="1"/>
    <cellStyle name="Followed Hyperlink" xfId="4873" builtinId="9" hidden="1"/>
    <cellStyle name="Followed Hyperlink" xfId="4875" builtinId="9" hidden="1"/>
    <cellStyle name="Followed Hyperlink" xfId="4877" builtinId="9" hidden="1"/>
    <cellStyle name="Followed Hyperlink" xfId="4879" builtinId="9" hidden="1"/>
    <cellStyle name="Followed Hyperlink" xfId="4881" builtinId="9" hidden="1"/>
    <cellStyle name="Followed Hyperlink" xfId="4883" builtinId="9" hidden="1"/>
    <cellStyle name="Followed Hyperlink" xfId="4885" builtinId="9" hidden="1"/>
    <cellStyle name="Followed Hyperlink" xfId="4887" builtinId="9" hidden="1"/>
    <cellStyle name="Followed Hyperlink" xfId="4889" builtinId="9" hidden="1"/>
    <cellStyle name="Followed Hyperlink" xfId="4891" builtinId="9" hidden="1"/>
    <cellStyle name="Followed Hyperlink" xfId="4893" builtinId="9" hidden="1"/>
    <cellStyle name="Followed Hyperlink" xfId="4895" builtinId="9" hidden="1"/>
    <cellStyle name="Followed Hyperlink" xfId="4897" builtinId="9" hidden="1"/>
    <cellStyle name="Followed Hyperlink" xfId="4899" builtinId="9" hidden="1"/>
    <cellStyle name="Followed Hyperlink" xfId="4901" builtinId="9" hidden="1"/>
    <cellStyle name="Followed Hyperlink" xfId="4903" builtinId="9" hidden="1"/>
    <cellStyle name="Followed Hyperlink" xfId="4905" builtinId="9" hidden="1"/>
    <cellStyle name="Followed Hyperlink" xfId="4907" builtinId="9" hidden="1"/>
    <cellStyle name="Followed Hyperlink" xfId="4909" builtinId="9" hidden="1"/>
    <cellStyle name="Followed Hyperlink" xfId="4911" builtinId="9" hidden="1"/>
    <cellStyle name="Followed Hyperlink" xfId="4913" builtinId="9" hidden="1"/>
    <cellStyle name="Followed Hyperlink" xfId="4915" builtinId="9" hidden="1"/>
    <cellStyle name="Followed Hyperlink" xfId="4917" builtinId="9" hidden="1"/>
    <cellStyle name="Followed Hyperlink" xfId="4919" builtinId="9" hidden="1"/>
    <cellStyle name="Followed Hyperlink" xfId="4921" builtinId="9" hidden="1"/>
    <cellStyle name="Followed Hyperlink" xfId="4923" builtinId="9" hidden="1"/>
    <cellStyle name="Followed Hyperlink" xfId="4925" builtinId="9" hidden="1"/>
    <cellStyle name="Followed Hyperlink" xfId="4927" builtinId="9" hidden="1"/>
    <cellStyle name="Followed Hyperlink" xfId="4929" builtinId="9" hidden="1"/>
    <cellStyle name="Followed Hyperlink" xfId="4931" builtinId="9" hidden="1"/>
    <cellStyle name="Followed Hyperlink" xfId="4933" builtinId="9" hidden="1"/>
    <cellStyle name="Followed Hyperlink" xfId="4935" builtinId="9" hidden="1"/>
    <cellStyle name="Followed Hyperlink" xfId="4937" builtinId="9" hidden="1"/>
    <cellStyle name="Followed Hyperlink" xfId="4939" builtinId="9" hidden="1"/>
    <cellStyle name="Followed Hyperlink" xfId="4941" builtinId="9" hidden="1"/>
    <cellStyle name="Followed Hyperlink" xfId="4943" builtinId="9" hidden="1"/>
    <cellStyle name="Followed Hyperlink" xfId="4945" builtinId="9" hidden="1"/>
    <cellStyle name="Followed Hyperlink" xfId="4947" builtinId="9" hidden="1"/>
    <cellStyle name="Followed Hyperlink" xfId="4949" builtinId="9" hidden="1"/>
    <cellStyle name="Followed Hyperlink" xfId="4951" builtinId="9" hidden="1"/>
    <cellStyle name="Followed Hyperlink" xfId="4953" builtinId="9" hidden="1"/>
    <cellStyle name="Followed Hyperlink" xfId="4955" builtinId="9" hidden="1"/>
    <cellStyle name="Followed Hyperlink" xfId="4957" builtinId="9" hidden="1"/>
    <cellStyle name="Followed Hyperlink" xfId="4959" builtinId="9" hidden="1"/>
    <cellStyle name="Followed Hyperlink" xfId="4961" builtinId="9" hidden="1"/>
    <cellStyle name="Followed Hyperlink" xfId="4963" builtinId="9" hidden="1"/>
    <cellStyle name="Followed Hyperlink" xfId="4965" builtinId="9" hidden="1"/>
    <cellStyle name="Followed Hyperlink" xfId="4967" builtinId="9" hidden="1"/>
    <cellStyle name="Followed Hyperlink" xfId="4969" builtinId="9" hidden="1"/>
    <cellStyle name="Followed Hyperlink" xfId="4971" builtinId="9" hidden="1"/>
    <cellStyle name="Followed Hyperlink" xfId="4973" builtinId="9" hidden="1"/>
    <cellStyle name="Followed Hyperlink" xfId="4975" builtinId="9" hidden="1"/>
    <cellStyle name="Followed Hyperlink" xfId="4977" builtinId="9" hidden="1"/>
    <cellStyle name="Followed Hyperlink" xfId="4979" builtinId="9" hidden="1"/>
    <cellStyle name="Followed Hyperlink" xfId="4981" builtinId="9" hidden="1"/>
    <cellStyle name="Followed Hyperlink" xfId="4983" builtinId="9" hidden="1"/>
    <cellStyle name="Followed Hyperlink" xfId="4985" builtinId="9" hidden="1"/>
    <cellStyle name="Followed Hyperlink" xfId="4987" builtinId="9" hidden="1"/>
    <cellStyle name="Followed Hyperlink" xfId="4989" builtinId="9" hidden="1"/>
    <cellStyle name="Followed Hyperlink" xfId="4991" builtinId="9" hidden="1"/>
    <cellStyle name="Followed Hyperlink" xfId="4993" builtinId="9" hidden="1"/>
    <cellStyle name="Followed Hyperlink" xfId="4995" builtinId="9" hidden="1"/>
    <cellStyle name="Followed Hyperlink" xfId="4997" builtinId="9" hidden="1"/>
    <cellStyle name="Followed Hyperlink" xfId="4999" builtinId="9" hidden="1"/>
    <cellStyle name="Followed Hyperlink" xfId="5001" builtinId="9" hidden="1"/>
    <cellStyle name="Followed Hyperlink" xfId="5003" builtinId="9" hidden="1"/>
    <cellStyle name="Followed Hyperlink" xfId="5005" builtinId="9" hidden="1"/>
    <cellStyle name="Followed Hyperlink" xfId="5007" builtinId="9" hidden="1"/>
    <cellStyle name="Followed Hyperlink" xfId="5009" builtinId="9" hidden="1"/>
    <cellStyle name="Followed Hyperlink" xfId="5011" builtinId="9" hidden="1"/>
    <cellStyle name="Followed Hyperlink" xfId="5013" builtinId="9" hidden="1"/>
    <cellStyle name="Followed Hyperlink" xfId="5015" builtinId="9" hidden="1"/>
    <cellStyle name="Followed Hyperlink" xfId="5017" builtinId="9" hidden="1"/>
    <cellStyle name="Followed Hyperlink" xfId="5019" builtinId="9" hidden="1"/>
    <cellStyle name="Followed Hyperlink" xfId="5021" builtinId="9" hidden="1"/>
    <cellStyle name="Followed Hyperlink" xfId="5023" builtinId="9" hidden="1"/>
    <cellStyle name="Followed Hyperlink" xfId="5025" builtinId="9" hidden="1"/>
    <cellStyle name="Followed Hyperlink" xfId="5027" builtinId="9" hidden="1"/>
    <cellStyle name="Followed Hyperlink" xfId="5029" builtinId="9" hidden="1"/>
    <cellStyle name="Followed Hyperlink" xfId="5031" builtinId="9" hidden="1"/>
    <cellStyle name="Followed Hyperlink" xfId="5033" builtinId="9" hidden="1"/>
    <cellStyle name="Followed Hyperlink" xfId="5035" builtinId="9" hidden="1"/>
    <cellStyle name="Followed Hyperlink" xfId="5037" builtinId="9" hidden="1"/>
    <cellStyle name="Followed Hyperlink" xfId="5039" builtinId="9" hidden="1"/>
    <cellStyle name="Followed Hyperlink" xfId="5041" builtinId="9" hidden="1"/>
    <cellStyle name="Followed Hyperlink" xfId="5043" builtinId="9" hidden="1"/>
    <cellStyle name="Followed Hyperlink" xfId="5045" builtinId="9" hidden="1"/>
    <cellStyle name="Followed Hyperlink" xfId="5047" builtinId="9" hidden="1"/>
    <cellStyle name="Followed Hyperlink" xfId="5049" builtinId="9" hidden="1"/>
    <cellStyle name="Followed Hyperlink" xfId="5051" builtinId="9" hidden="1"/>
    <cellStyle name="Followed Hyperlink" xfId="5053" builtinId="9" hidden="1"/>
    <cellStyle name="Followed Hyperlink" xfId="5055" builtinId="9" hidden="1"/>
    <cellStyle name="Followed Hyperlink" xfId="5057" builtinId="9" hidden="1"/>
    <cellStyle name="Followed Hyperlink" xfId="5059" builtinId="9" hidden="1"/>
    <cellStyle name="Followed Hyperlink" xfId="5061" builtinId="9" hidden="1"/>
    <cellStyle name="Followed Hyperlink" xfId="5063" builtinId="9" hidden="1"/>
    <cellStyle name="Followed Hyperlink" xfId="5065" builtinId="9" hidden="1"/>
    <cellStyle name="Followed Hyperlink" xfId="5067" builtinId="9" hidden="1"/>
    <cellStyle name="Followed Hyperlink" xfId="5069" builtinId="9" hidden="1"/>
    <cellStyle name="Followed Hyperlink" xfId="5071" builtinId="9" hidden="1"/>
    <cellStyle name="Followed Hyperlink" xfId="5073" builtinId="9" hidden="1"/>
    <cellStyle name="Followed Hyperlink" xfId="5075" builtinId="9" hidden="1"/>
    <cellStyle name="Followed Hyperlink" xfId="5077" builtinId="9" hidden="1"/>
    <cellStyle name="Followed Hyperlink" xfId="5079" builtinId="9" hidden="1"/>
    <cellStyle name="Followed Hyperlink" xfId="5081" builtinId="9" hidden="1"/>
    <cellStyle name="Followed Hyperlink" xfId="5083" builtinId="9" hidden="1"/>
    <cellStyle name="Followed Hyperlink" xfId="5085" builtinId="9" hidden="1"/>
    <cellStyle name="Followed Hyperlink" xfId="5087" builtinId="9" hidden="1"/>
    <cellStyle name="Followed Hyperlink" xfId="5089" builtinId="9" hidden="1"/>
    <cellStyle name="Followed Hyperlink" xfId="5091" builtinId="9" hidden="1"/>
    <cellStyle name="Followed Hyperlink" xfId="5093" builtinId="9" hidden="1"/>
    <cellStyle name="Followed Hyperlink" xfId="5095" builtinId="9" hidden="1"/>
    <cellStyle name="Followed Hyperlink" xfId="5097" builtinId="9" hidden="1"/>
    <cellStyle name="Followed Hyperlink" xfId="5099" builtinId="9" hidden="1"/>
    <cellStyle name="Followed Hyperlink" xfId="5101" builtinId="9" hidden="1"/>
    <cellStyle name="Followed Hyperlink" xfId="5103" builtinId="9" hidden="1"/>
    <cellStyle name="Followed Hyperlink" xfId="5105" builtinId="9" hidden="1"/>
    <cellStyle name="Followed Hyperlink" xfId="5107" builtinId="9" hidden="1"/>
    <cellStyle name="Followed Hyperlink" xfId="5109" builtinId="9" hidden="1"/>
    <cellStyle name="Followed Hyperlink" xfId="5111" builtinId="9" hidden="1"/>
    <cellStyle name="Followed Hyperlink" xfId="5113" builtinId="9" hidden="1"/>
    <cellStyle name="Followed Hyperlink" xfId="5115" builtinId="9" hidden="1"/>
    <cellStyle name="Followed Hyperlink" xfId="5117" builtinId="9" hidden="1"/>
    <cellStyle name="Followed Hyperlink" xfId="5119" builtinId="9" hidden="1"/>
    <cellStyle name="Followed Hyperlink" xfId="5121" builtinId="9" hidden="1"/>
    <cellStyle name="Followed Hyperlink" xfId="5123" builtinId="9" hidden="1"/>
    <cellStyle name="Followed Hyperlink" xfId="5125" builtinId="9" hidden="1"/>
    <cellStyle name="Followed Hyperlink" xfId="5127" builtinId="9" hidden="1"/>
    <cellStyle name="Followed Hyperlink" xfId="5129" builtinId="9" hidden="1"/>
    <cellStyle name="Followed Hyperlink" xfId="5131" builtinId="9" hidden="1"/>
    <cellStyle name="Followed Hyperlink" xfId="5133" builtinId="9" hidden="1"/>
    <cellStyle name="Followed Hyperlink" xfId="5135" builtinId="9" hidden="1"/>
    <cellStyle name="Followed Hyperlink" xfId="5137" builtinId="9" hidden="1"/>
    <cellStyle name="Followed Hyperlink" xfId="5139" builtinId="9" hidden="1"/>
    <cellStyle name="Followed Hyperlink" xfId="5141" builtinId="9" hidden="1"/>
    <cellStyle name="Followed Hyperlink" xfId="5143" builtinId="9" hidden="1"/>
    <cellStyle name="Followed Hyperlink" xfId="5145" builtinId="9" hidden="1"/>
    <cellStyle name="Followed Hyperlink" xfId="5147" builtinId="9" hidden="1"/>
    <cellStyle name="Followed Hyperlink" xfId="5149" builtinId="9" hidden="1"/>
    <cellStyle name="Followed Hyperlink" xfId="5151" builtinId="9" hidden="1"/>
    <cellStyle name="Followed Hyperlink" xfId="5153" builtinId="9" hidden="1"/>
    <cellStyle name="Followed Hyperlink" xfId="5155" builtinId="9" hidden="1"/>
    <cellStyle name="Followed Hyperlink" xfId="5157" builtinId="9" hidden="1"/>
    <cellStyle name="Followed Hyperlink" xfId="5159" builtinId="9" hidden="1"/>
    <cellStyle name="Followed Hyperlink" xfId="5161" builtinId="9" hidden="1"/>
    <cellStyle name="Followed Hyperlink" xfId="5163" builtinId="9" hidden="1"/>
    <cellStyle name="Followed Hyperlink" xfId="5165" builtinId="9" hidden="1"/>
    <cellStyle name="Followed Hyperlink" xfId="5167" builtinId="9" hidden="1"/>
    <cellStyle name="Followed Hyperlink" xfId="5169" builtinId="9" hidden="1"/>
    <cellStyle name="Followed Hyperlink" xfId="5171" builtinId="9" hidden="1"/>
    <cellStyle name="Followed Hyperlink" xfId="5173" builtinId="9" hidden="1"/>
    <cellStyle name="Followed Hyperlink" xfId="5175" builtinId="9" hidden="1"/>
    <cellStyle name="Followed Hyperlink" xfId="5177" builtinId="9" hidden="1"/>
    <cellStyle name="Followed Hyperlink" xfId="5179" builtinId="9" hidden="1"/>
    <cellStyle name="Followed Hyperlink" xfId="5181" builtinId="9" hidden="1"/>
    <cellStyle name="Followed Hyperlink" xfId="5183" builtinId="9" hidden="1"/>
    <cellStyle name="Followed Hyperlink" xfId="5185" builtinId="9" hidden="1"/>
    <cellStyle name="Followed Hyperlink" xfId="5187" builtinId="9" hidden="1"/>
    <cellStyle name="Followed Hyperlink" xfId="5189" builtinId="9" hidden="1"/>
    <cellStyle name="Followed Hyperlink" xfId="5191" builtinId="9" hidden="1"/>
    <cellStyle name="Followed Hyperlink" xfId="5193" builtinId="9" hidden="1"/>
    <cellStyle name="Followed Hyperlink" xfId="5195" builtinId="9" hidden="1"/>
    <cellStyle name="Followed Hyperlink" xfId="5197" builtinId="9" hidden="1"/>
    <cellStyle name="Followed Hyperlink" xfId="5199" builtinId="9" hidden="1"/>
    <cellStyle name="Followed Hyperlink" xfId="5201" builtinId="9" hidden="1"/>
    <cellStyle name="Followed Hyperlink" xfId="5203" builtinId="9" hidden="1"/>
    <cellStyle name="Followed Hyperlink" xfId="5205" builtinId="9" hidden="1"/>
    <cellStyle name="Followed Hyperlink" xfId="5207" builtinId="9" hidden="1"/>
    <cellStyle name="Followed Hyperlink" xfId="5209" builtinId="9" hidden="1"/>
    <cellStyle name="Followed Hyperlink" xfId="5211" builtinId="9" hidden="1"/>
    <cellStyle name="Followed Hyperlink" xfId="5213" builtinId="9" hidden="1"/>
    <cellStyle name="Followed Hyperlink" xfId="5215" builtinId="9" hidden="1"/>
    <cellStyle name="Followed Hyperlink" xfId="5217" builtinId="9" hidden="1"/>
    <cellStyle name="Followed Hyperlink" xfId="5219" builtinId="9" hidden="1"/>
    <cellStyle name="Followed Hyperlink" xfId="5221" builtinId="9" hidden="1"/>
    <cellStyle name="Followed Hyperlink" xfId="5223" builtinId="9" hidden="1"/>
    <cellStyle name="Followed Hyperlink" xfId="5225" builtinId="9" hidden="1"/>
    <cellStyle name="Followed Hyperlink" xfId="5227" builtinId="9" hidden="1"/>
    <cellStyle name="Followed Hyperlink" xfId="5229" builtinId="9" hidden="1"/>
    <cellStyle name="Followed Hyperlink" xfId="5231" builtinId="9" hidden="1"/>
    <cellStyle name="Followed Hyperlink" xfId="5233" builtinId="9" hidden="1"/>
    <cellStyle name="Followed Hyperlink" xfId="5235" builtinId="9" hidden="1"/>
    <cellStyle name="Followed Hyperlink" xfId="5237" builtinId="9" hidden="1"/>
    <cellStyle name="Followed Hyperlink" xfId="5239" builtinId="9" hidden="1"/>
    <cellStyle name="Followed Hyperlink" xfId="5241" builtinId="9" hidden="1"/>
    <cellStyle name="Followed Hyperlink" xfId="5243" builtinId="9" hidden="1"/>
    <cellStyle name="Followed Hyperlink" xfId="5245" builtinId="9" hidden="1"/>
    <cellStyle name="Followed Hyperlink" xfId="5247" builtinId="9" hidden="1"/>
    <cellStyle name="Followed Hyperlink" xfId="5249" builtinId="9" hidden="1"/>
    <cellStyle name="Followed Hyperlink" xfId="5251" builtinId="9" hidden="1"/>
    <cellStyle name="Followed Hyperlink" xfId="5253" builtinId="9" hidden="1"/>
    <cellStyle name="Followed Hyperlink" xfId="5255" builtinId="9" hidden="1"/>
    <cellStyle name="Followed Hyperlink" xfId="5257" builtinId="9" hidden="1"/>
    <cellStyle name="Followed Hyperlink" xfId="5259" builtinId="9" hidden="1"/>
    <cellStyle name="Followed Hyperlink" xfId="5261" builtinId="9" hidden="1"/>
    <cellStyle name="Followed Hyperlink" xfId="5263" builtinId="9" hidden="1"/>
    <cellStyle name="Followed Hyperlink" xfId="5265" builtinId="9" hidden="1"/>
    <cellStyle name="Followed Hyperlink" xfId="5267" builtinId="9" hidden="1"/>
    <cellStyle name="Followed Hyperlink" xfId="5269" builtinId="9" hidden="1"/>
    <cellStyle name="Followed Hyperlink" xfId="5271" builtinId="9" hidden="1"/>
    <cellStyle name="Followed Hyperlink" xfId="5273" builtinId="9" hidden="1"/>
    <cellStyle name="Followed Hyperlink" xfId="5275" builtinId="9" hidden="1"/>
    <cellStyle name="Followed Hyperlink" xfId="5277" builtinId="9" hidden="1"/>
    <cellStyle name="Followed Hyperlink" xfId="5279" builtinId="9" hidden="1"/>
    <cellStyle name="Followed Hyperlink" xfId="5281" builtinId="9" hidden="1"/>
    <cellStyle name="Followed Hyperlink" xfId="5283" builtinId="9" hidden="1"/>
    <cellStyle name="Followed Hyperlink" xfId="5285" builtinId="9" hidden="1"/>
    <cellStyle name="Followed Hyperlink" xfId="5287" builtinId="9" hidden="1"/>
    <cellStyle name="Followed Hyperlink" xfId="5289" builtinId="9" hidden="1"/>
    <cellStyle name="Followed Hyperlink" xfId="5291" builtinId="9" hidden="1"/>
    <cellStyle name="Followed Hyperlink" xfId="5293" builtinId="9" hidden="1"/>
    <cellStyle name="Followed Hyperlink" xfId="5295" builtinId="9" hidden="1"/>
    <cellStyle name="Followed Hyperlink" xfId="5297" builtinId="9" hidden="1"/>
    <cellStyle name="Followed Hyperlink" xfId="5299" builtinId="9" hidden="1"/>
    <cellStyle name="Followed Hyperlink" xfId="5301" builtinId="9" hidden="1"/>
    <cellStyle name="Followed Hyperlink" xfId="5303" builtinId="9" hidden="1"/>
    <cellStyle name="Followed Hyperlink" xfId="5305" builtinId="9" hidden="1"/>
    <cellStyle name="Followed Hyperlink" xfId="5307" builtinId="9" hidden="1"/>
    <cellStyle name="Followed Hyperlink" xfId="5309" builtinId="9" hidden="1"/>
    <cellStyle name="Followed Hyperlink" xfId="5311" builtinId="9" hidden="1"/>
    <cellStyle name="Followed Hyperlink" xfId="5313" builtinId="9" hidden="1"/>
    <cellStyle name="Followed Hyperlink" xfId="5315" builtinId="9" hidden="1"/>
    <cellStyle name="Followed Hyperlink" xfId="5317" builtinId="9" hidden="1"/>
    <cellStyle name="Followed Hyperlink" xfId="5319" builtinId="9" hidden="1"/>
    <cellStyle name="Followed Hyperlink" xfId="5321" builtinId="9" hidden="1"/>
    <cellStyle name="Followed Hyperlink" xfId="5323" builtinId="9" hidden="1"/>
    <cellStyle name="Followed Hyperlink" xfId="5325" builtinId="9" hidden="1"/>
    <cellStyle name="Followed Hyperlink" xfId="5327" builtinId="9" hidden="1"/>
    <cellStyle name="Followed Hyperlink" xfId="5329" builtinId="9" hidden="1"/>
    <cellStyle name="Followed Hyperlink" xfId="5331" builtinId="9" hidden="1"/>
    <cellStyle name="Followed Hyperlink" xfId="5333" builtinId="9" hidden="1"/>
    <cellStyle name="Followed Hyperlink" xfId="5335" builtinId="9" hidden="1"/>
    <cellStyle name="Followed Hyperlink" xfId="5337" builtinId="9" hidden="1"/>
    <cellStyle name="Followed Hyperlink" xfId="5339" builtinId="9" hidden="1"/>
    <cellStyle name="Followed Hyperlink" xfId="5341" builtinId="9" hidden="1"/>
    <cellStyle name="Followed Hyperlink" xfId="5343" builtinId="9" hidden="1"/>
    <cellStyle name="Followed Hyperlink" xfId="5345" builtinId="9" hidden="1"/>
    <cellStyle name="Followed Hyperlink" xfId="5347" builtinId="9" hidden="1"/>
    <cellStyle name="Followed Hyperlink" xfId="5349" builtinId="9" hidden="1"/>
    <cellStyle name="Followed Hyperlink" xfId="5351" builtinId="9" hidden="1"/>
    <cellStyle name="Followed Hyperlink" xfId="5353" builtinId="9" hidden="1"/>
    <cellStyle name="Followed Hyperlink" xfId="5355" builtinId="9" hidden="1"/>
    <cellStyle name="Followed Hyperlink" xfId="5357" builtinId="9" hidden="1"/>
    <cellStyle name="Followed Hyperlink" xfId="5359" builtinId="9" hidden="1"/>
    <cellStyle name="Followed Hyperlink" xfId="5361" builtinId="9" hidden="1"/>
    <cellStyle name="Followed Hyperlink" xfId="5363" builtinId="9" hidden="1"/>
    <cellStyle name="Followed Hyperlink" xfId="5365" builtinId="9" hidden="1"/>
    <cellStyle name="Followed Hyperlink" xfId="5367" builtinId="9" hidden="1"/>
    <cellStyle name="Followed Hyperlink" xfId="5369" builtinId="9" hidden="1"/>
    <cellStyle name="Followed Hyperlink" xfId="5371" builtinId="9" hidden="1"/>
    <cellStyle name="Followed Hyperlink" xfId="5373" builtinId="9" hidden="1"/>
    <cellStyle name="Followed Hyperlink" xfId="5375" builtinId="9" hidden="1"/>
    <cellStyle name="Followed Hyperlink" xfId="5377" builtinId="9" hidden="1"/>
    <cellStyle name="Followed Hyperlink" xfId="5379" builtinId="9" hidden="1"/>
    <cellStyle name="Followed Hyperlink" xfId="5381" builtinId="9" hidden="1"/>
    <cellStyle name="Followed Hyperlink" xfId="5383" builtinId="9" hidden="1"/>
    <cellStyle name="Followed Hyperlink" xfId="5385" builtinId="9" hidden="1"/>
    <cellStyle name="Followed Hyperlink" xfId="5387" builtinId="9" hidden="1"/>
    <cellStyle name="Followed Hyperlink" xfId="5389" builtinId="9" hidden="1"/>
    <cellStyle name="Followed Hyperlink" xfId="5391" builtinId="9" hidden="1"/>
    <cellStyle name="Followed Hyperlink" xfId="5393" builtinId="9" hidden="1"/>
    <cellStyle name="Followed Hyperlink" xfId="5395" builtinId="9" hidden="1"/>
    <cellStyle name="Followed Hyperlink" xfId="5397" builtinId="9" hidden="1"/>
    <cellStyle name="Followed Hyperlink" xfId="5399" builtinId="9" hidden="1"/>
    <cellStyle name="Followed Hyperlink" xfId="5401" builtinId="9" hidden="1"/>
    <cellStyle name="Followed Hyperlink" xfId="5403" builtinId="9" hidden="1"/>
    <cellStyle name="Followed Hyperlink" xfId="5405" builtinId="9" hidden="1"/>
    <cellStyle name="Followed Hyperlink" xfId="5407" builtinId="9" hidden="1"/>
    <cellStyle name="Followed Hyperlink" xfId="5409" builtinId="9" hidden="1"/>
    <cellStyle name="Followed Hyperlink" xfId="5411" builtinId="9" hidden="1"/>
    <cellStyle name="Followed Hyperlink" xfId="5413" builtinId="9" hidden="1"/>
    <cellStyle name="Followed Hyperlink" xfId="5415" builtinId="9" hidden="1"/>
    <cellStyle name="Followed Hyperlink" xfId="5417" builtinId="9" hidden="1"/>
    <cellStyle name="Followed Hyperlink" xfId="5419" builtinId="9" hidden="1"/>
    <cellStyle name="Followed Hyperlink" xfId="5421" builtinId="9" hidden="1"/>
    <cellStyle name="Followed Hyperlink" xfId="5423" builtinId="9" hidden="1"/>
    <cellStyle name="Followed Hyperlink" xfId="5425" builtinId="9" hidden="1"/>
    <cellStyle name="Followed Hyperlink" xfId="5496" builtinId="9" hidden="1"/>
    <cellStyle name="Followed Hyperlink" xfId="5498" builtinId="9" hidden="1"/>
    <cellStyle name="Followed Hyperlink" xfId="5500" builtinId="9" hidden="1"/>
    <cellStyle name="Followed Hyperlink" xfId="5502" builtinId="9" hidden="1"/>
    <cellStyle name="Followed Hyperlink" xfId="5504" builtinId="9" hidden="1"/>
    <cellStyle name="Followed Hyperlink" xfId="5506" builtinId="9" hidden="1"/>
    <cellStyle name="Followed Hyperlink" xfId="5508" builtinId="9" hidden="1"/>
    <cellStyle name="Followed Hyperlink" xfId="5510" builtinId="9" hidden="1"/>
    <cellStyle name="Followed Hyperlink" xfId="5512" builtinId="9" hidden="1"/>
    <cellStyle name="Followed Hyperlink" xfId="5514" builtinId="9" hidden="1"/>
    <cellStyle name="Followed Hyperlink" xfId="5516" builtinId="9" hidden="1"/>
    <cellStyle name="Followed Hyperlink" xfId="5518" builtinId="9" hidden="1"/>
    <cellStyle name="Followed Hyperlink" xfId="5520" builtinId="9" hidden="1"/>
    <cellStyle name="Followed Hyperlink" xfId="5522" builtinId="9" hidden="1"/>
    <cellStyle name="Followed Hyperlink" xfId="5524" builtinId="9" hidden="1"/>
    <cellStyle name="Followed Hyperlink" xfId="5526" builtinId="9" hidden="1"/>
    <cellStyle name="Followed Hyperlink" xfId="5528" builtinId="9" hidden="1"/>
    <cellStyle name="Followed Hyperlink" xfId="5530" builtinId="9" hidden="1"/>
    <cellStyle name="Followed Hyperlink" xfId="5532" builtinId="9" hidden="1"/>
    <cellStyle name="Followed Hyperlink" xfId="5534" builtinId="9" hidden="1"/>
    <cellStyle name="Followed Hyperlink" xfId="5536" builtinId="9" hidden="1"/>
    <cellStyle name="Followed Hyperlink" xfId="5538" builtinId="9" hidden="1"/>
    <cellStyle name="Followed Hyperlink" xfId="5540" builtinId="9" hidden="1"/>
    <cellStyle name="Followed Hyperlink" xfId="5542" builtinId="9" hidden="1"/>
    <cellStyle name="Followed Hyperlink" xfId="5544" builtinId="9" hidden="1"/>
    <cellStyle name="Followed Hyperlink" xfId="5546" builtinId="9" hidden="1"/>
    <cellStyle name="Followed Hyperlink" xfId="5548" builtinId="9" hidden="1"/>
    <cellStyle name="Followed Hyperlink" xfId="5550" builtinId="9" hidden="1"/>
    <cellStyle name="Followed Hyperlink" xfId="5552" builtinId="9" hidden="1"/>
    <cellStyle name="Followed Hyperlink" xfId="5554" builtinId="9" hidden="1"/>
    <cellStyle name="Followed Hyperlink" xfId="5556" builtinId="9" hidden="1"/>
    <cellStyle name="Followed Hyperlink" xfId="5558" builtinId="9" hidden="1"/>
    <cellStyle name="Followed Hyperlink" xfId="5560" builtinId="9" hidden="1"/>
    <cellStyle name="Followed Hyperlink" xfId="5562" builtinId="9" hidden="1"/>
    <cellStyle name="Followed Hyperlink" xfId="5564" builtinId="9" hidden="1"/>
    <cellStyle name="Followed Hyperlink" xfId="5566" builtinId="9" hidden="1"/>
    <cellStyle name="Followed Hyperlink" xfId="5568" builtinId="9" hidden="1"/>
    <cellStyle name="Followed Hyperlink" xfId="5570" builtinId="9" hidden="1"/>
    <cellStyle name="Followed Hyperlink" xfId="5572" builtinId="9" hidden="1"/>
    <cellStyle name="Followed Hyperlink" xfId="5574" builtinId="9" hidden="1"/>
    <cellStyle name="Followed Hyperlink" xfId="5576" builtinId="9" hidden="1"/>
    <cellStyle name="Followed Hyperlink" xfId="5578" builtinId="9" hidden="1"/>
    <cellStyle name="Followed Hyperlink" xfId="5580" builtinId="9" hidden="1"/>
    <cellStyle name="Followed Hyperlink" xfId="5582" builtinId="9" hidden="1"/>
    <cellStyle name="Followed Hyperlink" xfId="5584" builtinId="9" hidden="1"/>
    <cellStyle name="Followed Hyperlink" xfId="5586" builtinId="9" hidden="1"/>
    <cellStyle name="Followed Hyperlink" xfId="5588" builtinId="9" hidden="1"/>
    <cellStyle name="Followed Hyperlink" xfId="5590" builtinId="9" hidden="1"/>
    <cellStyle name="Followed Hyperlink" xfId="5592" builtinId="9" hidden="1"/>
    <cellStyle name="Followed Hyperlink" xfId="5594" builtinId="9" hidden="1"/>
    <cellStyle name="Followed Hyperlink" xfId="5596" builtinId="9" hidden="1"/>
    <cellStyle name="Followed Hyperlink" xfId="5598" builtinId="9" hidden="1"/>
    <cellStyle name="Followed Hyperlink" xfId="5600" builtinId="9" hidden="1"/>
    <cellStyle name="Followed Hyperlink" xfId="5602" builtinId="9" hidden="1"/>
    <cellStyle name="Followed Hyperlink" xfId="5604" builtinId="9" hidden="1"/>
    <cellStyle name="Followed Hyperlink" xfId="5606" builtinId="9" hidden="1"/>
    <cellStyle name="Followed Hyperlink" xfId="5608" builtinId="9" hidden="1"/>
    <cellStyle name="Followed Hyperlink" xfId="5610" builtinId="9" hidden="1"/>
    <cellStyle name="Followed Hyperlink" xfId="5612" builtinId="9" hidden="1"/>
    <cellStyle name="Followed Hyperlink" xfId="5614" builtinId="9" hidden="1"/>
    <cellStyle name="Followed Hyperlink" xfId="5616" builtinId="9" hidden="1"/>
    <cellStyle name="Followed Hyperlink" xfId="5618" builtinId="9" hidden="1"/>
    <cellStyle name="Followed Hyperlink" xfId="5620" builtinId="9" hidden="1"/>
    <cellStyle name="Followed Hyperlink" xfId="5622" builtinId="9" hidden="1"/>
    <cellStyle name="Followed Hyperlink" xfId="5624" builtinId="9" hidden="1"/>
    <cellStyle name="Followed Hyperlink" xfId="5626" builtinId="9" hidden="1"/>
    <cellStyle name="Followed Hyperlink" xfId="5628" builtinId="9" hidden="1"/>
    <cellStyle name="Followed Hyperlink" xfId="5630" builtinId="9" hidden="1"/>
    <cellStyle name="Followed Hyperlink" xfId="5632" builtinId="9" hidden="1"/>
    <cellStyle name="Followed Hyperlink" xfId="5634" builtinId="9" hidden="1"/>
    <cellStyle name="Followed Hyperlink" xfId="5636" builtinId="9" hidden="1"/>
    <cellStyle name="Followed Hyperlink" xfId="5638" builtinId="9" hidden="1"/>
    <cellStyle name="Followed Hyperlink" xfId="5640" builtinId="9" hidden="1"/>
    <cellStyle name="Followed Hyperlink" xfId="5642" builtinId="9" hidden="1"/>
    <cellStyle name="Followed Hyperlink" xfId="5644" builtinId="9" hidden="1"/>
    <cellStyle name="Followed Hyperlink" xfId="5646" builtinId="9" hidden="1"/>
    <cellStyle name="Followed Hyperlink" xfId="5648" builtinId="9" hidden="1"/>
    <cellStyle name="Followed Hyperlink" xfId="5650" builtinId="9" hidden="1"/>
    <cellStyle name="Followed Hyperlink" xfId="5652" builtinId="9" hidden="1"/>
    <cellStyle name="Followed Hyperlink" xfId="5654" builtinId="9" hidden="1"/>
    <cellStyle name="Followed Hyperlink" xfId="5656" builtinId="9" hidden="1"/>
    <cellStyle name="Followed Hyperlink" xfId="5658" builtinId="9" hidden="1"/>
    <cellStyle name="Followed Hyperlink" xfId="5660" builtinId="9" hidden="1"/>
    <cellStyle name="Followed Hyperlink" xfId="5662" builtinId="9" hidden="1"/>
    <cellStyle name="Followed Hyperlink" xfId="5664" builtinId="9" hidden="1"/>
    <cellStyle name="Followed Hyperlink" xfId="5666" builtinId="9" hidden="1"/>
    <cellStyle name="Followed Hyperlink" xfId="5668" builtinId="9" hidden="1"/>
    <cellStyle name="Followed Hyperlink" xfId="5670" builtinId="9" hidden="1"/>
    <cellStyle name="Followed Hyperlink" xfId="5672" builtinId="9" hidden="1"/>
    <cellStyle name="Followed Hyperlink" xfId="5674" builtinId="9" hidden="1"/>
    <cellStyle name="Followed Hyperlink" xfId="5676" builtinId="9" hidden="1"/>
    <cellStyle name="Followed Hyperlink" xfId="5678" builtinId="9" hidden="1"/>
    <cellStyle name="Followed Hyperlink" xfId="5680" builtinId="9" hidden="1"/>
    <cellStyle name="Followed Hyperlink" xfId="5682" builtinId="9" hidden="1"/>
    <cellStyle name="Followed Hyperlink" xfId="5684" builtinId="9" hidden="1"/>
    <cellStyle name="Followed Hyperlink" xfId="5686" builtinId="9" hidden="1"/>
    <cellStyle name="Followed Hyperlink" xfId="5688" builtinId="9" hidden="1"/>
    <cellStyle name="Followed Hyperlink" xfId="5690" builtinId="9" hidden="1"/>
    <cellStyle name="Followed Hyperlink" xfId="5692" builtinId="9" hidden="1"/>
    <cellStyle name="Followed Hyperlink" xfId="5694" builtinId="9" hidden="1"/>
    <cellStyle name="Followed Hyperlink" xfId="5696" builtinId="9" hidden="1"/>
    <cellStyle name="Followed Hyperlink" xfId="5698" builtinId="9" hidden="1"/>
    <cellStyle name="Followed Hyperlink" xfId="5700" builtinId="9" hidden="1"/>
    <cellStyle name="Followed Hyperlink" xfId="5702" builtinId="9" hidden="1"/>
    <cellStyle name="Followed Hyperlink" xfId="5704" builtinId="9" hidden="1"/>
    <cellStyle name="Followed Hyperlink" xfId="5706" builtinId="9" hidden="1"/>
    <cellStyle name="Followed Hyperlink" xfId="5708" builtinId="9" hidden="1"/>
    <cellStyle name="Followed Hyperlink" xfId="5710" builtinId="9" hidden="1"/>
    <cellStyle name="Followed Hyperlink" xfId="5712" builtinId="9" hidden="1"/>
    <cellStyle name="Followed Hyperlink" xfId="5714" builtinId="9" hidden="1"/>
    <cellStyle name="Followed Hyperlink" xfId="5716" builtinId="9" hidden="1"/>
    <cellStyle name="Followed Hyperlink" xfId="5718" builtinId="9" hidden="1"/>
    <cellStyle name="Followed Hyperlink" xfId="5720" builtinId="9" hidden="1"/>
    <cellStyle name="Followed Hyperlink" xfId="5722" builtinId="9" hidden="1"/>
    <cellStyle name="Followed Hyperlink" xfId="5724" builtinId="9" hidden="1"/>
    <cellStyle name="Followed Hyperlink" xfId="5734" builtinId="9" hidden="1"/>
    <cellStyle name="Followed Hyperlink" xfId="5736" builtinId="9" hidden="1"/>
    <cellStyle name="Followed Hyperlink" xfId="5737" builtinId="9" hidden="1"/>
    <cellStyle name="Followed Hyperlink" xfId="5738" builtinId="9" hidden="1"/>
    <cellStyle name="Followed Hyperlink" xfId="5739" builtinId="9" hidden="1"/>
    <cellStyle name="Followed Hyperlink" xfId="5740" builtinId="9" hidden="1"/>
    <cellStyle name="Followed Hyperlink" xfId="5741" builtinId="9" hidden="1"/>
    <cellStyle name="Followed Hyperlink" xfId="5742" builtinId="9" hidden="1"/>
    <cellStyle name="Followed Hyperlink" xfId="5743" builtinId="9" hidden="1"/>
    <cellStyle name="Followed Hyperlink" xfId="5744" builtinId="9" hidden="1"/>
    <cellStyle name="Followed Hyperlink" xfId="5745" builtinId="9" hidden="1"/>
    <cellStyle name="Followed Hyperlink" xfId="5746" builtinId="9" hidden="1"/>
    <cellStyle name="Followed Hyperlink" xfId="5747" builtinId="9" hidden="1"/>
    <cellStyle name="Followed Hyperlink" xfId="5748" builtinId="9" hidden="1"/>
    <cellStyle name="Followed Hyperlink" xfId="5749" builtinId="9" hidden="1"/>
    <cellStyle name="Followed Hyperlink" xfId="5750" builtinId="9" hidden="1"/>
    <cellStyle name="Followed Hyperlink" xfId="5751" builtinId="9" hidden="1"/>
    <cellStyle name="Followed Hyperlink" xfId="5752" builtinId="9" hidden="1"/>
    <cellStyle name="Followed Hyperlink" xfId="5753" builtinId="9" hidden="1"/>
    <cellStyle name="Followed Hyperlink" xfId="5754" builtinId="9" hidden="1"/>
    <cellStyle name="Followed Hyperlink" xfId="5755" builtinId="9" hidden="1"/>
    <cellStyle name="Followed Hyperlink" xfId="5756" builtinId="9" hidden="1"/>
    <cellStyle name="Followed Hyperlink" xfId="5757" builtinId="9" hidden="1"/>
    <cellStyle name="Followed Hyperlink" xfId="5758" builtinId="9" hidden="1"/>
    <cellStyle name="Followed Hyperlink" xfId="5759" builtinId="9" hidden="1"/>
    <cellStyle name="Followed Hyperlink" xfId="5760" builtinId="9" hidden="1"/>
    <cellStyle name="Followed Hyperlink" xfId="5761" builtinId="9" hidden="1"/>
    <cellStyle name="Followed Hyperlink" xfId="5762" builtinId="9" hidden="1"/>
    <cellStyle name="Followed Hyperlink" xfId="5763" builtinId="9" hidden="1"/>
    <cellStyle name="Followed Hyperlink" xfId="5764" builtinId="9" hidden="1"/>
    <cellStyle name="Followed Hyperlink" xfId="5765" builtinId="9" hidden="1"/>
    <cellStyle name="Followed Hyperlink" xfId="5766" builtinId="9" hidden="1"/>
    <cellStyle name="Followed Hyperlink" xfId="5767" builtinId="9" hidden="1"/>
    <cellStyle name="Followed Hyperlink" xfId="5768" builtinId="9" hidden="1"/>
    <cellStyle name="Followed Hyperlink" xfId="5769" builtinId="9" hidden="1"/>
    <cellStyle name="Followed Hyperlink" xfId="5770" builtinId="9" hidden="1"/>
    <cellStyle name="Followed Hyperlink" xfId="5771" builtinId="9" hidden="1"/>
    <cellStyle name="Followed Hyperlink" xfId="5772" builtinId="9" hidden="1"/>
    <cellStyle name="Followed Hyperlink" xfId="5773" builtinId="9" hidden="1"/>
    <cellStyle name="Followed Hyperlink" xfId="5774" builtinId="9" hidden="1"/>
    <cellStyle name="Followed Hyperlink" xfId="5775" builtinId="9" hidden="1"/>
    <cellStyle name="Followed Hyperlink" xfId="5776" builtinId="9" hidden="1"/>
    <cellStyle name="Followed Hyperlink" xfId="5777" builtinId="9" hidden="1"/>
    <cellStyle name="Followed Hyperlink" xfId="5778" builtinId="9" hidden="1"/>
    <cellStyle name="Followed Hyperlink" xfId="5779" builtinId="9" hidden="1"/>
    <cellStyle name="Followed Hyperlink" xfId="5780" builtinId="9" hidden="1"/>
    <cellStyle name="Followed Hyperlink" xfId="5781" builtinId="9" hidden="1"/>
    <cellStyle name="Followed Hyperlink" xfId="5782" builtinId="9" hidden="1"/>
    <cellStyle name="Followed Hyperlink" xfId="5783" builtinId="9" hidden="1"/>
    <cellStyle name="Followed Hyperlink" xfId="5784" builtinId="9" hidden="1"/>
    <cellStyle name="Followed Hyperlink" xfId="5785" builtinId="9" hidden="1"/>
    <cellStyle name="Followed Hyperlink" xfId="5786" builtinId="9" hidden="1"/>
    <cellStyle name="Followed Hyperlink" xfId="5787" builtinId="9" hidden="1"/>
    <cellStyle name="Followed Hyperlink" xfId="5788" builtinId="9" hidden="1"/>
    <cellStyle name="Followed Hyperlink" xfId="5789" builtinId="9" hidden="1"/>
    <cellStyle name="Followed Hyperlink" xfId="5790" builtinId="9" hidden="1"/>
    <cellStyle name="Followed Hyperlink" xfId="5791" builtinId="9" hidden="1"/>
    <cellStyle name="Followed Hyperlink" xfId="5792" builtinId="9" hidden="1"/>
    <cellStyle name="Followed Hyperlink" xfId="5793" builtinId="9" hidden="1"/>
    <cellStyle name="Followed Hyperlink" xfId="5794" builtinId="9" hidden="1"/>
    <cellStyle name="Followed Hyperlink" xfId="5795" builtinId="9" hidden="1"/>
    <cellStyle name="Followed Hyperlink" xfId="5796" builtinId="9" hidden="1"/>
    <cellStyle name="Followed Hyperlink" xfId="5797" builtinId="9" hidden="1"/>
    <cellStyle name="Followed Hyperlink" xfId="5798" builtinId="9" hidden="1"/>
    <cellStyle name="Followed Hyperlink" xfId="5799" builtinId="9" hidden="1"/>
    <cellStyle name="Followed Hyperlink" xfId="5800" builtinId="9" hidden="1"/>
    <cellStyle name="Followed Hyperlink" xfId="5801" builtinId="9" hidden="1"/>
    <cellStyle name="Followed Hyperlink" xfId="5802" builtinId="9" hidden="1"/>
    <cellStyle name="Followed Hyperlink" xfId="5803" builtinId="9" hidden="1"/>
    <cellStyle name="Followed Hyperlink" xfId="5804" builtinId="9" hidden="1"/>
    <cellStyle name="Followed Hyperlink" xfId="5805" builtinId="9" hidden="1"/>
    <cellStyle name="Followed Hyperlink" xfId="5806" builtinId="9" hidden="1"/>
    <cellStyle name="Followed Hyperlink" xfId="5807" builtinId="9" hidden="1"/>
    <cellStyle name="Followed Hyperlink" xfId="5808" builtinId="9" hidden="1"/>
    <cellStyle name="Followed Hyperlink" xfId="5809" builtinId="9" hidden="1"/>
    <cellStyle name="Followed Hyperlink" xfId="5810" builtinId="9" hidden="1"/>
    <cellStyle name="Followed Hyperlink" xfId="5811" builtinId="9" hidden="1"/>
    <cellStyle name="Followed Hyperlink" xfId="5812" builtinId="9" hidden="1"/>
    <cellStyle name="Followed Hyperlink" xfId="5813" builtinId="9" hidden="1"/>
    <cellStyle name="Followed Hyperlink" xfId="5814" builtinId="9" hidden="1"/>
    <cellStyle name="Followed Hyperlink" xfId="5815" builtinId="9" hidden="1"/>
    <cellStyle name="Followed Hyperlink" xfId="5816" builtinId="9" hidden="1"/>
    <cellStyle name="Followed Hyperlink" xfId="5817" builtinId="9" hidden="1"/>
    <cellStyle name="Followed Hyperlink" xfId="5818" builtinId="9" hidden="1"/>
    <cellStyle name="Followed Hyperlink" xfId="5819" builtinId="9" hidden="1"/>
    <cellStyle name="Followed Hyperlink" xfId="5820" builtinId="9" hidden="1"/>
    <cellStyle name="Followed Hyperlink" xfId="5821" builtinId="9" hidden="1"/>
    <cellStyle name="Followed Hyperlink" xfId="5822" builtinId="9" hidden="1"/>
    <cellStyle name="Followed Hyperlink" xfId="5823" builtinId="9" hidden="1"/>
    <cellStyle name="Followed Hyperlink" xfId="5824" builtinId="9" hidden="1"/>
    <cellStyle name="Followed Hyperlink" xfId="5825" builtinId="9" hidden="1"/>
    <cellStyle name="Followed Hyperlink" xfId="5826" builtinId="9" hidden="1"/>
    <cellStyle name="Followed Hyperlink" xfId="5827" builtinId="9" hidden="1"/>
    <cellStyle name="Followed Hyperlink" xfId="5828" builtinId="9" hidden="1"/>
    <cellStyle name="Followed Hyperlink" xfId="5829" builtinId="9" hidden="1"/>
    <cellStyle name="Followed Hyperlink" xfId="5830" builtinId="9" hidden="1"/>
    <cellStyle name="Followed Hyperlink" xfId="5831" builtinId="9" hidden="1"/>
    <cellStyle name="Followed Hyperlink" xfId="5832" builtinId="9" hidden="1"/>
    <cellStyle name="Followed Hyperlink" xfId="5833" builtinId="9" hidden="1"/>
    <cellStyle name="Followed Hyperlink" xfId="5834" builtinId="9" hidden="1"/>
    <cellStyle name="Followed Hyperlink" xfId="5835" builtinId="9" hidden="1"/>
    <cellStyle name="Followed Hyperlink" xfId="5836" builtinId="9" hidden="1"/>
    <cellStyle name="Followed Hyperlink" xfId="5837" builtinId="9" hidden="1"/>
    <cellStyle name="Followed Hyperlink" xfId="5838" builtinId="9" hidden="1"/>
    <cellStyle name="Followed Hyperlink" xfId="5839" builtinId="9" hidden="1"/>
    <cellStyle name="Followed Hyperlink" xfId="5840" builtinId="9" hidden="1"/>
    <cellStyle name="Followed Hyperlink" xfId="5841" builtinId="9" hidden="1"/>
    <cellStyle name="Followed Hyperlink" xfId="5842" builtinId="9" hidden="1"/>
    <cellStyle name="Followed Hyperlink" xfId="5843" builtinId="9" hidden="1"/>
    <cellStyle name="Followed Hyperlink" xfId="5844" builtinId="9" hidden="1"/>
    <cellStyle name="Followed Hyperlink" xfId="5845" builtinId="9" hidden="1"/>
    <cellStyle name="Followed Hyperlink" xfId="5846" builtinId="9" hidden="1"/>
    <cellStyle name="Followed Hyperlink" xfId="5847" builtinId="9" hidden="1"/>
    <cellStyle name="Followed Hyperlink" xfId="5848" builtinId="9" hidden="1"/>
    <cellStyle name="Followed Hyperlink" xfId="5849" builtinId="9" hidden="1"/>
    <cellStyle name="header" xfId="8"/>
    <cellStyle name="Header Total" xfId="9"/>
    <cellStyle name="Header1" xfId="10"/>
    <cellStyle name="Header2" xfId="11"/>
    <cellStyle name="Header3" xfId="12"/>
    <cellStyle name="Heading 1 2" xfId="1626"/>
    <cellStyle name="Heading 1 3" xfId="1627"/>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35" builtinId="8" hidden="1"/>
    <cellStyle name="Hyperlink" xfId="637" builtinId="8" hidden="1"/>
    <cellStyle name="Hyperlink" xfId="639" builtinId="8" hidden="1"/>
    <cellStyle name="Hyperlink" xfId="641" builtinId="8" hidden="1"/>
    <cellStyle name="Hyperlink" xfId="643" builtinId="8" hidden="1"/>
    <cellStyle name="Hyperlink" xfId="645" builtinId="8" hidden="1"/>
    <cellStyle name="Hyperlink" xfId="647" builtinId="8" hidden="1"/>
    <cellStyle name="Hyperlink" xfId="649" builtinId="8" hidden="1"/>
    <cellStyle name="Hyperlink" xfId="651" builtinId="8" hidden="1"/>
    <cellStyle name="Hyperlink" xfId="653" builtinId="8" hidden="1"/>
    <cellStyle name="Hyperlink" xfId="655" builtinId="8" hidden="1"/>
    <cellStyle name="Hyperlink" xfId="657" builtinId="8" hidden="1"/>
    <cellStyle name="Hyperlink" xfId="659" builtinId="8" hidden="1"/>
    <cellStyle name="Hyperlink" xfId="661" builtinId="8" hidden="1"/>
    <cellStyle name="Hyperlink" xfId="663" builtinId="8" hidden="1"/>
    <cellStyle name="Hyperlink" xfId="665" builtinId="8" hidden="1"/>
    <cellStyle name="Hyperlink" xfId="667" builtinId="8" hidden="1"/>
    <cellStyle name="Hyperlink" xfId="669" builtinId="8" hidden="1"/>
    <cellStyle name="Hyperlink" xfId="671" builtinId="8" hidden="1"/>
    <cellStyle name="Hyperlink" xfId="673" builtinId="8" hidden="1"/>
    <cellStyle name="Hyperlink" xfId="675" builtinId="8" hidden="1"/>
    <cellStyle name="Hyperlink" xfId="677" builtinId="8" hidden="1"/>
    <cellStyle name="Hyperlink" xfId="679" builtinId="8" hidden="1"/>
    <cellStyle name="Hyperlink" xfId="681" builtinId="8" hidden="1"/>
    <cellStyle name="Hyperlink" xfId="683" builtinId="8" hidden="1"/>
    <cellStyle name="Hyperlink" xfId="685" builtinId="8" hidden="1"/>
    <cellStyle name="Hyperlink" xfId="687" builtinId="8" hidden="1"/>
    <cellStyle name="Hyperlink" xfId="689" builtinId="8" hidden="1"/>
    <cellStyle name="Hyperlink" xfId="691" builtinId="8" hidden="1"/>
    <cellStyle name="Hyperlink" xfId="693" builtinId="8" hidden="1"/>
    <cellStyle name="Hyperlink" xfId="695" builtinId="8" hidden="1"/>
    <cellStyle name="Hyperlink" xfId="697" builtinId="8" hidden="1"/>
    <cellStyle name="Hyperlink" xfId="699" builtinId="8" hidden="1"/>
    <cellStyle name="Hyperlink" xfId="701" builtinId="8" hidden="1"/>
    <cellStyle name="Hyperlink" xfId="703" builtinId="8" hidden="1"/>
    <cellStyle name="Hyperlink" xfId="705" builtinId="8" hidden="1"/>
    <cellStyle name="Hyperlink" xfId="707" builtinId="8" hidden="1"/>
    <cellStyle name="Hyperlink" xfId="709" builtinId="8" hidden="1"/>
    <cellStyle name="Hyperlink" xfId="711" builtinId="8" hidden="1"/>
    <cellStyle name="Hyperlink" xfId="713" builtinId="8" hidden="1"/>
    <cellStyle name="Hyperlink" xfId="715" builtinId="8" hidden="1"/>
    <cellStyle name="Hyperlink" xfId="717" builtinId="8" hidden="1"/>
    <cellStyle name="Hyperlink" xfId="719" builtinId="8" hidden="1"/>
    <cellStyle name="Hyperlink" xfId="721" builtinId="8" hidden="1"/>
    <cellStyle name="Hyperlink" xfId="723" builtinId="8" hidden="1"/>
    <cellStyle name="Hyperlink" xfId="725" builtinId="8" hidden="1"/>
    <cellStyle name="Hyperlink" xfId="727" builtinId="8" hidden="1"/>
    <cellStyle name="Hyperlink" xfId="729" builtinId="8" hidden="1"/>
    <cellStyle name="Hyperlink" xfId="731" builtinId="8" hidden="1"/>
    <cellStyle name="Hyperlink" xfId="733" builtinId="8" hidden="1"/>
    <cellStyle name="Hyperlink" xfId="735" builtinId="8" hidden="1"/>
    <cellStyle name="Hyperlink" xfId="737" builtinId="8" hidden="1"/>
    <cellStyle name="Hyperlink" xfId="739" builtinId="8" hidden="1"/>
    <cellStyle name="Hyperlink" xfId="741" builtinId="8" hidden="1"/>
    <cellStyle name="Hyperlink" xfId="743" builtinId="8" hidden="1"/>
    <cellStyle name="Hyperlink" xfId="745" builtinId="8" hidden="1"/>
    <cellStyle name="Hyperlink" xfId="747" builtinId="8" hidden="1"/>
    <cellStyle name="Hyperlink" xfId="749" builtinId="8" hidden="1"/>
    <cellStyle name="Hyperlink" xfId="751" builtinId="8" hidden="1"/>
    <cellStyle name="Hyperlink" xfId="753" builtinId="8" hidden="1"/>
    <cellStyle name="Hyperlink" xfId="755" builtinId="8" hidden="1"/>
    <cellStyle name="Hyperlink" xfId="757" builtinId="8" hidden="1"/>
    <cellStyle name="Hyperlink" xfId="759" builtinId="8" hidden="1"/>
    <cellStyle name="Hyperlink" xfId="761" builtinId="8" hidden="1"/>
    <cellStyle name="Hyperlink" xfId="763" builtinId="8" hidden="1"/>
    <cellStyle name="Hyperlink" xfId="765" builtinId="8" hidden="1"/>
    <cellStyle name="Hyperlink" xfId="767" builtinId="8" hidden="1"/>
    <cellStyle name="Hyperlink" xfId="769" builtinId="8" hidden="1"/>
    <cellStyle name="Hyperlink" xfId="771" builtinId="8" hidden="1"/>
    <cellStyle name="Hyperlink" xfId="773" builtinId="8" hidden="1"/>
    <cellStyle name="Hyperlink" xfId="775" builtinId="8" hidden="1"/>
    <cellStyle name="Hyperlink" xfId="777" builtinId="8" hidden="1"/>
    <cellStyle name="Hyperlink" xfId="779" builtinId="8" hidden="1"/>
    <cellStyle name="Hyperlink" xfId="781" builtinId="8" hidden="1"/>
    <cellStyle name="Hyperlink" xfId="783" builtinId="8" hidden="1"/>
    <cellStyle name="Hyperlink" xfId="785" builtinId="8" hidden="1"/>
    <cellStyle name="Hyperlink" xfId="787" builtinId="8" hidden="1"/>
    <cellStyle name="Hyperlink" xfId="789" builtinId="8" hidden="1"/>
    <cellStyle name="Hyperlink" xfId="791" builtinId="8" hidden="1"/>
    <cellStyle name="Hyperlink" xfId="793" builtinId="8" hidden="1"/>
    <cellStyle name="Hyperlink" xfId="795" builtinId="8" hidden="1"/>
    <cellStyle name="Hyperlink" xfId="797" builtinId="8" hidden="1"/>
    <cellStyle name="Hyperlink" xfId="799" builtinId="8" hidden="1"/>
    <cellStyle name="Hyperlink" xfId="801" builtinId="8" hidden="1"/>
    <cellStyle name="Hyperlink" xfId="803" builtinId="8" hidden="1"/>
    <cellStyle name="Hyperlink" xfId="805" builtinId="8" hidden="1"/>
    <cellStyle name="Hyperlink" xfId="807" builtinId="8" hidden="1"/>
    <cellStyle name="Hyperlink" xfId="809" builtinId="8" hidden="1"/>
    <cellStyle name="Hyperlink" xfId="811" builtinId="8" hidden="1"/>
    <cellStyle name="Hyperlink" xfId="813" builtinId="8" hidden="1"/>
    <cellStyle name="Hyperlink" xfId="815" builtinId="8" hidden="1"/>
    <cellStyle name="Hyperlink" xfId="817" builtinId="8" hidden="1"/>
    <cellStyle name="Hyperlink" xfId="819" builtinId="8" hidden="1"/>
    <cellStyle name="Hyperlink" xfId="821" builtinId="8" hidden="1"/>
    <cellStyle name="Hyperlink" xfId="823" builtinId="8" hidden="1"/>
    <cellStyle name="Hyperlink" xfId="825" builtinId="8" hidden="1"/>
    <cellStyle name="Hyperlink" xfId="827" builtinId="8" hidden="1"/>
    <cellStyle name="Hyperlink" xfId="829" builtinId="8" hidden="1"/>
    <cellStyle name="Hyperlink" xfId="831" builtinId="8" hidden="1"/>
    <cellStyle name="Hyperlink" xfId="833" builtinId="8" hidden="1"/>
    <cellStyle name="Hyperlink" xfId="835" builtinId="8" hidden="1"/>
    <cellStyle name="Hyperlink" xfId="837" builtinId="8" hidden="1"/>
    <cellStyle name="Hyperlink" xfId="839" builtinId="8" hidden="1"/>
    <cellStyle name="Hyperlink" xfId="841" builtinId="8" hidden="1"/>
    <cellStyle name="Hyperlink" xfId="843" builtinId="8" hidden="1"/>
    <cellStyle name="Hyperlink" xfId="845" builtinId="8" hidden="1"/>
    <cellStyle name="Hyperlink" xfId="847" builtinId="8" hidden="1"/>
    <cellStyle name="Hyperlink" xfId="849" builtinId="8" hidden="1"/>
    <cellStyle name="Hyperlink" xfId="851" builtinId="8" hidden="1"/>
    <cellStyle name="Hyperlink" xfId="853" builtinId="8" hidden="1"/>
    <cellStyle name="Hyperlink" xfId="855" builtinId="8" hidden="1"/>
    <cellStyle name="Hyperlink" xfId="857" builtinId="8" hidden="1"/>
    <cellStyle name="Hyperlink" xfId="859" builtinId="8" hidden="1"/>
    <cellStyle name="Hyperlink" xfId="861" builtinId="8" hidden="1"/>
    <cellStyle name="Hyperlink" xfId="863" builtinId="8" hidden="1"/>
    <cellStyle name="Hyperlink" xfId="865" builtinId="8" hidden="1"/>
    <cellStyle name="Hyperlink" xfId="867" builtinId="8" hidden="1"/>
    <cellStyle name="Hyperlink" xfId="869" builtinId="8" hidden="1"/>
    <cellStyle name="Hyperlink" xfId="871" builtinId="8" hidden="1"/>
    <cellStyle name="Hyperlink" xfId="873" builtinId="8" hidden="1"/>
    <cellStyle name="Hyperlink" xfId="875" builtinId="8" hidden="1"/>
    <cellStyle name="Hyperlink" xfId="877" builtinId="8" hidden="1"/>
    <cellStyle name="Hyperlink" xfId="879" builtinId="8" hidden="1"/>
    <cellStyle name="Hyperlink" xfId="881" builtinId="8" hidden="1"/>
    <cellStyle name="Hyperlink" xfId="883" builtinId="8" hidden="1"/>
    <cellStyle name="Hyperlink" xfId="885" builtinId="8" hidden="1"/>
    <cellStyle name="Hyperlink" xfId="887" builtinId="8" hidden="1"/>
    <cellStyle name="Hyperlink" xfId="889" builtinId="8" hidden="1"/>
    <cellStyle name="Hyperlink" xfId="891" builtinId="8" hidden="1"/>
    <cellStyle name="Hyperlink" xfId="893" builtinId="8" hidden="1"/>
    <cellStyle name="Hyperlink" xfId="895" builtinId="8" hidden="1"/>
    <cellStyle name="Hyperlink" xfId="897" builtinId="8" hidden="1"/>
    <cellStyle name="Hyperlink" xfId="899" builtinId="8" hidden="1"/>
    <cellStyle name="Hyperlink" xfId="901" builtinId="8" hidden="1"/>
    <cellStyle name="Hyperlink" xfId="903" builtinId="8" hidden="1"/>
    <cellStyle name="Hyperlink" xfId="905" builtinId="8" hidden="1"/>
    <cellStyle name="Hyperlink" xfId="907" builtinId="8" hidden="1"/>
    <cellStyle name="Hyperlink" xfId="909" builtinId="8" hidden="1"/>
    <cellStyle name="Hyperlink" xfId="911" builtinId="8" hidden="1"/>
    <cellStyle name="Hyperlink" xfId="913" builtinId="8" hidden="1"/>
    <cellStyle name="Hyperlink" xfId="915" builtinId="8" hidden="1"/>
    <cellStyle name="Hyperlink" xfId="917" builtinId="8" hidden="1"/>
    <cellStyle name="Hyperlink" xfId="919" builtinId="8" hidden="1"/>
    <cellStyle name="Hyperlink" xfId="921" builtinId="8" hidden="1"/>
    <cellStyle name="Hyperlink" xfId="923" builtinId="8" hidden="1"/>
    <cellStyle name="Hyperlink" xfId="925" builtinId="8" hidden="1"/>
    <cellStyle name="Hyperlink" xfId="927" builtinId="8" hidden="1"/>
    <cellStyle name="Hyperlink" xfId="929" builtinId="8" hidden="1"/>
    <cellStyle name="Hyperlink" xfId="931" builtinId="8" hidden="1"/>
    <cellStyle name="Hyperlink" xfId="933" builtinId="8" hidden="1"/>
    <cellStyle name="Hyperlink" xfId="935" builtinId="8" hidden="1"/>
    <cellStyle name="Hyperlink" xfId="937" builtinId="8" hidden="1"/>
    <cellStyle name="Hyperlink" xfId="939" builtinId="8" hidden="1"/>
    <cellStyle name="Hyperlink" xfId="941" builtinId="8" hidden="1"/>
    <cellStyle name="Hyperlink" xfId="943" builtinId="8" hidden="1"/>
    <cellStyle name="Hyperlink" xfId="945" builtinId="8" hidden="1"/>
    <cellStyle name="Hyperlink" xfId="947" builtinId="8" hidden="1"/>
    <cellStyle name="Hyperlink" xfId="949" builtinId="8" hidden="1"/>
    <cellStyle name="Hyperlink" xfId="951" builtinId="8" hidden="1"/>
    <cellStyle name="Hyperlink" xfId="953" builtinId="8" hidden="1"/>
    <cellStyle name="Hyperlink" xfId="955" builtinId="8" hidden="1"/>
    <cellStyle name="Hyperlink" xfId="957" builtinId="8" hidden="1"/>
    <cellStyle name="Hyperlink" xfId="959" builtinId="8" hidden="1"/>
    <cellStyle name="Hyperlink" xfId="961" builtinId="8" hidden="1"/>
    <cellStyle name="Hyperlink" xfId="963" builtinId="8" hidden="1"/>
    <cellStyle name="Hyperlink" xfId="965" builtinId="8" hidden="1"/>
    <cellStyle name="Hyperlink" xfId="967" builtinId="8" hidden="1"/>
    <cellStyle name="Hyperlink" xfId="969" builtinId="8" hidden="1"/>
    <cellStyle name="Hyperlink" xfId="971" builtinId="8" hidden="1"/>
    <cellStyle name="Hyperlink" xfId="973" builtinId="8" hidden="1"/>
    <cellStyle name="Hyperlink" xfId="975" builtinId="8" hidden="1"/>
    <cellStyle name="Hyperlink" xfId="977" builtinId="8" hidden="1"/>
    <cellStyle name="Hyperlink" xfId="979" builtinId="8" hidden="1"/>
    <cellStyle name="Hyperlink" xfId="981" builtinId="8" hidden="1"/>
    <cellStyle name="Hyperlink" xfId="983" builtinId="8" hidden="1"/>
    <cellStyle name="Hyperlink" xfId="985" builtinId="8" hidden="1"/>
    <cellStyle name="Hyperlink" xfId="987" builtinId="8" hidden="1"/>
    <cellStyle name="Hyperlink" xfId="989" builtinId="8" hidden="1"/>
    <cellStyle name="Hyperlink" xfId="991" builtinId="8" hidden="1"/>
    <cellStyle name="Hyperlink" xfId="993" builtinId="8" hidden="1"/>
    <cellStyle name="Hyperlink" xfId="995" builtinId="8" hidden="1"/>
    <cellStyle name="Hyperlink" xfId="997" builtinId="8" hidden="1"/>
    <cellStyle name="Hyperlink" xfId="999" builtinId="8" hidden="1"/>
    <cellStyle name="Hyperlink" xfId="1001" builtinId="8" hidden="1"/>
    <cellStyle name="Hyperlink" xfId="1003" builtinId="8" hidden="1"/>
    <cellStyle name="Hyperlink" xfId="1005" builtinId="8" hidden="1"/>
    <cellStyle name="Hyperlink" xfId="1007" builtinId="8" hidden="1"/>
    <cellStyle name="Hyperlink" xfId="1009" builtinId="8" hidden="1"/>
    <cellStyle name="Hyperlink" xfId="1011" builtinId="8" hidden="1"/>
    <cellStyle name="Hyperlink" xfId="1013" builtinId="8" hidden="1"/>
    <cellStyle name="Hyperlink" xfId="1015" builtinId="8" hidden="1"/>
    <cellStyle name="Hyperlink" xfId="1017" builtinId="8" hidden="1"/>
    <cellStyle name="Hyperlink" xfId="1019" builtinId="8" hidden="1"/>
    <cellStyle name="Hyperlink" xfId="1021" builtinId="8" hidden="1"/>
    <cellStyle name="Hyperlink" xfId="1023" builtinId="8" hidden="1"/>
    <cellStyle name="Hyperlink" xfId="1025" builtinId="8" hidden="1"/>
    <cellStyle name="Hyperlink" xfId="1027" builtinId="8" hidden="1"/>
    <cellStyle name="Hyperlink" xfId="1029" builtinId="8" hidden="1"/>
    <cellStyle name="Hyperlink" xfId="1031" builtinId="8" hidden="1"/>
    <cellStyle name="Hyperlink" xfId="1033" builtinId="8" hidden="1"/>
    <cellStyle name="Hyperlink" xfId="1035" builtinId="8" hidden="1"/>
    <cellStyle name="Hyperlink" xfId="1037" builtinId="8" hidden="1"/>
    <cellStyle name="Hyperlink" xfId="1039" builtinId="8" hidden="1"/>
    <cellStyle name="Hyperlink" xfId="1041" builtinId="8" hidden="1"/>
    <cellStyle name="Hyperlink" xfId="1043" builtinId="8" hidden="1"/>
    <cellStyle name="Hyperlink" xfId="1045" builtinId="8" hidden="1"/>
    <cellStyle name="Hyperlink" xfId="1047" builtinId="8" hidden="1"/>
    <cellStyle name="Hyperlink" xfId="1049" builtinId="8" hidden="1"/>
    <cellStyle name="Hyperlink" xfId="1051" builtinId="8" hidden="1"/>
    <cellStyle name="Hyperlink" xfId="1053" builtinId="8" hidden="1"/>
    <cellStyle name="Hyperlink" xfId="1055" builtinId="8" hidden="1"/>
    <cellStyle name="Hyperlink" xfId="1057" builtinId="8" hidden="1"/>
    <cellStyle name="Hyperlink" xfId="1059" builtinId="8" hidden="1"/>
    <cellStyle name="Hyperlink" xfId="1061" builtinId="8" hidden="1"/>
    <cellStyle name="Hyperlink" xfId="1063" builtinId="8" hidden="1"/>
    <cellStyle name="Hyperlink" xfId="1065" builtinId="8" hidden="1"/>
    <cellStyle name="Hyperlink" xfId="1067" builtinId="8" hidden="1"/>
    <cellStyle name="Hyperlink" xfId="1069" builtinId="8" hidden="1"/>
    <cellStyle name="Hyperlink" xfId="1071" builtinId="8" hidden="1"/>
    <cellStyle name="Hyperlink" xfId="1073" builtinId="8" hidden="1"/>
    <cellStyle name="Hyperlink" xfId="1077" builtinId="8" hidden="1"/>
    <cellStyle name="Hyperlink" xfId="1079" builtinId="8" hidden="1"/>
    <cellStyle name="Hyperlink" xfId="1081" builtinId="8" hidden="1"/>
    <cellStyle name="Hyperlink" xfId="1083" builtinId="8" hidden="1"/>
    <cellStyle name="Hyperlink" xfId="1085" builtinId="8" hidden="1"/>
    <cellStyle name="Hyperlink" xfId="1087" builtinId="8" hidden="1"/>
    <cellStyle name="Hyperlink" xfId="1089" builtinId="8" hidden="1"/>
    <cellStyle name="Hyperlink" xfId="1091" builtinId="8" hidden="1"/>
    <cellStyle name="Hyperlink" xfId="1093" builtinId="8" hidden="1"/>
    <cellStyle name="Hyperlink" xfId="1095" builtinId="8" hidden="1"/>
    <cellStyle name="Hyperlink" xfId="1097" builtinId="8" hidden="1"/>
    <cellStyle name="Hyperlink" xfId="1099" builtinId="8" hidden="1"/>
    <cellStyle name="Hyperlink" xfId="1101" builtinId="8" hidden="1"/>
    <cellStyle name="Hyperlink" xfId="1103" builtinId="8" hidden="1"/>
    <cellStyle name="Hyperlink" xfId="1105" builtinId="8" hidden="1"/>
    <cellStyle name="Hyperlink" xfId="1107" builtinId="8" hidden="1"/>
    <cellStyle name="Hyperlink" xfId="1109" builtinId="8" hidden="1"/>
    <cellStyle name="Hyperlink" xfId="1111" builtinId="8" hidden="1"/>
    <cellStyle name="Hyperlink" xfId="1113" builtinId="8" hidden="1"/>
    <cellStyle name="Hyperlink" xfId="1115" builtinId="8" hidden="1"/>
    <cellStyle name="Hyperlink" xfId="1117" builtinId="8" hidden="1"/>
    <cellStyle name="Hyperlink" xfId="1119" builtinId="8" hidden="1"/>
    <cellStyle name="Hyperlink" xfId="1121" builtinId="8" hidden="1"/>
    <cellStyle name="Hyperlink" xfId="1123" builtinId="8" hidden="1"/>
    <cellStyle name="Hyperlink" xfId="1125" builtinId="8" hidden="1"/>
    <cellStyle name="Hyperlink" xfId="1127" builtinId="8" hidden="1"/>
    <cellStyle name="Hyperlink" xfId="1129" builtinId="8" hidden="1"/>
    <cellStyle name="Hyperlink" xfId="1131" builtinId="8" hidden="1"/>
    <cellStyle name="Hyperlink" xfId="1133" builtinId="8" hidden="1"/>
    <cellStyle name="Hyperlink" xfId="1135" builtinId="8" hidden="1"/>
    <cellStyle name="Hyperlink" xfId="1137" builtinId="8" hidden="1"/>
    <cellStyle name="Hyperlink" xfId="1139" builtinId="8" hidden="1"/>
    <cellStyle name="Hyperlink" xfId="1141" builtinId="8" hidden="1"/>
    <cellStyle name="Hyperlink" xfId="1143" builtinId="8" hidden="1"/>
    <cellStyle name="Hyperlink" xfId="1145" builtinId="8" hidden="1"/>
    <cellStyle name="Hyperlink" xfId="1147" builtinId="8" hidden="1"/>
    <cellStyle name="Hyperlink" xfId="1149" builtinId="8" hidden="1"/>
    <cellStyle name="Hyperlink" xfId="1151" builtinId="8" hidden="1"/>
    <cellStyle name="Hyperlink" xfId="1153" builtinId="8" hidden="1"/>
    <cellStyle name="Hyperlink" xfId="1155" builtinId="8" hidden="1"/>
    <cellStyle name="Hyperlink" xfId="1157" builtinId="8" hidden="1"/>
    <cellStyle name="Hyperlink" xfId="1159" builtinId="8" hidden="1"/>
    <cellStyle name="Hyperlink" xfId="1161" builtinId="8" hidden="1"/>
    <cellStyle name="Hyperlink" xfId="1163" builtinId="8" hidden="1"/>
    <cellStyle name="Hyperlink" xfId="1165" builtinId="8" hidden="1"/>
    <cellStyle name="Hyperlink" xfId="1167" builtinId="8" hidden="1"/>
    <cellStyle name="Hyperlink" xfId="1169" builtinId="8" hidden="1"/>
    <cellStyle name="Hyperlink" xfId="1171" builtinId="8" hidden="1"/>
    <cellStyle name="Hyperlink" xfId="1173" builtinId="8" hidden="1"/>
    <cellStyle name="Hyperlink" xfId="1175" builtinId="8" hidden="1"/>
    <cellStyle name="Hyperlink" xfId="1177" builtinId="8" hidden="1"/>
    <cellStyle name="Hyperlink" xfId="1179" builtinId="8" hidden="1"/>
    <cellStyle name="Hyperlink" xfId="1181" builtinId="8" hidden="1"/>
    <cellStyle name="Hyperlink" xfId="1183" builtinId="8" hidden="1"/>
    <cellStyle name="Hyperlink" xfId="1185" builtinId="8" hidden="1"/>
    <cellStyle name="Hyperlink" xfId="1187" builtinId="8" hidden="1"/>
    <cellStyle name="Hyperlink" xfId="1189" builtinId="8" hidden="1"/>
    <cellStyle name="Hyperlink" xfId="1191" builtinId="8" hidden="1"/>
    <cellStyle name="Hyperlink" xfId="1193" builtinId="8" hidden="1"/>
    <cellStyle name="Hyperlink" xfId="1195" builtinId="8" hidden="1"/>
    <cellStyle name="Hyperlink" xfId="1197" builtinId="8" hidden="1"/>
    <cellStyle name="Hyperlink" xfId="1199" builtinId="8" hidden="1"/>
    <cellStyle name="Hyperlink" xfId="1201" builtinId="8" hidden="1"/>
    <cellStyle name="Hyperlink" xfId="1203" builtinId="8" hidden="1"/>
    <cellStyle name="Hyperlink" xfId="1205" builtinId="8" hidden="1"/>
    <cellStyle name="Hyperlink" xfId="1207" builtinId="8" hidden="1"/>
    <cellStyle name="Hyperlink" xfId="1209" builtinId="8" hidden="1"/>
    <cellStyle name="Hyperlink" xfId="1211" builtinId="8" hidden="1"/>
    <cellStyle name="Hyperlink" xfId="1213" builtinId="8" hidden="1"/>
    <cellStyle name="Hyperlink" xfId="1215" builtinId="8" hidden="1"/>
    <cellStyle name="Hyperlink" xfId="1217" builtinId="8" hidden="1"/>
    <cellStyle name="Hyperlink" xfId="1219" builtinId="8" hidden="1"/>
    <cellStyle name="Hyperlink" xfId="1221" builtinId="8" hidden="1"/>
    <cellStyle name="Hyperlink" xfId="1223" builtinId="8" hidden="1"/>
    <cellStyle name="Hyperlink" xfId="1225" builtinId="8" hidden="1"/>
    <cellStyle name="Hyperlink" xfId="1227" builtinId="8" hidden="1"/>
    <cellStyle name="Hyperlink" xfId="1229" builtinId="8" hidden="1"/>
    <cellStyle name="Hyperlink" xfId="1231" builtinId="8" hidden="1"/>
    <cellStyle name="Hyperlink" xfId="1233" builtinId="8" hidden="1"/>
    <cellStyle name="Hyperlink" xfId="1235" builtinId="8" hidden="1"/>
    <cellStyle name="Hyperlink" xfId="1237" builtinId="8" hidden="1"/>
    <cellStyle name="Hyperlink" xfId="1239" builtinId="8" hidden="1"/>
    <cellStyle name="Hyperlink" xfId="1241" builtinId="8" hidden="1"/>
    <cellStyle name="Hyperlink" xfId="1243" builtinId="8" hidden="1"/>
    <cellStyle name="Hyperlink" xfId="1245" builtinId="8" hidden="1"/>
    <cellStyle name="Hyperlink" xfId="1247" builtinId="8" hidden="1"/>
    <cellStyle name="Hyperlink" xfId="1249" builtinId="8" hidden="1"/>
    <cellStyle name="Hyperlink" xfId="1251" builtinId="8" hidden="1"/>
    <cellStyle name="Hyperlink" xfId="1253" builtinId="8" hidden="1"/>
    <cellStyle name="Hyperlink" xfId="1255" builtinId="8" hidden="1"/>
    <cellStyle name="Hyperlink" xfId="1257" builtinId="8" hidden="1"/>
    <cellStyle name="Hyperlink" xfId="1259" builtinId="8" hidden="1"/>
    <cellStyle name="Hyperlink" xfId="1261" builtinId="8" hidden="1"/>
    <cellStyle name="Hyperlink" xfId="1263" builtinId="8" hidden="1"/>
    <cellStyle name="Hyperlink" xfId="1265" builtinId="8" hidden="1"/>
    <cellStyle name="Hyperlink" xfId="1267" builtinId="8" hidden="1"/>
    <cellStyle name="Hyperlink" xfId="1269" builtinId="8" hidden="1"/>
    <cellStyle name="Hyperlink" xfId="1271" builtinId="8" hidden="1"/>
    <cellStyle name="Hyperlink" xfId="1273" builtinId="8" hidden="1"/>
    <cellStyle name="Hyperlink" xfId="1275" builtinId="8" hidden="1"/>
    <cellStyle name="Hyperlink" xfId="1277" builtinId="8" hidden="1"/>
    <cellStyle name="Hyperlink" xfId="1279" builtinId="8" hidden="1"/>
    <cellStyle name="Hyperlink" xfId="1281" builtinId="8" hidden="1"/>
    <cellStyle name="Hyperlink" xfId="1283" builtinId="8" hidden="1"/>
    <cellStyle name="Hyperlink" xfId="1285" builtinId="8" hidden="1"/>
    <cellStyle name="Hyperlink" xfId="1287" builtinId="8" hidden="1"/>
    <cellStyle name="Hyperlink" xfId="1289" builtinId="8" hidden="1"/>
    <cellStyle name="Hyperlink" xfId="1291" builtinId="8" hidden="1"/>
    <cellStyle name="Hyperlink" xfId="1293" builtinId="8" hidden="1"/>
    <cellStyle name="Hyperlink" xfId="1295" builtinId="8" hidden="1"/>
    <cellStyle name="Hyperlink" xfId="1297" builtinId="8" hidden="1"/>
    <cellStyle name="Hyperlink" xfId="1299" builtinId="8" hidden="1"/>
    <cellStyle name="Hyperlink" xfId="1301" builtinId="8" hidden="1"/>
    <cellStyle name="Hyperlink" xfId="1303" builtinId="8" hidden="1"/>
    <cellStyle name="Hyperlink" xfId="1305" builtinId="8" hidden="1"/>
    <cellStyle name="Hyperlink" xfId="1307" builtinId="8" hidden="1"/>
    <cellStyle name="Hyperlink" xfId="1309" builtinId="8" hidden="1"/>
    <cellStyle name="Hyperlink" xfId="1311" builtinId="8" hidden="1"/>
    <cellStyle name="Hyperlink" xfId="1313" builtinId="8" hidden="1"/>
    <cellStyle name="Hyperlink" xfId="1315" builtinId="8" hidden="1"/>
    <cellStyle name="Hyperlink" xfId="1317" builtinId="8" hidden="1"/>
    <cellStyle name="Hyperlink" xfId="1319" builtinId="8" hidden="1"/>
    <cellStyle name="Hyperlink" xfId="1321" builtinId="8" hidden="1"/>
    <cellStyle name="Hyperlink" xfId="1323" builtinId="8" hidden="1"/>
    <cellStyle name="Hyperlink" xfId="1325" builtinId="8" hidden="1"/>
    <cellStyle name="Hyperlink" xfId="1327" builtinId="8" hidden="1"/>
    <cellStyle name="Hyperlink" xfId="1329" builtinId="8" hidden="1"/>
    <cellStyle name="Hyperlink" xfId="1440" builtinId="8" hidden="1"/>
    <cellStyle name="Hyperlink" xfId="1442" builtinId="8" hidden="1"/>
    <cellStyle name="Hyperlink" xfId="1444" builtinId="8" hidden="1"/>
    <cellStyle name="Hyperlink" xfId="1446" builtinId="8" hidden="1"/>
    <cellStyle name="Hyperlink" xfId="1448" builtinId="8" hidden="1"/>
    <cellStyle name="Hyperlink" xfId="1450" builtinId="8" hidden="1"/>
    <cellStyle name="Hyperlink" xfId="1452" builtinId="8" hidden="1"/>
    <cellStyle name="Hyperlink" xfId="1454" builtinId="8" hidden="1"/>
    <cellStyle name="Hyperlink" xfId="1456" builtinId="8" hidden="1"/>
    <cellStyle name="Hyperlink" xfId="1458" builtinId="8" hidden="1"/>
    <cellStyle name="Hyperlink" xfId="1460" builtinId="8" hidden="1"/>
    <cellStyle name="Hyperlink" xfId="1462" builtinId="8" hidden="1"/>
    <cellStyle name="Hyperlink" xfId="1464" builtinId="8" hidden="1"/>
    <cellStyle name="Hyperlink" xfId="1466" builtinId="8" hidden="1"/>
    <cellStyle name="Hyperlink" xfId="1468" builtinId="8" hidden="1"/>
    <cellStyle name="Hyperlink" xfId="1470" builtinId="8" hidden="1"/>
    <cellStyle name="Hyperlink" xfId="1472" builtinId="8" hidden="1"/>
    <cellStyle name="Hyperlink" xfId="1474" builtinId="8" hidden="1"/>
    <cellStyle name="Hyperlink" xfId="1476" builtinId="8" hidden="1"/>
    <cellStyle name="Hyperlink" xfId="1478" builtinId="8" hidden="1"/>
    <cellStyle name="Hyperlink" xfId="1480" builtinId="8" hidden="1"/>
    <cellStyle name="Hyperlink" xfId="1482" builtinId="8" hidden="1"/>
    <cellStyle name="Hyperlink" xfId="1484" builtinId="8" hidden="1"/>
    <cellStyle name="Hyperlink" xfId="1486" builtinId="8" hidden="1"/>
    <cellStyle name="Hyperlink" xfId="1488" builtinId="8" hidden="1"/>
    <cellStyle name="Hyperlink" xfId="1490" builtinId="8" hidden="1"/>
    <cellStyle name="Hyperlink" xfId="1492" builtinId="8" hidden="1"/>
    <cellStyle name="Hyperlink" xfId="1494" builtinId="8" hidden="1"/>
    <cellStyle name="Hyperlink" xfId="1496" builtinId="8" hidden="1"/>
    <cellStyle name="Hyperlink" xfId="1498" builtinId="8" hidden="1"/>
    <cellStyle name="Hyperlink" xfId="1500" builtinId="8" hidden="1"/>
    <cellStyle name="Hyperlink" xfId="1502" builtinId="8" hidden="1"/>
    <cellStyle name="Hyperlink" xfId="1504" builtinId="8" hidden="1"/>
    <cellStyle name="Hyperlink" xfId="1506" builtinId="8" hidden="1"/>
    <cellStyle name="Hyperlink" xfId="1508" builtinId="8" hidden="1"/>
    <cellStyle name="Hyperlink" xfId="1510" builtinId="8" hidden="1"/>
    <cellStyle name="Hyperlink" xfId="1512" builtinId="8" hidden="1"/>
    <cellStyle name="Hyperlink" xfId="1514" builtinId="8" hidden="1"/>
    <cellStyle name="Hyperlink" xfId="1516" builtinId="8" hidden="1"/>
    <cellStyle name="Hyperlink" xfId="1518" builtinId="8" hidden="1"/>
    <cellStyle name="Hyperlink" xfId="1520" builtinId="8" hidden="1"/>
    <cellStyle name="Hyperlink" xfId="1522" builtinId="8" hidden="1"/>
    <cellStyle name="Hyperlink" xfId="1693" builtinId="8" hidden="1"/>
    <cellStyle name="Hyperlink" xfId="1695" builtinId="8" hidden="1"/>
    <cellStyle name="Hyperlink" xfId="1697" builtinId="8" hidden="1"/>
    <cellStyle name="Hyperlink" xfId="1699" builtinId="8" hidden="1"/>
    <cellStyle name="Hyperlink" xfId="1701" builtinId="8" hidden="1"/>
    <cellStyle name="Hyperlink" xfId="1703" builtinId="8" hidden="1"/>
    <cellStyle name="Hyperlink" xfId="1705" builtinId="8" hidden="1"/>
    <cellStyle name="Hyperlink" xfId="1707" builtinId="8" hidden="1"/>
    <cellStyle name="Hyperlink" xfId="1709" builtinId="8" hidden="1"/>
    <cellStyle name="Hyperlink" xfId="1711" builtinId="8" hidden="1"/>
    <cellStyle name="Hyperlink" xfId="1713" builtinId="8" hidden="1"/>
    <cellStyle name="Hyperlink" xfId="1715" builtinId="8" hidden="1"/>
    <cellStyle name="Hyperlink" xfId="1717" builtinId="8" hidden="1"/>
    <cellStyle name="Hyperlink" xfId="1719" builtinId="8" hidden="1"/>
    <cellStyle name="Hyperlink" xfId="1721" builtinId="8" hidden="1"/>
    <cellStyle name="Hyperlink" xfId="1723" builtinId="8" hidden="1"/>
    <cellStyle name="Hyperlink" xfId="1725" builtinId="8" hidden="1"/>
    <cellStyle name="Hyperlink" xfId="1727" builtinId="8" hidden="1"/>
    <cellStyle name="Hyperlink" xfId="1729" builtinId="8" hidden="1"/>
    <cellStyle name="Hyperlink" xfId="1731" builtinId="8" hidden="1"/>
    <cellStyle name="Hyperlink" xfId="1733" builtinId="8" hidden="1"/>
    <cellStyle name="Hyperlink" xfId="1735" builtinId="8" hidden="1"/>
    <cellStyle name="Hyperlink" xfId="1737" builtinId="8" hidden="1"/>
    <cellStyle name="Hyperlink" xfId="1739" builtinId="8" hidden="1"/>
    <cellStyle name="Hyperlink" xfId="1741" builtinId="8" hidden="1"/>
    <cellStyle name="Hyperlink" xfId="1743" builtinId="8" hidden="1"/>
    <cellStyle name="Hyperlink" xfId="1745" builtinId="8" hidden="1"/>
    <cellStyle name="Hyperlink" xfId="1747" builtinId="8" hidden="1"/>
    <cellStyle name="Hyperlink" xfId="1749" builtinId="8" hidden="1"/>
    <cellStyle name="Hyperlink" xfId="1751" builtinId="8" hidden="1"/>
    <cellStyle name="Hyperlink" xfId="1753" builtinId="8" hidden="1"/>
    <cellStyle name="Hyperlink" xfId="1755" builtinId="8" hidden="1"/>
    <cellStyle name="Hyperlink" xfId="1757" builtinId="8" hidden="1"/>
    <cellStyle name="Hyperlink" xfId="1759" builtinId="8" hidden="1"/>
    <cellStyle name="Hyperlink" xfId="1761" builtinId="8" hidden="1"/>
    <cellStyle name="Hyperlink" xfId="1763" builtinId="8" hidden="1"/>
    <cellStyle name="Hyperlink" xfId="1765" builtinId="8" hidden="1"/>
    <cellStyle name="Hyperlink" xfId="1767" builtinId="8" hidden="1"/>
    <cellStyle name="Hyperlink" xfId="1769" builtinId="8" hidden="1"/>
    <cellStyle name="Hyperlink" xfId="1771" builtinId="8" hidden="1"/>
    <cellStyle name="Hyperlink" xfId="1773" builtinId="8" hidden="1"/>
    <cellStyle name="Hyperlink" xfId="1775" builtinId="8" hidden="1"/>
    <cellStyle name="Hyperlink" xfId="1777" builtinId="8" hidden="1"/>
    <cellStyle name="Hyperlink" xfId="1779" builtinId="8" hidden="1"/>
    <cellStyle name="Hyperlink" xfId="1781" builtinId="8" hidden="1"/>
    <cellStyle name="Hyperlink" xfId="1783" builtinId="8" hidden="1"/>
    <cellStyle name="Hyperlink" xfId="1785" builtinId="8" hidden="1"/>
    <cellStyle name="Hyperlink" xfId="1787" builtinId="8" hidden="1"/>
    <cellStyle name="Hyperlink" xfId="1789" builtinId="8" hidden="1"/>
    <cellStyle name="Hyperlink" xfId="1791" builtinId="8" hidden="1"/>
    <cellStyle name="Hyperlink" xfId="1793" builtinId="8" hidden="1"/>
    <cellStyle name="Hyperlink" xfId="1795" builtinId="8" hidden="1"/>
    <cellStyle name="Hyperlink" xfId="1797" builtinId="8" hidden="1"/>
    <cellStyle name="Hyperlink" xfId="1799" builtinId="8" hidden="1"/>
    <cellStyle name="Hyperlink" xfId="1801" builtinId="8" hidden="1"/>
    <cellStyle name="Hyperlink" xfId="1803" builtinId="8" hidden="1"/>
    <cellStyle name="Hyperlink" xfId="1805" builtinId="8" hidden="1"/>
    <cellStyle name="Hyperlink" xfId="1807" builtinId="8" hidden="1"/>
    <cellStyle name="Hyperlink" xfId="1809" builtinId="8" hidden="1"/>
    <cellStyle name="Hyperlink" xfId="1811" builtinId="8" hidden="1"/>
    <cellStyle name="Hyperlink" xfId="1813" builtinId="8" hidden="1"/>
    <cellStyle name="Hyperlink" xfId="1815" builtinId="8" hidden="1"/>
    <cellStyle name="Hyperlink" xfId="1817" builtinId="8" hidden="1"/>
    <cellStyle name="Hyperlink" xfId="1819" builtinId="8" hidden="1"/>
    <cellStyle name="Hyperlink" xfId="1821" builtinId="8" hidden="1"/>
    <cellStyle name="Hyperlink" xfId="1823" builtinId="8" hidden="1"/>
    <cellStyle name="Hyperlink" xfId="1825" builtinId="8" hidden="1"/>
    <cellStyle name="Hyperlink" xfId="1827" builtinId="8" hidden="1"/>
    <cellStyle name="Hyperlink" xfId="1829" builtinId="8" hidden="1"/>
    <cellStyle name="Hyperlink" xfId="1831" builtinId="8" hidden="1"/>
    <cellStyle name="Hyperlink" xfId="1833" builtinId="8" hidden="1"/>
    <cellStyle name="Hyperlink" xfId="1835" builtinId="8" hidden="1"/>
    <cellStyle name="Hyperlink" xfId="1837" builtinId="8" hidden="1"/>
    <cellStyle name="Hyperlink" xfId="1839" builtinId="8" hidden="1"/>
    <cellStyle name="Hyperlink" xfId="1841" builtinId="8" hidden="1"/>
    <cellStyle name="Hyperlink" xfId="1843" builtinId="8" hidden="1"/>
    <cellStyle name="Hyperlink" xfId="1845" builtinId="8" hidden="1"/>
    <cellStyle name="Hyperlink" xfId="1847" builtinId="8" hidden="1"/>
    <cellStyle name="Hyperlink" xfId="1849" builtinId="8" hidden="1"/>
    <cellStyle name="Hyperlink" xfId="1851" builtinId="8" hidden="1"/>
    <cellStyle name="Hyperlink" xfId="1853" builtinId="8" hidden="1"/>
    <cellStyle name="Hyperlink" xfId="1855" builtinId="8" hidden="1"/>
    <cellStyle name="Hyperlink" xfId="1857" builtinId="8" hidden="1"/>
    <cellStyle name="Hyperlink" xfId="1859" builtinId="8" hidden="1"/>
    <cellStyle name="Hyperlink" xfId="1861" builtinId="8" hidden="1"/>
    <cellStyle name="Hyperlink" xfId="1863" builtinId="8" hidden="1"/>
    <cellStyle name="Hyperlink" xfId="1865" builtinId="8" hidden="1"/>
    <cellStyle name="Hyperlink" xfId="1867" builtinId="8" hidden="1"/>
    <cellStyle name="Hyperlink" xfId="1869" builtinId="8" hidden="1"/>
    <cellStyle name="Hyperlink" xfId="1871" builtinId="8" hidden="1"/>
    <cellStyle name="Hyperlink" xfId="1873" builtinId="8" hidden="1"/>
    <cellStyle name="Hyperlink" xfId="1875" builtinId="8" hidden="1"/>
    <cellStyle name="Hyperlink" xfId="1877" builtinId="8" hidden="1"/>
    <cellStyle name="Hyperlink" xfId="1879" builtinId="8" hidden="1"/>
    <cellStyle name="Hyperlink" xfId="1881" builtinId="8" hidden="1"/>
    <cellStyle name="Hyperlink" xfId="1883" builtinId="8" hidden="1"/>
    <cellStyle name="Hyperlink" xfId="1885" builtinId="8" hidden="1"/>
    <cellStyle name="Hyperlink" xfId="1887" builtinId="8" hidden="1"/>
    <cellStyle name="Hyperlink" xfId="1889" builtinId="8" hidden="1"/>
    <cellStyle name="Hyperlink" xfId="1891" builtinId="8" hidden="1"/>
    <cellStyle name="Hyperlink" xfId="1893" builtinId="8" hidden="1"/>
    <cellStyle name="Hyperlink" xfId="1895" builtinId="8" hidden="1"/>
    <cellStyle name="Hyperlink" xfId="1897" builtinId="8" hidden="1"/>
    <cellStyle name="Hyperlink" xfId="1899" builtinId="8" hidden="1"/>
    <cellStyle name="Hyperlink" xfId="1901" builtinId="8" hidden="1"/>
    <cellStyle name="Hyperlink" xfId="1903" builtinId="8" hidden="1"/>
    <cellStyle name="Hyperlink" xfId="1905" builtinId="8" hidden="1"/>
    <cellStyle name="Hyperlink" xfId="1907" builtinId="8" hidden="1"/>
    <cellStyle name="Hyperlink" xfId="1909" builtinId="8" hidden="1"/>
    <cellStyle name="Hyperlink" xfId="1911" builtinId="8" hidden="1"/>
    <cellStyle name="Hyperlink" xfId="1913" builtinId="8" hidden="1"/>
    <cellStyle name="Hyperlink" xfId="1915" builtinId="8" hidden="1"/>
    <cellStyle name="Hyperlink" xfId="1917" builtinId="8" hidden="1"/>
    <cellStyle name="Hyperlink" xfId="1919" builtinId="8" hidden="1"/>
    <cellStyle name="Hyperlink" xfId="1921" builtinId="8" hidden="1"/>
    <cellStyle name="Hyperlink" xfId="1923" builtinId="8" hidden="1"/>
    <cellStyle name="Hyperlink" xfId="1925" builtinId="8" hidden="1"/>
    <cellStyle name="Hyperlink" xfId="1927" builtinId="8" hidden="1"/>
    <cellStyle name="Hyperlink" xfId="1929" builtinId="8" hidden="1"/>
    <cellStyle name="Hyperlink" xfId="1931" builtinId="8" hidden="1"/>
    <cellStyle name="Hyperlink" xfId="1933" builtinId="8" hidden="1"/>
    <cellStyle name="Hyperlink" xfId="1935" builtinId="8" hidden="1"/>
    <cellStyle name="Hyperlink" xfId="1937" builtinId="8" hidden="1"/>
    <cellStyle name="Hyperlink" xfId="1939" builtinId="8" hidden="1"/>
    <cellStyle name="Hyperlink" xfId="1941" builtinId="8" hidden="1"/>
    <cellStyle name="Hyperlink" xfId="1943" builtinId="8" hidden="1"/>
    <cellStyle name="Hyperlink" xfId="1945" builtinId="8" hidden="1"/>
    <cellStyle name="Hyperlink" xfId="1947" builtinId="8" hidden="1"/>
    <cellStyle name="Hyperlink" xfId="1949" builtinId="8" hidden="1"/>
    <cellStyle name="Hyperlink" xfId="1951" builtinId="8" hidden="1"/>
    <cellStyle name="Hyperlink" xfId="1953" builtinId="8" hidden="1"/>
    <cellStyle name="Hyperlink" xfId="1955" builtinId="8" hidden="1"/>
    <cellStyle name="Hyperlink" xfId="1957" builtinId="8" hidden="1"/>
    <cellStyle name="Hyperlink" xfId="1959" builtinId="8" hidden="1"/>
    <cellStyle name="Hyperlink" xfId="1961" builtinId="8" hidden="1"/>
    <cellStyle name="Hyperlink" xfId="1963" builtinId="8" hidden="1"/>
    <cellStyle name="Hyperlink" xfId="1965" builtinId="8" hidden="1"/>
    <cellStyle name="Hyperlink" xfId="1967" builtinId="8" hidden="1"/>
    <cellStyle name="Hyperlink" xfId="1969" builtinId="8" hidden="1"/>
    <cellStyle name="Hyperlink" xfId="1971" builtinId="8" hidden="1"/>
    <cellStyle name="Hyperlink" xfId="1973" builtinId="8" hidden="1"/>
    <cellStyle name="Hyperlink" xfId="1975" builtinId="8" hidden="1"/>
    <cellStyle name="Hyperlink" xfId="1977" builtinId="8" hidden="1"/>
    <cellStyle name="Hyperlink" xfId="1979" builtinId="8" hidden="1"/>
    <cellStyle name="Hyperlink" xfId="1981" builtinId="8" hidden="1"/>
    <cellStyle name="Hyperlink" xfId="1983" builtinId="8" hidden="1"/>
    <cellStyle name="Hyperlink" xfId="1985" builtinId="8" hidden="1"/>
    <cellStyle name="Hyperlink" xfId="1987" builtinId="8" hidden="1"/>
    <cellStyle name="Hyperlink" xfId="1989" builtinId="8" hidden="1"/>
    <cellStyle name="Hyperlink" xfId="1991" builtinId="8" hidden="1"/>
    <cellStyle name="Hyperlink" xfId="1993" builtinId="8" hidden="1"/>
    <cellStyle name="Hyperlink" xfId="1995" builtinId="8" hidden="1"/>
    <cellStyle name="Hyperlink" xfId="1997" builtinId="8" hidden="1"/>
    <cellStyle name="Hyperlink" xfId="1999" builtinId="8" hidden="1"/>
    <cellStyle name="Hyperlink" xfId="2001" builtinId="8" hidden="1"/>
    <cellStyle name="Hyperlink" xfId="2003" builtinId="8" hidden="1"/>
    <cellStyle name="Hyperlink" xfId="2005" builtinId="8" hidden="1"/>
    <cellStyle name="Hyperlink" xfId="2007" builtinId="8" hidden="1"/>
    <cellStyle name="Hyperlink" xfId="2009" builtinId="8" hidden="1"/>
    <cellStyle name="Hyperlink" xfId="2011" builtinId="8" hidden="1"/>
    <cellStyle name="Hyperlink" xfId="2013" builtinId="8" hidden="1"/>
    <cellStyle name="Hyperlink" xfId="2015" builtinId="8" hidden="1"/>
    <cellStyle name="Hyperlink" xfId="2017" builtinId="8" hidden="1"/>
    <cellStyle name="Hyperlink" xfId="2019" builtinId="8" hidden="1"/>
    <cellStyle name="Hyperlink" xfId="2021" builtinId="8" hidden="1"/>
    <cellStyle name="Hyperlink" xfId="2023" builtinId="8" hidden="1"/>
    <cellStyle name="Hyperlink" xfId="2025" builtinId="8" hidden="1"/>
    <cellStyle name="Hyperlink" xfId="2027" builtinId="8" hidden="1"/>
    <cellStyle name="Hyperlink" xfId="2029" builtinId="8" hidden="1"/>
    <cellStyle name="Hyperlink" xfId="2031" builtinId="8" hidden="1"/>
    <cellStyle name="Hyperlink" xfId="2033" builtinId="8" hidden="1"/>
    <cellStyle name="Hyperlink" xfId="2035" builtinId="8" hidden="1"/>
    <cellStyle name="Hyperlink" xfId="2037" builtinId="8" hidden="1"/>
    <cellStyle name="Hyperlink" xfId="2039" builtinId="8" hidden="1"/>
    <cellStyle name="Hyperlink" xfId="2041" builtinId="8" hidden="1"/>
    <cellStyle name="Hyperlink" xfId="2043" builtinId="8" hidden="1"/>
    <cellStyle name="Hyperlink" xfId="2045" builtinId="8" hidden="1"/>
    <cellStyle name="Hyperlink" xfId="2047" builtinId="8" hidden="1"/>
    <cellStyle name="Hyperlink" xfId="2049" builtinId="8" hidden="1"/>
    <cellStyle name="Hyperlink" xfId="2051" builtinId="8" hidden="1"/>
    <cellStyle name="Hyperlink" xfId="2053" builtinId="8" hidden="1"/>
    <cellStyle name="Hyperlink" xfId="2055" builtinId="8" hidden="1"/>
    <cellStyle name="Hyperlink" xfId="2057" builtinId="8" hidden="1"/>
    <cellStyle name="Hyperlink" xfId="2059" builtinId="8" hidden="1"/>
    <cellStyle name="Hyperlink" xfId="2061" builtinId="8" hidden="1"/>
    <cellStyle name="Hyperlink" xfId="2063" builtinId="8" hidden="1"/>
    <cellStyle name="Hyperlink" xfId="2065" builtinId="8" hidden="1"/>
    <cellStyle name="Hyperlink" xfId="2067" builtinId="8" hidden="1"/>
    <cellStyle name="Hyperlink" xfId="2069" builtinId="8" hidden="1"/>
    <cellStyle name="Hyperlink" xfId="2071" builtinId="8" hidden="1"/>
    <cellStyle name="Hyperlink" xfId="2073" builtinId="8" hidden="1"/>
    <cellStyle name="Hyperlink" xfId="2075" builtinId="8" hidden="1"/>
    <cellStyle name="Hyperlink" xfId="2077" builtinId="8" hidden="1"/>
    <cellStyle name="Hyperlink" xfId="2079" builtinId="8" hidden="1"/>
    <cellStyle name="Hyperlink" xfId="2081" builtinId="8" hidden="1"/>
    <cellStyle name="Hyperlink" xfId="2083" builtinId="8" hidden="1"/>
    <cellStyle name="Hyperlink" xfId="2085" builtinId="8" hidden="1"/>
    <cellStyle name="Hyperlink" xfId="2087" builtinId="8" hidden="1"/>
    <cellStyle name="Hyperlink" xfId="2089" builtinId="8" hidden="1"/>
    <cellStyle name="Hyperlink" xfId="2091" builtinId="8" hidden="1"/>
    <cellStyle name="Hyperlink" xfId="2093" builtinId="8" hidden="1"/>
    <cellStyle name="Hyperlink" xfId="2095" builtinId="8" hidden="1"/>
    <cellStyle name="Hyperlink" xfId="2097" builtinId="8" hidden="1"/>
    <cellStyle name="Hyperlink" xfId="2099" builtinId="8" hidden="1"/>
    <cellStyle name="Hyperlink" xfId="2101" builtinId="8" hidden="1"/>
    <cellStyle name="Hyperlink" xfId="2103" builtinId="8" hidden="1"/>
    <cellStyle name="Hyperlink" xfId="2105" builtinId="8" hidden="1"/>
    <cellStyle name="Hyperlink" xfId="2107" builtinId="8" hidden="1"/>
    <cellStyle name="Hyperlink" xfId="2109" builtinId="8" hidden="1"/>
    <cellStyle name="Hyperlink" xfId="2111" builtinId="8" hidden="1"/>
    <cellStyle name="Hyperlink" xfId="2113" builtinId="8" hidden="1"/>
    <cellStyle name="Hyperlink" xfId="2115" builtinId="8" hidden="1"/>
    <cellStyle name="Hyperlink" xfId="2117" builtinId="8" hidden="1"/>
    <cellStyle name="Hyperlink" xfId="2119" builtinId="8" hidden="1"/>
    <cellStyle name="Hyperlink" xfId="2121" builtinId="8" hidden="1"/>
    <cellStyle name="Hyperlink" xfId="2123" builtinId="8" hidden="1"/>
    <cellStyle name="Hyperlink" xfId="2125" builtinId="8" hidden="1"/>
    <cellStyle name="Hyperlink" xfId="2127" builtinId="8" hidden="1"/>
    <cellStyle name="Hyperlink" xfId="2129" builtinId="8" hidden="1"/>
    <cellStyle name="Hyperlink" xfId="2131" builtinId="8" hidden="1"/>
    <cellStyle name="Hyperlink" xfId="2133" builtinId="8" hidden="1"/>
    <cellStyle name="Hyperlink" xfId="2135" builtinId="8" hidden="1"/>
    <cellStyle name="Hyperlink" xfId="2137" builtinId="8" hidden="1"/>
    <cellStyle name="Hyperlink" xfId="2139" builtinId="8" hidden="1"/>
    <cellStyle name="Hyperlink" xfId="2141" builtinId="8" hidden="1"/>
    <cellStyle name="Hyperlink" xfId="2143" builtinId="8" hidden="1"/>
    <cellStyle name="Hyperlink" xfId="2145" builtinId="8" hidden="1"/>
    <cellStyle name="Hyperlink" xfId="2147" builtinId="8" hidden="1"/>
    <cellStyle name="Hyperlink" xfId="2149" builtinId="8" hidden="1"/>
    <cellStyle name="Hyperlink" xfId="2151" builtinId="8" hidden="1"/>
    <cellStyle name="Hyperlink" xfId="2153" builtinId="8" hidden="1"/>
    <cellStyle name="Hyperlink" xfId="2155" builtinId="8" hidden="1"/>
    <cellStyle name="Hyperlink" xfId="2157" builtinId="8" hidden="1"/>
    <cellStyle name="Hyperlink" xfId="2159" builtinId="8" hidden="1"/>
    <cellStyle name="Hyperlink" xfId="2161" builtinId="8" hidden="1"/>
    <cellStyle name="Hyperlink" xfId="2163" builtinId="8" hidden="1"/>
    <cellStyle name="Hyperlink" xfId="2165" builtinId="8" hidden="1"/>
    <cellStyle name="Hyperlink" xfId="2167" builtinId="8" hidden="1"/>
    <cellStyle name="Hyperlink" xfId="2169" builtinId="8" hidden="1"/>
    <cellStyle name="Hyperlink" xfId="2171" builtinId="8" hidden="1"/>
    <cellStyle name="Hyperlink" xfId="2173" builtinId="8" hidden="1"/>
    <cellStyle name="Hyperlink" xfId="2175" builtinId="8" hidden="1"/>
    <cellStyle name="Hyperlink" xfId="2177" builtinId="8" hidden="1"/>
    <cellStyle name="Hyperlink" xfId="2179" builtinId="8" hidden="1"/>
    <cellStyle name="Hyperlink" xfId="2181" builtinId="8" hidden="1"/>
    <cellStyle name="Hyperlink" xfId="2183" builtinId="8" hidden="1"/>
    <cellStyle name="Hyperlink" xfId="2185" builtinId="8" hidden="1"/>
    <cellStyle name="Hyperlink" xfId="2187" builtinId="8" hidden="1"/>
    <cellStyle name="Hyperlink" xfId="2189" builtinId="8" hidden="1"/>
    <cellStyle name="Hyperlink" xfId="2191" builtinId="8" hidden="1"/>
    <cellStyle name="Hyperlink" xfId="2193" builtinId="8" hidden="1"/>
    <cellStyle name="Hyperlink" xfId="2195" builtinId="8" hidden="1"/>
    <cellStyle name="Hyperlink" xfId="2197" builtinId="8" hidden="1"/>
    <cellStyle name="Hyperlink" xfId="2199" builtinId="8" hidden="1"/>
    <cellStyle name="Hyperlink" xfId="2201" builtinId="8" hidden="1"/>
    <cellStyle name="Hyperlink" xfId="2203" builtinId="8" hidden="1"/>
    <cellStyle name="Hyperlink" xfId="2205" builtinId="8" hidden="1"/>
    <cellStyle name="Hyperlink" xfId="2207" builtinId="8" hidden="1"/>
    <cellStyle name="Hyperlink" xfId="2209" builtinId="8" hidden="1"/>
    <cellStyle name="Hyperlink" xfId="2211" builtinId="8" hidden="1"/>
    <cellStyle name="Hyperlink" xfId="2213" builtinId="8" hidden="1"/>
    <cellStyle name="Hyperlink" xfId="2215" builtinId="8" hidden="1"/>
    <cellStyle name="Hyperlink" xfId="2217" builtinId="8" hidden="1"/>
    <cellStyle name="Hyperlink" xfId="2219" builtinId="8" hidden="1"/>
    <cellStyle name="Hyperlink" xfId="2221" builtinId="8" hidden="1"/>
    <cellStyle name="Hyperlink" xfId="2223" builtinId="8" hidden="1"/>
    <cellStyle name="Hyperlink" xfId="2225" builtinId="8" hidden="1"/>
    <cellStyle name="Hyperlink" xfId="2227" builtinId="8" hidden="1"/>
    <cellStyle name="Hyperlink" xfId="2229" builtinId="8" hidden="1"/>
    <cellStyle name="Hyperlink" xfId="2231" builtinId="8" hidden="1"/>
    <cellStyle name="Hyperlink" xfId="2233" builtinId="8" hidden="1"/>
    <cellStyle name="Hyperlink" xfId="2235" builtinId="8" hidden="1"/>
    <cellStyle name="Hyperlink" xfId="2237" builtinId="8" hidden="1"/>
    <cellStyle name="Hyperlink" xfId="2239" builtinId="8" hidden="1"/>
    <cellStyle name="Hyperlink" xfId="2241" builtinId="8" hidden="1"/>
    <cellStyle name="Hyperlink" xfId="2243" builtinId="8" hidden="1"/>
    <cellStyle name="Hyperlink" xfId="2245" builtinId="8" hidden="1"/>
    <cellStyle name="Hyperlink" xfId="2247" builtinId="8" hidden="1"/>
    <cellStyle name="Hyperlink" xfId="2249" builtinId="8" hidden="1"/>
    <cellStyle name="Hyperlink" xfId="2251" builtinId="8" hidden="1"/>
    <cellStyle name="Hyperlink" xfId="2253" builtinId="8" hidden="1"/>
    <cellStyle name="Hyperlink" xfId="2255" builtinId="8" hidden="1"/>
    <cellStyle name="Hyperlink" xfId="2257" builtinId="8" hidden="1"/>
    <cellStyle name="Hyperlink" xfId="2259" builtinId="8" hidden="1"/>
    <cellStyle name="Hyperlink" xfId="2261" builtinId="8" hidden="1"/>
    <cellStyle name="Hyperlink" xfId="2263" builtinId="8" hidden="1"/>
    <cellStyle name="Hyperlink" xfId="2265" builtinId="8" hidden="1"/>
    <cellStyle name="Hyperlink" xfId="2267" builtinId="8" hidden="1"/>
    <cellStyle name="Hyperlink" xfId="2269" builtinId="8" hidden="1"/>
    <cellStyle name="Hyperlink" xfId="2271" builtinId="8" hidden="1"/>
    <cellStyle name="Hyperlink" xfId="2273" builtinId="8" hidden="1"/>
    <cellStyle name="Hyperlink" xfId="2275" builtinId="8" hidden="1"/>
    <cellStyle name="Hyperlink" xfId="2277" builtinId="8" hidden="1"/>
    <cellStyle name="Hyperlink" xfId="2279" builtinId="8" hidden="1"/>
    <cellStyle name="Hyperlink" xfId="2281" builtinId="8" hidden="1"/>
    <cellStyle name="Hyperlink" xfId="2283" builtinId="8" hidden="1"/>
    <cellStyle name="Hyperlink" xfId="2285" builtinId="8" hidden="1"/>
    <cellStyle name="Hyperlink" xfId="2287" builtinId="8" hidden="1"/>
    <cellStyle name="Hyperlink" xfId="2289" builtinId="8" hidden="1"/>
    <cellStyle name="Hyperlink" xfId="2291" builtinId="8" hidden="1"/>
    <cellStyle name="Hyperlink" xfId="2293" builtinId="8" hidden="1"/>
    <cellStyle name="Hyperlink" xfId="2295" builtinId="8" hidden="1"/>
    <cellStyle name="Hyperlink" xfId="2297" builtinId="8" hidden="1"/>
    <cellStyle name="Hyperlink" xfId="2299" builtinId="8" hidden="1"/>
    <cellStyle name="Hyperlink" xfId="2301" builtinId="8" hidden="1"/>
    <cellStyle name="Hyperlink" xfId="2303" builtinId="8" hidden="1"/>
    <cellStyle name="Hyperlink" xfId="2305" builtinId="8" hidden="1"/>
    <cellStyle name="Hyperlink" xfId="2307" builtinId="8" hidden="1"/>
    <cellStyle name="Hyperlink" xfId="2309" builtinId="8" hidden="1"/>
    <cellStyle name="Hyperlink" xfId="2311" builtinId="8" hidden="1"/>
    <cellStyle name="Hyperlink" xfId="2313" builtinId="8" hidden="1"/>
    <cellStyle name="Hyperlink" xfId="2315" builtinId="8" hidden="1"/>
    <cellStyle name="Hyperlink" xfId="2317" builtinId="8" hidden="1"/>
    <cellStyle name="Hyperlink" xfId="2319" builtinId="8" hidden="1"/>
    <cellStyle name="Hyperlink" xfId="2321" builtinId="8" hidden="1"/>
    <cellStyle name="Hyperlink" xfId="2323" builtinId="8" hidden="1"/>
    <cellStyle name="Hyperlink" xfId="2325" builtinId="8" hidden="1"/>
    <cellStyle name="Hyperlink" xfId="2327" builtinId="8" hidden="1"/>
    <cellStyle name="Hyperlink" xfId="2329" builtinId="8" hidden="1"/>
    <cellStyle name="Hyperlink" xfId="2331" builtinId="8" hidden="1"/>
    <cellStyle name="Hyperlink" xfId="2333" builtinId="8" hidden="1"/>
    <cellStyle name="Hyperlink" xfId="2335" builtinId="8" hidden="1"/>
    <cellStyle name="Hyperlink" xfId="2337" builtinId="8" hidden="1"/>
    <cellStyle name="Hyperlink" xfId="2339" builtinId="8" hidden="1"/>
    <cellStyle name="Hyperlink" xfId="2341" builtinId="8" hidden="1"/>
    <cellStyle name="Hyperlink" xfId="2343" builtinId="8" hidden="1"/>
    <cellStyle name="Hyperlink" xfId="2345" builtinId="8" hidden="1"/>
    <cellStyle name="Hyperlink" xfId="2347" builtinId="8" hidden="1"/>
    <cellStyle name="Hyperlink" xfId="2349" builtinId="8" hidden="1"/>
    <cellStyle name="Hyperlink" xfId="2351" builtinId="8" hidden="1"/>
    <cellStyle name="Hyperlink" xfId="2353" builtinId="8" hidden="1"/>
    <cellStyle name="Hyperlink" xfId="2355" builtinId="8" hidden="1"/>
    <cellStyle name="Hyperlink" xfId="2357" builtinId="8" hidden="1"/>
    <cellStyle name="Hyperlink" xfId="2359" builtinId="8" hidden="1"/>
    <cellStyle name="Hyperlink" xfId="2361" builtinId="8" hidden="1"/>
    <cellStyle name="Hyperlink" xfId="2363" builtinId="8" hidden="1"/>
    <cellStyle name="Hyperlink" xfId="2365" builtinId="8" hidden="1"/>
    <cellStyle name="Hyperlink" xfId="2367" builtinId="8" hidden="1"/>
    <cellStyle name="Hyperlink" xfId="2369" builtinId="8" hidden="1"/>
    <cellStyle name="Hyperlink" xfId="2371" builtinId="8" hidden="1"/>
    <cellStyle name="Hyperlink" xfId="2373" builtinId="8" hidden="1"/>
    <cellStyle name="Hyperlink" xfId="2375" builtinId="8" hidden="1"/>
    <cellStyle name="Hyperlink" xfId="2377" builtinId="8" hidden="1"/>
    <cellStyle name="Hyperlink" xfId="2379" builtinId="8" hidden="1"/>
    <cellStyle name="Hyperlink" xfId="2381" builtinId="8" hidden="1"/>
    <cellStyle name="Hyperlink" xfId="2383" builtinId="8" hidden="1"/>
    <cellStyle name="Hyperlink" xfId="2385" builtinId="8" hidden="1"/>
    <cellStyle name="Hyperlink" xfId="2387" builtinId="8" hidden="1"/>
    <cellStyle name="Hyperlink" xfId="2389" builtinId="8" hidden="1"/>
    <cellStyle name="Hyperlink" xfId="2391" builtinId="8" hidden="1"/>
    <cellStyle name="Hyperlink" xfId="2393" builtinId="8" hidden="1"/>
    <cellStyle name="Hyperlink" xfId="2395" builtinId="8" hidden="1"/>
    <cellStyle name="Hyperlink" xfId="2397" builtinId="8" hidden="1"/>
    <cellStyle name="Hyperlink" xfId="2399" builtinId="8" hidden="1"/>
    <cellStyle name="Hyperlink" xfId="2401" builtinId="8" hidden="1"/>
    <cellStyle name="Hyperlink" xfId="2403" builtinId="8" hidden="1"/>
    <cellStyle name="Hyperlink" xfId="2405" builtinId="8" hidden="1"/>
    <cellStyle name="Hyperlink" xfId="2407" builtinId="8" hidden="1"/>
    <cellStyle name="Hyperlink" xfId="2409" builtinId="8" hidden="1"/>
    <cellStyle name="Hyperlink" xfId="2411" builtinId="8" hidden="1"/>
    <cellStyle name="Hyperlink" xfId="2413" builtinId="8" hidden="1"/>
    <cellStyle name="Hyperlink" xfId="2415" builtinId="8" hidden="1"/>
    <cellStyle name="Hyperlink" xfId="2417" builtinId="8" hidden="1"/>
    <cellStyle name="Hyperlink" xfId="2419" builtinId="8" hidden="1"/>
    <cellStyle name="Hyperlink" xfId="2421" builtinId="8" hidden="1"/>
    <cellStyle name="Hyperlink" xfId="2423" builtinId="8" hidden="1"/>
    <cellStyle name="Hyperlink" xfId="2425" builtinId="8" hidden="1"/>
    <cellStyle name="Hyperlink" xfId="2427" builtinId="8" hidden="1"/>
    <cellStyle name="Hyperlink" xfId="2429" builtinId="8" hidden="1"/>
    <cellStyle name="Hyperlink" xfId="2431" builtinId="8" hidden="1"/>
    <cellStyle name="Hyperlink" xfId="2433" builtinId="8" hidden="1"/>
    <cellStyle name="Hyperlink" xfId="2435" builtinId="8" hidden="1"/>
    <cellStyle name="Hyperlink" xfId="2437" builtinId="8" hidden="1"/>
    <cellStyle name="Hyperlink" xfId="2439" builtinId="8" hidden="1"/>
    <cellStyle name="Hyperlink" xfId="2441" builtinId="8" hidden="1"/>
    <cellStyle name="Hyperlink" xfId="2443" builtinId="8" hidden="1"/>
    <cellStyle name="Hyperlink" xfId="2445" builtinId="8" hidden="1"/>
    <cellStyle name="Hyperlink" xfId="2447" builtinId="8" hidden="1"/>
    <cellStyle name="Hyperlink" xfId="2449" builtinId="8" hidden="1"/>
    <cellStyle name="Hyperlink" xfId="2451" builtinId="8" hidden="1"/>
    <cellStyle name="Hyperlink" xfId="2453" builtinId="8" hidden="1"/>
    <cellStyle name="Hyperlink" xfId="2455" builtinId="8" hidden="1"/>
    <cellStyle name="Hyperlink" xfId="2457" builtinId="8" hidden="1"/>
    <cellStyle name="Hyperlink" xfId="2459" builtinId="8" hidden="1"/>
    <cellStyle name="Hyperlink" xfId="2461" builtinId="8" hidden="1"/>
    <cellStyle name="Hyperlink" xfId="2463" builtinId="8" hidden="1"/>
    <cellStyle name="Hyperlink" xfId="2465" builtinId="8" hidden="1"/>
    <cellStyle name="Hyperlink" xfId="2467" builtinId="8" hidden="1"/>
    <cellStyle name="Hyperlink" xfId="2469" builtinId="8" hidden="1"/>
    <cellStyle name="Hyperlink" xfId="2471" builtinId="8" hidden="1"/>
    <cellStyle name="Hyperlink" xfId="2473" builtinId="8" hidden="1"/>
    <cellStyle name="Hyperlink" xfId="2475" builtinId="8" hidden="1"/>
    <cellStyle name="Hyperlink" xfId="2477" builtinId="8" hidden="1"/>
    <cellStyle name="Hyperlink" xfId="2479" builtinId="8" hidden="1"/>
    <cellStyle name="Hyperlink" xfId="2481" builtinId="8" hidden="1"/>
    <cellStyle name="Hyperlink" xfId="2483" builtinId="8" hidden="1"/>
    <cellStyle name="Hyperlink" xfId="2485" builtinId="8" hidden="1"/>
    <cellStyle name="Hyperlink" xfId="2487" builtinId="8" hidden="1"/>
    <cellStyle name="Hyperlink" xfId="2489" builtinId="8" hidden="1"/>
    <cellStyle name="Hyperlink" xfId="2491" builtinId="8" hidden="1"/>
    <cellStyle name="Hyperlink" xfId="2493" builtinId="8" hidden="1"/>
    <cellStyle name="Hyperlink" xfId="2495" builtinId="8" hidden="1"/>
    <cellStyle name="Hyperlink" xfId="2497" builtinId="8" hidden="1"/>
    <cellStyle name="Hyperlink" xfId="2499" builtinId="8" hidden="1"/>
    <cellStyle name="Hyperlink" xfId="2501" builtinId="8" hidden="1"/>
    <cellStyle name="Hyperlink" xfId="2503" builtinId="8" hidden="1"/>
    <cellStyle name="Hyperlink" xfId="2505" builtinId="8" hidden="1"/>
    <cellStyle name="Hyperlink" xfId="2507" builtinId="8" hidden="1"/>
    <cellStyle name="Hyperlink" xfId="2509" builtinId="8" hidden="1"/>
    <cellStyle name="Hyperlink" xfId="2511" builtinId="8" hidden="1"/>
    <cellStyle name="Hyperlink" xfId="2513" builtinId="8" hidden="1"/>
    <cellStyle name="Hyperlink" xfId="2515" builtinId="8" hidden="1"/>
    <cellStyle name="Hyperlink" xfId="2517" builtinId="8" hidden="1"/>
    <cellStyle name="Hyperlink" xfId="2519" builtinId="8" hidden="1"/>
    <cellStyle name="Hyperlink" xfId="2521" builtinId="8" hidden="1"/>
    <cellStyle name="Hyperlink" xfId="2523" builtinId="8" hidden="1"/>
    <cellStyle name="Hyperlink" xfId="2525" builtinId="8" hidden="1"/>
    <cellStyle name="Hyperlink" xfId="2527" builtinId="8" hidden="1"/>
    <cellStyle name="Hyperlink" xfId="2529" builtinId="8" hidden="1"/>
    <cellStyle name="Hyperlink" xfId="2531" builtinId="8" hidden="1"/>
    <cellStyle name="Hyperlink" xfId="2533" builtinId="8" hidden="1"/>
    <cellStyle name="Hyperlink" xfId="2535" builtinId="8" hidden="1"/>
    <cellStyle name="Hyperlink" xfId="2537" builtinId="8" hidden="1"/>
    <cellStyle name="Hyperlink" xfId="2539" builtinId="8" hidden="1"/>
    <cellStyle name="Hyperlink" xfId="2541" builtinId="8" hidden="1"/>
    <cellStyle name="Hyperlink" xfId="2543" builtinId="8" hidden="1"/>
    <cellStyle name="Hyperlink" xfId="2545" builtinId="8" hidden="1"/>
    <cellStyle name="Hyperlink" xfId="2547" builtinId="8" hidden="1"/>
    <cellStyle name="Hyperlink" xfId="2549" builtinId="8" hidden="1"/>
    <cellStyle name="Hyperlink" xfId="2551" builtinId="8" hidden="1"/>
    <cellStyle name="Hyperlink" xfId="2553" builtinId="8" hidden="1"/>
    <cellStyle name="Hyperlink" xfId="2555" builtinId="8" hidden="1"/>
    <cellStyle name="Hyperlink" xfId="2557" builtinId="8" hidden="1"/>
    <cellStyle name="Hyperlink" xfId="2559" builtinId="8" hidden="1"/>
    <cellStyle name="Hyperlink" xfId="2561" builtinId="8" hidden="1"/>
    <cellStyle name="Hyperlink" xfId="2563" builtinId="8" hidden="1"/>
    <cellStyle name="Hyperlink" xfId="2565" builtinId="8" hidden="1"/>
    <cellStyle name="Hyperlink" xfId="2567" builtinId="8" hidden="1"/>
    <cellStyle name="Hyperlink" xfId="2569" builtinId="8" hidden="1"/>
    <cellStyle name="Hyperlink" xfId="2571" builtinId="8" hidden="1"/>
    <cellStyle name="Hyperlink" xfId="2573" builtinId="8" hidden="1"/>
    <cellStyle name="Hyperlink" xfId="2575" builtinId="8" hidden="1"/>
    <cellStyle name="Hyperlink" xfId="2577" builtinId="8" hidden="1"/>
    <cellStyle name="Hyperlink" xfId="2579" builtinId="8" hidden="1"/>
    <cellStyle name="Hyperlink" xfId="2581" builtinId="8" hidden="1"/>
    <cellStyle name="Hyperlink" xfId="2583" builtinId="8" hidden="1"/>
    <cellStyle name="Hyperlink" xfId="2585" builtinId="8" hidden="1"/>
    <cellStyle name="Hyperlink" xfId="2587" builtinId="8" hidden="1"/>
    <cellStyle name="Hyperlink" xfId="2589" builtinId="8" hidden="1"/>
    <cellStyle name="Hyperlink" xfId="2591" builtinId="8" hidden="1"/>
    <cellStyle name="Hyperlink" xfId="2593" builtinId="8" hidden="1"/>
    <cellStyle name="Hyperlink" xfId="2595" builtinId="8" hidden="1"/>
    <cellStyle name="Hyperlink" xfId="2597" builtinId="8" hidden="1"/>
    <cellStyle name="Hyperlink" xfId="2599" builtinId="8" hidden="1"/>
    <cellStyle name="Hyperlink" xfId="2601" builtinId="8" hidden="1"/>
    <cellStyle name="Hyperlink" xfId="2603" builtinId="8" hidden="1"/>
    <cellStyle name="Hyperlink" xfId="2605" builtinId="8" hidden="1"/>
    <cellStyle name="Hyperlink" xfId="2607" builtinId="8" hidden="1"/>
    <cellStyle name="Hyperlink" xfId="2609" builtinId="8" hidden="1"/>
    <cellStyle name="Hyperlink" xfId="2611" builtinId="8" hidden="1"/>
    <cellStyle name="Hyperlink" xfId="2613" builtinId="8" hidden="1"/>
    <cellStyle name="Hyperlink" xfId="2615" builtinId="8" hidden="1"/>
    <cellStyle name="Hyperlink" xfId="2617" builtinId="8" hidden="1"/>
    <cellStyle name="Hyperlink" xfId="2619" builtinId="8" hidden="1"/>
    <cellStyle name="Hyperlink" xfId="2621" builtinId="8" hidden="1"/>
    <cellStyle name="Hyperlink" xfId="2623" builtinId="8" hidden="1"/>
    <cellStyle name="Hyperlink" xfId="2625" builtinId="8" hidden="1"/>
    <cellStyle name="Hyperlink" xfId="2627" builtinId="8" hidden="1"/>
    <cellStyle name="Hyperlink" xfId="2629" builtinId="8" hidden="1"/>
    <cellStyle name="Hyperlink" xfId="2631" builtinId="8" hidden="1"/>
    <cellStyle name="Hyperlink" xfId="2633" builtinId="8" hidden="1"/>
    <cellStyle name="Hyperlink" xfId="2635" builtinId="8" hidden="1"/>
    <cellStyle name="Hyperlink" xfId="2637" builtinId="8" hidden="1"/>
    <cellStyle name="Hyperlink" xfId="2639" builtinId="8" hidden="1"/>
    <cellStyle name="Hyperlink" xfId="2641" builtinId="8" hidden="1"/>
    <cellStyle name="Hyperlink" xfId="2643" builtinId="8" hidden="1"/>
    <cellStyle name="Hyperlink" xfId="2645" builtinId="8" hidden="1"/>
    <cellStyle name="Hyperlink" xfId="2647" builtinId="8" hidden="1"/>
    <cellStyle name="Hyperlink" xfId="2649" builtinId="8" hidden="1"/>
    <cellStyle name="Hyperlink" xfId="2651" builtinId="8" hidden="1"/>
    <cellStyle name="Hyperlink" xfId="2653" builtinId="8" hidden="1"/>
    <cellStyle name="Hyperlink" xfId="2655" builtinId="8" hidden="1"/>
    <cellStyle name="Hyperlink" xfId="2657" builtinId="8" hidden="1"/>
    <cellStyle name="Hyperlink" xfId="2659" builtinId="8" hidden="1"/>
    <cellStyle name="Hyperlink" xfId="2661" builtinId="8" hidden="1"/>
    <cellStyle name="Hyperlink" xfId="2663" builtinId="8" hidden="1"/>
    <cellStyle name="Hyperlink" xfId="2665" builtinId="8" hidden="1"/>
    <cellStyle name="Hyperlink" xfId="2667" builtinId="8" hidden="1"/>
    <cellStyle name="Hyperlink" xfId="2669" builtinId="8" hidden="1"/>
    <cellStyle name="Hyperlink" xfId="2671" builtinId="8" hidden="1"/>
    <cellStyle name="Hyperlink" xfId="2673" builtinId="8" hidden="1"/>
    <cellStyle name="Hyperlink" xfId="2675" builtinId="8" hidden="1"/>
    <cellStyle name="Hyperlink" xfId="2677" builtinId="8" hidden="1"/>
    <cellStyle name="Hyperlink" xfId="2679" builtinId="8" hidden="1"/>
    <cellStyle name="Hyperlink" xfId="2681" builtinId="8" hidden="1"/>
    <cellStyle name="Hyperlink" xfId="2683" builtinId="8" hidden="1"/>
    <cellStyle name="Hyperlink" xfId="2685" builtinId="8" hidden="1"/>
    <cellStyle name="Hyperlink" xfId="2687" builtinId="8" hidden="1"/>
    <cellStyle name="Hyperlink" xfId="2689" builtinId="8" hidden="1"/>
    <cellStyle name="Hyperlink" xfId="2691" builtinId="8" hidden="1"/>
    <cellStyle name="Hyperlink" xfId="2693" builtinId="8" hidden="1"/>
    <cellStyle name="Hyperlink" xfId="2695" builtinId="8" hidden="1"/>
    <cellStyle name="Hyperlink" xfId="2697" builtinId="8" hidden="1"/>
    <cellStyle name="Hyperlink" xfId="2699" builtinId="8" hidden="1"/>
    <cellStyle name="Hyperlink" xfId="2701" builtinId="8" hidden="1"/>
    <cellStyle name="Hyperlink" xfId="2703" builtinId="8" hidden="1"/>
    <cellStyle name="Hyperlink" xfId="2705" builtinId="8" hidden="1"/>
    <cellStyle name="Hyperlink" xfId="2707" builtinId="8" hidden="1"/>
    <cellStyle name="Hyperlink" xfId="2709" builtinId="8" hidden="1"/>
    <cellStyle name="Hyperlink" xfId="2711" builtinId="8" hidden="1"/>
    <cellStyle name="Hyperlink" xfId="2713" builtinId="8" hidden="1"/>
    <cellStyle name="Hyperlink" xfId="2715" builtinId="8" hidden="1"/>
    <cellStyle name="Hyperlink" xfId="2717" builtinId="8" hidden="1"/>
    <cellStyle name="Hyperlink" xfId="2719" builtinId="8" hidden="1"/>
    <cellStyle name="Hyperlink" xfId="2721" builtinId="8" hidden="1"/>
    <cellStyle name="Hyperlink" xfId="2723" builtinId="8" hidden="1"/>
    <cellStyle name="Hyperlink" xfId="2725" builtinId="8" hidden="1"/>
    <cellStyle name="Hyperlink" xfId="2727" builtinId="8" hidden="1"/>
    <cellStyle name="Hyperlink" xfId="2729" builtinId="8" hidden="1"/>
    <cellStyle name="Hyperlink" xfId="2731" builtinId="8" hidden="1"/>
    <cellStyle name="Hyperlink" xfId="2733" builtinId="8" hidden="1"/>
    <cellStyle name="Hyperlink" xfId="2735" builtinId="8" hidden="1"/>
    <cellStyle name="Hyperlink" xfId="2737" builtinId="8" hidden="1"/>
    <cellStyle name="Hyperlink" xfId="2739" builtinId="8" hidden="1"/>
    <cellStyle name="Hyperlink" xfId="2741" builtinId="8" hidden="1"/>
    <cellStyle name="Hyperlink" xfId="2743" builtinId="8" hidden="1"/>
    <cellStyle name="Hyperlink" xfId="2745" builtinId="8" hidden="1"/>
    <cellStyle name="Hyperlink" xfId="2747" builtinId="8" hidden="1"/>
    <cellStyle name="Hyperlink" xfId="2749" builtinId="8" hidden="1"/>
    <cellStyle name="Hyperlink" xfId="2751" builtinId="8" hidden="1"/>
    <cellStyle name="Hyperlink" xfId="2753" builtinId="8" hidden="1"/>
    <cellStyle name="Hyperlink" xfId="2755" builtinId="8" hidden="1"/>
    <cellStyle name="Hyperlink" xfId="2757" builtinId="8" hidden="1"/>
    <cellStyle name="Hyperlink" xfId="2759" builtinId="8" hidden="1"/>
    <cellStyle name="Hyperlink" xfId="2761" builtinId="8" hidden="1"/>
    <cellStyle name="Hyperlink" xfId="2763" builtinId="8" hidden="1"/>
    <cellStyle name="Hyperlink" xfId="2765" builtinId="8" hidden="1"/>
    <cellStyle name="Hyperlink" xfId="2767" builtinId="8" hidden="1"/>
    <cellStyle name="Hyperlink" xfId="2769" builtinId="8" hidden="1"/>
    <cellStyle name="Hyperlink" xfId="2771" builtinId="8" hidden="1"/>
    <cellStyle name="Hyperlink" xfId="2773" builtinId="8" hidden="1"/>
    <cellStyle name="Hyperlink" xfId="2775" builtinId="8" hidden="1"/>
    <cellStyle name="Hyperlink" xfId="2777" builtinId="8" hidden="1"/>
    <cellStyle name="Hyperlink" xfId="2779" builtinId="8" hidden="1"/>
    <cellStyle name="Hyperlink" xfId="2781" builtinId="8" hidden="1"/>
    <cellStyle name="Hyperlink" xfId="2783" builtinId="8" hidden="1"/>
    <cellStyle name="Hyperlink" xfId="2785" builtinId="8" hidden="1"/>
    <cellStyle name="Hyperlink" xfId="2787" builtinId="8" hidden="1"/>
    <cellStyle name="Hyperlink" xfId="2789" builtinId="8" hidden="1"/>
    <cellStyle name="Hyperlink" xfId="2791" builtinId="8" hidden="1"/>
    <cellStyle name="Hyperlink" xfId="2793" builtinId="8" hidden="1"/>
    <cellStyle name="Hyperlink" xfId="2795" builtinId="8" hidden="1"/>
    <cellStyle name="Hyperlink" xfId="2797" builtinId="8" hidden="1"/>
    <cellStyle name="Hyperlink" xfId="2799" builtinId="8" hidden="1"/>
    <cellStyle name="Hyperlink" xfId="2801" builtinId="8" hidden="1"/>
    <cellStyle name="Hyperlink" xfId="2803" builtinId="8" hidden="1"/>
    <cellStyle name="Hyperlink" xfId="2805" builtinId="8" hidden="1"/>
    <cellStyle name="Hyperlink" xfId="2807" builtinId="8" hidden="1"/>
    <cellStyle name="Hyperlink" xfId="2809" builtinId="8" hidden="1"/>
    <cellStyle name="Hyperlink" xfId="2811" builtinId="8" hidden="1"/>
    <cellStyle name="Hyperlink" xfId="2813" builtinId="8" hidden="1"/>
    <cellStyle name="Hyperlink" xfId="2815" builtinId="8" hidden="1"/>
    <cellStyle name="Hyperlink" xfId="2817" builtinId="8" hidden="1"/>
    <cellStyle name="Hyperlink" xfId="2819" builtinId="8" hidden="1"/>
    <cellStyle name="Hyperlink" xfId="2821" builtinId="8" hidden="1"/>
    <cellStyle name="Hyperlink" xfId="2823" builtinId="8" hidden="1"/>
    <cellStyle name="Hyperlink" xfId="2825" builtinId="8" hidden="1"/>
    <cellStyle name="Hyperlink" xfId="2827" builtinId="8" hidden="1"/>
    <cellStyle name="Hyperlink" xfId="2829" builtinId="8" hidden="1"/>
    <cellStyle name="Hyperlink" xfId="2831" builtinId="8" hidden="1"/>
    <cellStyle name="Hyperlink" xfId="2833" builtinId="8" hidden="1"/>
    <cellStyle name="Hyperlink" xfId="2835" builtinId="8" hidden="1"/>
    <cellStyle name="Hyperlink" xfId="2837" builtinId="8" hidden="1"/>
    <cellStyle name="Hyperlink" xfId="2839" builtinId="8" hidden="1"/>
    <cellStyle name="Hyperlink" xfId="2841" builtinId="8" hidden="1"/>
    <cellStyle name="Hyperlink" xfId="2843" builtinId="8" hidden="1"/>
    <cellStyle name="Hyperlink" xfId="2845" builtinId="8" hidden="1"/>
    <cellStyle name="Hyperlink" xfId="2847" builtinId="8" hidden="1"/>
    <cellStyle name="Hyperlink" xfId="2849" builtinId="8" hidden="1"/>
    <cellStyle name="Hyperlink" xfId="2851" builtinId="8" hidden="1"/>
    <cellStyle name="Hyperlink" xfId="2853" builtinId="8" hidden="1"/>
    <cellStyle name="Hyperlink" xfId="2855" builtinId="8" hidden="1"/>
    <cellStyle name="Hyperlink" xfId="2857" builtinId="8" hidden="1"/>
    <cellStyle name="Hyperlink" xfId="2859" builtinId="8" hidden="1"/>
    <cellStyle name="Hyperlink" xfId="2861" builtinId="8" hidden="1"/>
    <cellStyle name="Hyperlink" xfId="2863" builtinId="8" hidden="1"/>
    <cellStyle name="Hyperlink" xfId="2865" builtinId="8" hidden="1"/>
    <cellStyle name="Hyperlink" xfId="2867" builtinId="8" hidden="1"/>
    <cellStyle name="Hyperlink" xfId="2869" builtinId="8" hidden="1"/>
    <cellStyle name="Hyperlink" xfId="2871" builtinId="8" hidden="1"/>
    <cellStyle name="Hyperlink" xfId="2873" builtinId="8" hidden="1"/>
    <cellStyle name="Hyperlink" xfId="2875" builtinId="8" hidden="1"/>
    <cellStyle name="Hyperlink" xfId="2877" builtinId="8" hidden="1"/>
    <cellStyle name="Hyperlink" xfId="2879" builtinId="8" hidden="1"/>
    <cellStyle name="Hyperlink" xfId="2881" builtinId="8" hidden="1"/>
    <cellStyle name="Hyperlink" xfId="2883" builtinId="8" hidden="1"/>
    <cellStyle name="Hyperlink" xfId="2885" builtinId="8" hidden="1"/>
    <cellStyle name="Hyperlink" xfId="2887" builtinId="8" hidden="1"/>
    <cellStyle name="Hyperlink" xfId="2889" builtinId="8" hidden="1"/>
    <cellStyle name="Hyperlink" xfId="2891" builtinId="8" hidden="1"/>
    <cellStyle name="Hyperlink" xfId="2893" builtinId="8" hidden="1"/>
    <cellStyle name="Hyperlink" xfId="2895" builtinId="8" hidden="1"/>
    <cellStyle name="Hyperlink" xfId="2897" builtinId="8" hidden="1"/>
    <cellStyle name="Hyperlink" xfId="2899" builtinId="8" hidden="1"/>
    <cellStyle name="Hyperlink" xfId="2901" builtinId="8" hidden="1"/>
    <cellStyle name="Hyperlink" xfId="2903" builtinId="8" hidden="1"/>
    <cellStyle name="Hyperlink" xfId="2905" builtinId="8" hidden="1"/>
    <cellStyle name="Hyperlink" xfId="2907" builtinId="8" hidden="1"/>
    <cellStyle name="Hyperlink" xfId="2909" builtinId="8" hidden="1"/>
    <cellStyle name="Hyperlink" xfId="2911" builtinId="8" hidden="1"/>
    <cellStyle name="Hyperlink" xfId="2913" builtinId="8" hidden="1"/>
    <cellStyle name="Hyperlink" xfId="2915" builtinId="8" hidden="1"/>
    <cellStyle name="Hyperlink" xfId="2917" builtinId="8" hidden="1"/>
    <cellStyle name="Hyperlink" xfId="2919" builtinId="8" hidden="1"/>
    <cellStyle name="Hyperlink" xfId="2921" builtinId="8" hidden="1"/>
    <cellStyle name="Hyperlink" xfId="2923" builtinId="8" hidden="1"/>
    <cellStyle name="Hyperlink" xfId="2925" builtinId="8" hidden="1"/>
    <cellStyle name="Hyperlink" xfId="2927" builtinId="8" hidden="1"/>
    <cellStyle name="Hyperlink" xfId="2929" builtinId="8" hidden="1"/>
    <cellStyle name="Hyperlink" xfId="2931" builtinId="8" hidden="1"/>
    <cellStyle name="Hyperlink" xfId="2933" builtinId="8" hidden="1"/>
    <cellStyle name="Hyperlink" xfId="2935" builtinId="8" hidden="1"/>
    <cellStyle name="Hyperlink" xfId="2937" builtinId="8" hidden="1"/>
    <cellStyle name="Hyperlink" xfId="2939" builtinId="8" hidden="1"/>
    <cellStyle name="Hyperlink" xfId="2941" builtinId="8" hidden="1"/>
    <cellStyle name="Hyperlink" xfId="2943" builtinId="8" hidden="1"/>
    <cellStyle name="Hyperlink" xfId="2945" builtinId="8" hidden="1"/>
    <cellStyle name="Hyperlink" xfId="2947" builtinId="8" hidden="1"/>
    <cellStyle name="Hyperlink" xfId="2949" builtinId="8" hidden="1"/>
    <cellStyle name="Hyperlink" xfId="2951" builtinId="8" hidden="1"/>
    <cellStyle name="Hyperlink" xfId="2953" builtinId="8" hidden="1"/>
    <cellStyle name="Hyperlink" xfId="2955" builtinId="8" hidden="1"/>
    <cellStyle name="Hyperlink" xfId="2957" builtinId="8" hidden="1"/>
    <cellStyle name="Hyperlink" xfId="2959" builtinId="8" hidden="1"/>
    <cellStyle name="Hyperlink" xfId="2961" builtinId="8" hidden="1"/>
    <cellStyle name="Hyperlink" xfId="2963" builtinId="8" hidden="1"/>
    <cellStyle name="Hyperlink" xfId="2965" builtinId="8" hidden="1"/>
    <cellStyle name="Hyperlink" xfId="2967" builtinId="8" hidden="1"/>
    <cellStyle name="Hyperlink" xfId="2969" builtinId="8" hidden="1"/>
    <cellStyle name="Hyperlink" xfId="2971" builtinId="8" hidden="1"/>
    <cellStyle name="Hyperlink" xfId="2973" builtinId="8" hidden="1"/>
    <cellStyle name="Hyperlink" xfId="2975" builtinId="8" hidden="1"/>
    <cellStyle name="Hyperlink" xfId="2977" builtinId="8" hidden="1"/>
    <cellStyle name="Hyperlink" xfId="2979" builtinId="8" hidden="1"/>
    <cellStyle name="Hyperlink" xfId="2981" builtinId="8" hidden="1"/>
    <cellStyle name="Hyperlink" xfId="2983" builtinId="8" hidden="1"/>
    <cellStyle name="Hyperlink" xfId="2985" builtinId="8" hidden="1"/>
    <cellStyle name="Hyperlink" xfId="2987" builtinId="8" hidden="1"/>
    <cellStyle name="Hyperlink" xfId="2989" builtinId="8" hidden="1"/>
    <cellStyle name="Hyperlink" xfId="2991" builtinId="8" hidden="1"/>
    <cellStyle name="Hyperlink" xfId="2993" builtinId="8" hidden="1"/>
    <cellStyle name="Hyperlink" xfId="2995" builtinId="8" hidden="1"/>
    <cellStyle name="Hyperlink" xfId="2997" builtinId="8" hidden="1"/>
    <cellStyle name="Hyperlink" xfId="2999" builtinId="8" hidden="1"/>
    <cellStyle name="Hyperlink" xfId="3001" builtinId="8" hidden="1"/>
    <cellStyle name="Hyperlink" xfId="3003" builtinId="8" hidden="1"/>
    <cellStyle name="Hyperlink" xfId="3005" builtinId="8" hidden="1"/>
    <cellStyle name="Hyperlink" xfId="3007" builtinId="8" hidden="1"/>
    <cellStyle name="Hyperlink" xfId="3009" builtinId="8" hidden="1"/>
    <cellStyle name="Hyperlink" xfId="3011" builtinId="8" hidden="1"/>
    <cellStyle name="Hyperlink" xfId="3013" builtinId="8" hidden="1"/>
    <cellStyle name="Hyperlink" xfId="3015" builtinId="8" hidden="1"/>
    <cellStyle name="Hyperlink" xfId="3017" builtinId="8" hidden="1"/>
    <cellStyle name="Hyperlink" xfId="3019" builtinId="8" hidden="1"/>
    <cellStyle name="Hyperlink" xfId="3021" builtinId="8" hidden="1"/>
    <cellStyle name="Hyperlink" xfId="3023" builtinId="8" hidden="1"/>
    <cellStyle name="Hyperlink" xfId="3025" builtinId="8" hidden="1"/>
    <cellStyle name="Hyperlink" xfId="3027" builtinId="8" hidden="1"/>
    <cellStyle name="Hyperlink" xfId="3029" builtinId="8" hidden="1"/>
    <cellStyle name="Hyperlink" xfId="3031" builtinId="8" hidden="1"/>
    <cellStyle name="Hyperlink" xfId="3033" builtinId="8" hidden="1"/>
    <cellStyle name="Hyperlink" xfId="3035" builtinId="8" hidden="1"/>
    <cellStyle name="Hyperlink" xfId="3037" builtinId="8" hidden="1"/>
    <cellStyle name="Hyperlink" xfId="3039" builtinId="8" hidden="1"/>
    <cellStyle name="Hyperlink" xfId="3041" builtinId="8" hidden="1"/>
    <cellStyle name="Hyperlink" xfId="3043" builtinId="8" hidden="1"/>
    <cellStyle name="Hyperlink" xfId="3045" builtinId="8" hidden="1"/>
    <cellStyle name="Hyperlink" xfId="3047" builtinId="8" hidden="1"/>
    <cellStyle name="Hyperlink" xfId="3049" builtinId="8" hidden="1"/>
    <cellStyle name="Hyperlink" xfId="3051" builtinId="8" hidden="1"/>
    <cellStyle name="Hyperlink" xfId="3053" builtinId="8" hidden="1"/>
    <cellStyle name="Hyperlink" xfId="3055" builtinId="8" hidden="1"/>
    <cellStyle name="Hyperlink" xfId="3057" builtinId="8" hidden="1"/>
    <cellStyle name="Hyperlink" xfId="3059" builtinId="8" hidden="1"/>
    <cellStyle name="Hyperlink" xfId="3061" builtinId="8" hidden="1"/>
    <cellStyle name="Hyperlink" xfId="3063" builtinId="8" hidden="1"/>
    <cellStyle name="Hyperlink" xfId="3065" builtinId="8" hidden="1"/>
    <cellStyle name="Hyperlink" xfId="3067" builtinId="8" hidden="1"/>
    <cellStyle name="Hyperlink" xfId="3069" builtinId="8" hidden="1"/>
    <cellStyle name="Hyperlink" xfId="3071" builtinId="8" hidden="1"/>
    <cellStyle name="Hyperlink" xfId="3073" builtinId="8" hidden="1"/>
    <cellStyle name="Hyperlink" xfId="3075" builtinId="8" hidden="1"/>
    <cellStyle name="Hyperlink" xfId="3077" builtinId="8" hidden="1"/>
    <cellStyle name="Hyperlink" xfId="3079" builtinId="8" hidden="1"/>
    <cellStyle name="Hyperlink" xfId="3081" builtinId="8" hidden="1"/>
    <cellStyle name="Hyperlink" xfId="3083" builtinId="8" hidden="1"/>
    <cellStyle name="Hyperlink" xfId="3085" builtinId="8" hidden="1"/>
    <cellStyle name="Hyperlink" xfId="3087" builtinId="8" hidden="1"/>
    <cellStyle name="Hyperlink" xfId="3089" builtinId="8" hidden="1"/>
    <cellStyle name="Hyperlink" xfId="3091" builtinId="8" hidden="1"/>
    <cellStyle name="Hyperlink" xfId="3093" builtinId="8" hidden="1"/>
    <cellStyle name="Hyperlink" xfId="3095" builtinId="8" hidden="1"/>
    <cellStyle name="Hyperlink" xfId="3097" builtinId="8" hidden="1"/>
    <cellStyle name="Hyperlink" xfId="3099" builtinId="8" hidden="1"/>
    <cellStyle name="Hyperlink" xfId="3101" builtinId="8" hidden="1"/>
    <cellStyle name="Hyperlink" xfId="3103" builtinId="8" hidden="1"/>
    <cellStyle name="Hyperlink" xfId="3105" builtinId="8" hidden="1"/>
    <cellStyle name="Hyperlink" xfId="3107" builtinId="8" hidden="1"/>
    <cellStyle name="Hyperlink" xfId="3109" builtinId="8" hidden="1"/>
    <cellStyle name="Hyperlink" xfId="3111" builtinId="8" hidden="1"/>
    <cellStyle name="Hyperlink" xfId="3113" builtinId="8" hidden="1"/>
    <cellStyle name="Hyperlink" xfId="3115" builtinId="8" hidden="1"/>
    <cellStyle name="Hyperlink" xfId="3117" builtinId="8" hidden="1"/>
    <cellStyle name="Hyperlink" xfId="3119" builtinId="8" hidden="1"/>
    <cellStyle name="Hyperlink" xfId="3121" builtinId="8" hidden="1"/>
    <cellStyle name="Hyperlink" xfId="3123" builtinId="8" hidden="1"/>
    <cellStyle name="Hyperlink" xfId="3125" builtinId="8" hidden="1"/>
    <cellStyle name="Hyperlink" xfId="3127" builtinId="8" hidden="1"/>
    <cellStyle name="Hyperlink" xfId="3129" builtinId="8" hidden="1"/>
    <cellStyle name="Hyperlink" xfId="3131" builtinId="8" hidden="1"/>
    <cellStyle name="Hyperlink" xfId="3133" builtinId="8" hidden="1"/>
    <cellStyle name="Hyperlink" xfId="3135" builtinId="8" hidden="1"/>
    <cellStyle name="Hyperlink" xfId="3137" builtinId="8" hidden="1"/>
    <cellStyle name="Hyperlink" xfId="3139" builtinId="8" hidden="1"/>
    <cellStyle name="Hyperlink" xfId="3141" builtinId="8" hidden="1"/>
    <cellStyle name="Hyperlink" xfId="3143" builtinId="8" hidden="1"/>
    <cellStyle name="Hyperlink" xfId="3145" builtinId="8" hidden="1"/>
    <cellStyle name="Hyperlink" xfId="3147" builtinId="8" hidden="1"/>
    <cellStyle name="Hyperlink" xfId="3149" builtinId="8" hidden="1"/>
    <cellStyle name="Hyperlink" xfId="3151" builtinId="8" hidden="1"/>
    <cellStyle name="Hyperlink" xfId="3153" builtinId="8" hidden="1"/>
    <cellStyle name="Hyperlink" xfId="3155" builtinId="8" hidden="1"/>
    <cellStyle name="Hyperlink" xfId="3157" builtinId="8" hidden="1"/>
    <cellStyle name="Hyperlink" xfId="3159" builtinId="8" hidden="1"/>
    <cellStyle name="Hyperlink" xfId="3161" builtinId="8" hidden="1"/>
    <cellStyle name="Hyperlink" xfId="3163" builtinId="8" hidden="1"/>
    <cellStyle name="Hyperlink" xfId="3165" builtinId="8" hidden="1"/>
    <cellStyle name="Hyperlink" xfId="3167" builtinId="8" hidden="1"/>
    <cellStyle name="Hyperlink" xfId="3169" builtinId="8" hidden="1"/>
    <cellStyle name="Hyperlink" xfId="3171" builtinId="8" hidden="1"/>
    <cellStyle name="Hyperlink" xfId="3173" builtinId="8" hidden="1"/>
    <cellStyle name="Hyperlink" xfId="3175" builtinId="8" hidden="1"/>
    <cellStyle name="Hyperlink" xfId="3177" builtinId="8" hidden="1"/>
    <cellStyle name="Hyperlink" xfId="3179" builtinId="8" hidden="1"/>
    <cellStyle name="Hyperlink" xfId="3181" builtinId="8" hidden="1"/>
    <cellStyle name="Hyperlink" xfId="3183" builtinId="8" hidden="1"/>
    <cellStyle name="Hyperlink" xfId="3185" builtinId="8" hidden="1"/>
    <cellStyle name="Hyperlink" xfId="3187" builtinId="8" hidden="1"/>
    <cellStyle name="Hyperlink" xfId="3189" builtinId="8" hidden="1"/>
    <cellStyle name="Hyperlink" xfId="3191" builtinId="8" hidden="1"/>
    <cellStyle name="Hyperlink" xfId="3193" builtinId="8" hidden="1"/>
    <cellStyle name="Hyperlink" xfId="3195" builtinId="8" hidden="1"/>
    <cellStyle name="Hyperlink" xfId="3197" builtinId="8" hidden="1"/>
    <cellStyle name="Hyperlink" xfId="3199" builtinId="8" hidden="1"/>
    <cellStyle name="Hyperlink" xfId="3201" builtinId="8" hidden="1"/>
    <cellStyle name="Hyperlink" xfId="3203" builtinId="8" hidden="1"/>
    <cellStyle name="Hyperlink" xfId="3205" builtinId="8" hidden="1"/>
    <cellStyle name="Hyperlink" xfId="3207" builtinId="8" hidden="1"/>
    <cellStyle name="Hyperlink" xfId="3209" builtinId="8" hidden="1"/>
    <cellStyle name="Hyperlink" xfId="3211" builtinId="8" hidden="1"/>
    <cellStyle name="Hyperlink" xfId="3213" builtinId="8" hidden="1"/>
    <cellStyle name="Hyperlink" xfId="3215" builtinId="8" hidden="1"/>
    <cellStyle name="Hyperlink" xfId="3217" builtinId="8" hidden="1"/>
    <cellStyle name="Hyperlink" xfId="3219" builtinId="8" hidden="1"/>
    <cellStyle name="Hyperlink" xfId="3221" builtinId="8" hidden="1"/>
    <cellStyle name="Hyperlink" xfId="3223" builtinId="8" hidden="1"/>
    <cellStyle name="Hyperlink" xfId="3225" builtinId="8" hidden="1"/>
    <cellStyle name="Hyperlink" xfId="3227" builtinId="8" hidden="1"/>
    <cellStyle name="Hyperlink" xfId="3229" builtinId="8" hidden="1"/>
    <cellStyle name="Hyperlink" xfId="3231" builtinId="8" hidden="1"/>
    <cellStyle name="Hyperlink" xfId="3233" builtinId="8" hidden="1"/>
    <cellStyle name="Hyperlink" xfId="3235" builtinId="8" hidden="1"/>
    <cellStyle name="Hyperlink" xfId="3237" builtinId="8" hidden="1"/>
    <cellStyle name="Hyperlink" xfId="3239" builtinId="8" hidden="1"/>
    <cellStyle name="Hyperlink" xfId="3241" builtinId="8" hidden="1"/>
    <cellStyle name="Hyperlink" xfId="3243" builtinId="8" hidden="1"/>
    <cellStyle name="Hyperlink" xfId="3245" builtinId="8" hidden="1"/>
    <cellStyle name="Hyperlink" xfId="3247" builtinId="8" hidden="1"/>
    <cellStyle name="Hyperlink" xfId="3249" builtinId="8" hidden="1"/>
    <cellStyle name="Hyperlink" xfId="3251" builtinId="8" hidden="1"/>
    <cellStyle name="Hyperlink" xfId="3253" builtinId="8" hidden="1"/>
    <cellStyle name="Hyperlink" xfId="3255" builtinId="8" hidden="1"/>
    <cellStyle name="Hyperlink" xfId="3257" builtinId="8" hidden="1"/>
    <cellStyle name="Hyperlink" xfId="3259" builtinId="8" hidden="1"/>
    <cellStyle name="Hyperlink" xfId="3261" builtinId="8" hidden="1"/>
    <cellStyle name="Hyperlink" xfId="3263" builtinId="8" hidden="1"/>
    <cellStyle name="Hyperlink" xfId="3265" builtinId="8" hidden="1"/>
    <cellStyle name="Hyperlink" xfId="3267" builtinId="8" hidden="1"/>
    <cellStyle name="Hyperlink" xfId="3269" builtinId="8" hidden="1"/>
    <cellStyle name="Hyperlink" xfId="3271" builtinId="8" hidden="1"/>
    <cellStyle name="Hyperlink" xfId="3273" builtinId="8" hidden="1"/>
    <cellStyle name="Hyperlink" xfId="3275" builtinId="8" hidden="1"/>
    <cellStyle name="Hyperlink" xfId="3277" builtinId="8" hidden="1"/>
    <cellStyle name="Hyperlink" xfId="3279" builtinId="8" hidden="1"/>
    <cellStyle name="Hyperlink" xfId="3281" builtinId="8" hidden="1"/>
    <cellStyle name="Hyperlink" xfId="3283" builtinId="8" hidden="1"/>
    <cellStyle name="Hyperlink" xfId="3285" builtinId="8" hidden="1"/>
    <cellStyle name="Hyperlink" xfId="3287" builtinId="8" hidden="1"/>
    <cellStyle name="Hyperlink" xfId="3289" builtinId="8" hidden="1"/>
    <cellStyle name="Hyperlink" xfId="3291" builtinId="8" hidden="1"/>
    <cellStyle name="Hyperlink" xfId="3293" builtinId="8" hidden="1"/>
    <cellStyle name="Hyperlink" xfId="3295" builtinId="8" hidden="1"/>
    <cellStyle name="Hyperlink" xfId="3297" builtinId="8" hidden="1"/>
    <cellStyle name="Hyperlink" xfId="3299" builtinId="8" hidden="1"/>
    <cellStyle name="Hyperlink" xfId="3301" builtinId="8" hidden="1"/>
    <cellStyle name="Hyperlink" xfId="3303" builtinId="8" hidden="1"/>
    <cellStyle name="Hyperlink" xfId="3305" builtinId="8" hidden="1"/>
    <cellStyle name="Hyperlink" xfId="3307" builtinId="8" hidden="1"/>
    <cellStyle name="Hyperlink" xfId="3309" builtinId="8" hidden="1"/>
    <cellStyle name="Hyperlink" xfId="3311" builtinId="8" hidden="1"/>
    <cellStyle name="Hyperlink" xfId="3313" builtinId="8" hidden="1"/>
    <cellStyle name="Hyperlink" xfId="3315" builtinId="8" hidden="1"/>
    <cellStyle name="Hyperlink" xfId="3317" builtinId="8" hidden="1"/>
    <cellStyle name="Hyperlink" xfId="3319" builtinId="8" hidden="1"/>
    <cellStyle name="Hyperlink" xfId="3321" builtinId="8" hidden="1"/>
    <cellStyle name="Hyperlink" xfId="3323" builtinId="8" hidden="1"/>
    <cellStyle name="Hyperlink" xfId="3325" builtinId="8" hidden="1"/>
    <cellStyle name="Hyperlink" xfId="3327" builtinId="8" hidden="1"/>
    <cellStyle name="Hyperlink" xfId="3329" builtinId="8" hidden="1"/>
    <cellStyle name="Hyperlink" xfId="3331" builtinId="8" hidden="1"/>
    <cellStyle name="Hyperlink" xfId="3333" builtinId="8" hidden="1"/>
    <cellStyle name="Hyperlink" xfId="3335" builtinId="8" hidden="1"/>
    <cellStyle name="Hyperlink" xfId="3337" builtinId="8" hidden="1"/>
    <cellStyle name="Hyperlink" xfId="3339" builtinId="8" hidden="1"/>
    <cellStyle name="Hyperlink" xfId="3341" builtinId="8" hidden="1"/>
    <cellStyle name="Hyperlink" xfId="3343" builtinId="8" hidden="1"/>
    <cellStyle name="Hyperlink" xfId="3345" builtinId="8" hidden="1"/>
    <cellStyle name="Hyperlink" xfId="3347" builtinId="8" hidden="1"/>
    <cellStyle name="Hyperlink" xfId="3349" builtinId="8" hidden="1"/>
    <cellStyle name="Hyperlink" xfId="3351" builtinId="8" hidden="1"/>
    <cellStyle name="Hyperlink" xfId="3353" builtinId="8" hidden="1"/>
    <cellStyle name="Hyperlink" xfId="3355" builtinId="8" hidden="1"/>
    <cellStyle name="Hyperlink" xfId="3357" builtinId="8" hidden="1"/>
    <cellStyle name="Hyperlink" xfId="3359" builtinId="8" hidden="1"/>
    <cellStyle name="Hyperlink" xfId="3361" builtinId="8" hidden="1"/>
    <cellStyle name="Hyperlink" xfId="3363" builtinId="8" hidden="1"/>
    <cellStyle name="Hyperlink" xfId="3365" builtinId="8" hidden="1"/>
    <cellStyle name="Hyperlink" xfId="3367" builtinId="8" hidden="1"/>
    <cellStyle name="Hyperlink" xfId="3369" builtinId="8" hidden="1"/>
    <cellStyle name="Hyperlink" xfId="3371" builtinId="8" hidden="1"/>
    <cellStyle name="Hyperlink" xfId="3373" builtinId="8" hidden="1"/>
    <cellStyle name="Hyperlink" xfId="3375" builtinId="8" hidden="1"/>
    <cellStyle name="Hyperlink" xfId="3377" builtinId="8" hidden="1"/>
    <cellStyle name="Hyperlink" xfId="3379" builtinId="8" hidden="1"/>
    <cellStyle name="Hyperlink" xfId="3381" builtinId="8" hidden="1"/>
    <cellStyle name="Hyperlink" xfId="3383" builtinId="8" hidden="1"/>
    <cellStyle name="Hyperlink" xfId="3385" builtinId="8" hidden="1"/>
    <cellStyle name="Hyperlink" xfId="3387" builtinId="8" hidden="1"/>
    <cellStyle name="Hyperlink" xfId="3389" builtinId="8" hidden="1"/>
    <cellStyle name="Hyperlink" xfId="3391" builtinId="8" hidden="1"/>
    <cellStyle name="Hyperlink" xfId="3393" builtinId="8" hidden="1"/>
    <cellStyle name="Hyperlink" xfId="3395" builtinId="8" hidden="1"/>
    <cellStyle name="Hyperlink" xfId="3397" builtinId="8" hidden="1"/>
    <cellStyle name="Hyperlink" xfId="3399" builtinId="8" hidden="1"/>
    <cellStyle name="Hyperlink" xfId="3401" builtinId="8" hidden="1"/>
    <cellStyle name="Hyperlink" xfId="3403" builtinId="8" hidden="1"/>
    <cellStyle name="Hyperlink" xfId="3405" builtinId="8" hidden="1"/>
    <cellStyle name="Hyperlink" xfId="3407" builtinId="8" hidden="1"/>
    <cellStyle name="Hyperlink" xfId="3409" builtinId="8" hidden="1"/>
    <cellStyle name="Hyperlink" xfId="3411" builtinId="8" hidden="1"/>
    <cellStyle name="Hyperlink" xfId="3413" builtinId="8" hidden="1"/>
    <cellStyle name="Hyperlink" xfId="3415" builtinId="8" hidden="1"/>
    <cellStyle name="Hyperlink" xfId="3417" builtinId="8" hidden="1"/>
    <cellStyle name="Hyperlink" xfId="3419" builtinId="8" hidden="1"/>
    <cellStyle name="Hyperlink" xfId="3421" builtinId="8" hidden="1"/>
    <cellStyle name="Hyperlink" xfId="3423" builtinId="8" hidden="1"/>
    <cellStyle name="Hyperlink" xfId="3425" builtinId="8" hidden="1"/>
    <cellStyle name="Hyperlink" xfId="3427" builtinId="8" hidden="1"/>
    <cellStyle name="Hyperlink" xfId="3429" builtinId="8" hidden="1"/>
    <cellStyle name="Hyperlink" xfId="3431" builtinId="8" hidden="1"/>
    <cellStyle name="Hyperlink" xfId="3433" builtinId="8" hidden="1"/>
    <cellStyle name="Hyperlink" xfId="3435" builtinId="8" hidden="1"/>
    <cellStyle name="Hyperlink" xfId="3437" builtinId="8" hidden="1"/>
    <cellStyle name="Hyperlink" xfId="3439" builtinId="8" hidden="1"/>
    <cellStyle name="Hyperlink" xfId="3441" builtinId="8" hidden="1"/>
    <cellStyle name="Hyperlink" xfId="3443" builtinId="8" hidden="1"/>
    <cellStyle name="Hyperlink" xfId="3445" builtinId="8" hidden="1"/>
    <cellStyle name="Hyperlink" xfId="3447" builtinId="8" hidden="1"/>
    <cellStyle name="Hyperlink" xfId="3449" builtinId="8" hidden="1"/>
    <cellStyle name="Hyperlink" xfId="3451" builtinId="8" hidden="1"/>
    <cellStyle name="Hyperlink" xfId="3453" builtinId="8" hidden="1"/>
    <cellStyle name="Hyperlink" xfId="3455" builtinId="8" hidden="1"/>
    <cellStyle name="Hyperlink" xfId="3457" builtinId="8" hidden="1"/>
    <cellStyle name="Hyperlink" xfId="3459" builtinId="8" hidden="1"/>
    <cellStyle name="Hyperlink" xfId="3461" builtinId="8" hidden="1"/>
    <cellStyle name="Hyperlink" xfId="3463" builtinId="8" hidden="1"/>
    <cellStyle name="Hyperlink" xfId="3465" builtinId="8" hidden="1"/>
    <cellStyle name="Hyperlink" xfId="3467" builtinId="8" hidden="1"/>
    <cellStyle name="Hyperlink" xfId="3469" builtinId="8" hidden="1"/>
    <cellStyle name="Hyperlink" xfId="3471" builtinId="8" hidden="1"/>
    <cellStyle name="Hyperlink" xfId="3473" builtinId="8" hidden="1"/>
    <cellStyle name="Hyperlink" xfId="3475" builtinId="8" hidden="1"/>
    <cellStyle name="Hyperlink" xfId="3477" builtinId="8" hidden="1"/>
    <cellStyle name="Hyperlink" xfId="3479" builtinId="8" hidden="1"/>
    <cellStyle name="Hyperlink" xfId="3481" builtinId="8" hidden="1"/>
    <cellStyle name="Hyperlink" xfId="3483" builtinId="8" hidden="1"/>
    <cellStyle name="Hyperlink" xfId="3485" builtinId="8" hidden="1"/>
    <cellStyle name="Hyperlink" xfId="3487" builtinId="8" hidden="1"/>
    <cellStyle name="Hyperlink" xfId="3489" builtinId="8" hidden="1"/>
    <cellStyle name="Hyperlink" xfId="3491" builtinId="8" hidden="1"/>
    <cellStyle name="Hyperlink" xfId="3493" builtinId="8" hidden="1"/>
    <cellStyle name="Hyperlink" xfId="3495" builtinId="8" hidden="1"/>
    <cellStyle name="Hyperlink" xfId="3497" builtinId="8" hidden="1"/>
    <cellStyle name="Hyperlink" xfId="3499" builtinId="8" hidden="1"/>
    <cellStyle name="Hyperlink" xfId="3501" builtinId="8" hidden="1"/>
    <cellStyle name="Hyperlink" xfId="3503" builtinId="8" hidden="1"/>
    <cellStyle name="Hyperlink" xfId="3505" builtinId="8" hidden="1"/>
    <cellStyle name="Hyperlink" xfId="3507" builtinId="8" hidden="1"/>
    <cellStyle name="Hyperlink" xfId="3509" builtinId="8" hidden="1"/>
    <cellStyle name="Hyperlink" xfId="3511" builtinId="8" hidden="1"/>
    <cellStyle name="Hyperlink" xfId="3513" builtinId="8" hidden="1"/>
    <cellStyle name="Hyperlink" xfId="3515" builtinId="8" hidden="1"/>
    <cellStyle name="Hyperlink" xfId="3517" builtinId="8" hidden="1"/>
    <cellStyle name="Hyperlink" xfId="3519" builtinId="8" hidden="1"/>
    <cellStyle name="Hyperlink" xfId="3521" builtinId="8" hidden="1"/>
    <cellStyle name="Hyperlink" xfId="3523" builtinId="8" hidden="1"/>
    <cellStyle name="Hyperlink" xfId="3525" builtinId="8" hidden="1"/>
    <cellStyle name="Hyperlink" xfId="3527" builtinId="8" hidden="1"/>
    <cellStyle name="Hyperlink" xfId="3529" builtinId="8" hidden="1"/>
    <cellStyle name="Hyperlink" xfId="3531" builtinId="8" hidden="1"/>
    <cellStyle name="Hyperlink" xfId="3533" builtinId="8" hidden="1"/>
    <cellStyle name="Hyperlink" xfId="3535" builtinId="8" hidden="1"/>
    <cellStyle name="Hyperlink" xfId="3537" builtinId="8" hidden="1"/>
    <cellStyle name="Hyperlink" xfId="3539" builtinId="8" hidden="1"/>
    <cellStyle name="Hyperlink" xfId="3541" builtinId="8" hidden="1"/>
    <cellStyle name="Hyperlink" xfId="3543" builtinId="8" hidden="1"/>
    <cellStyle name="Hyperlink" xfId="3545" builtinId="8" hidden="1"/>
    <cellStyle name="Hyperlink" xfId="3547" builtinId="8" hidden="1"/>
    <cellStyle name="Hyperlink" xfId="3549" builtinId="8" hidden="1"/>
    <cellStyle name="Hyperlink" xfId="3551" builtinId="8" hidden="1"/>
    <cellStyle name="Hyperlink" xfId="3553" builtinId="8" hidden="1"/>
    <cellStyle name="Hyperlink" xfId="3555" builtinId="8" hidden="1"/>
    <cellStyle name="Hyperlink" xfId="3557" builtinId="8" hidden="1"/>
    <cellStyle name="Hyperlink" xfId="3559" builtinId="8" hidden="1"/>
    <cellStyle name="Hyperlink" xfId="3561" builtinId="8" hidden="1"/>
    <cellStyle name="Hyperlink" xfId="3563" builtinId="8" hidden="1"/>
    <cellStyle name="Hyperlink" xfId="3565" builtinId="8" hidden="1"/>
    <cellStyle name="Hyperlink" xfId="3567" builtinId="8" hidden="1"/>
    <cellStyle name="Hyperlink" xfId="3569" builtinId="8" hidden="1"/>
    <cellStyle name="Hyperlink" xfId="3571" builtinId="8" hidden="1"/>
    <cellStyle name="Hyperlink" xfId="3573" builtinId="8" hidden="1"/>
    <cellStyle name="Hyperlink" xfId="3575" builtinId="8" hidden="1"/>
    <cellStyle name="Hyperlink" xfId="3577" builtinId="8" hidden="1"/>
    <cellStyle name="Hyperlink" xfId="3579" builtinId="8" hidden="1"/>
    <cellStyle name="Hyperlink" xfId="3581" builtinId="8" hidden="1"/>
    <cellStyle name="Hyperlink" xfId="3583" builtinId="8" hidden="1"/>
    <cellStyle name="Hyperlink" xfId="3585" builtinId="8" hidden="1"/>
    <cellStyle name="Hyperlink" xfId="3587" builtinId="8" hidden="1"/>
    <cellStyle name="Hyperlink" xfId="3589" builtinId="8" hidden="1"/>
    <cellStyle name="Hyperlink" xfId="3591" builtinId="8" hidden="1"/>
    <cellStyle name="Hyperlink" xfId="3593" builtinId="8" hidden="1"/>
    <cellStyle name="Hyperlink" xfId="3595" builtinId="8" hidden="1"/>
    <cellStyle name="Hyperlink" xfId="3597" builtinId="8" hidden="1"/>
    <cellStyle name="Hyperlink" xfId="3599" builtinId="8" hidden="1"/>
    <cellStyle name="Hyperlink" xfId="3601" builtinId="8" hidden="1"/>
    <cellStyle name="Hyperlink" xfId="3603" builtinId="8" hidden="1"/>
    <cellStyle name="Hyperlink" xfId="3605" builtinId="8" hidden="1"/>
    <cellStyle name="Hyperlink" xfId="3607" builtinId="8" hidden="1"/>
    <cellStyle name="Hyperlink" xfId="3609" builtinId="8" hidden="1"/>
    <cellStyle name="Hyperlink" xfId="3611" builtinId="8" hidden="1"/>
    <cellStyle name="Hyperlink" xfId="3613" builtinId="8" hidden="1"/>
    <cellStyle name="Hyperlink" xfId="3615" builtinId="8" hidden="1"/>
    <cellStyle name="Hyperlink" xfId="3617" builtinId="8" hidden="1"/>
    <cellStyle name="Hyperlink" xfId="3619" builtinId="8" hidden="1"/>
    <cellStyle name="Hyperlink" xfId="3621" builtinId="8" hidden="1"/>
    <cellStyle name="Hyperlink" xfId="3623" builtinId="8" hidden="1"/>
    <cellStyle name="Hyperlink" xfId="3625" builtinId="8" hidden="1"/>
    <cellStyle name="Hyperlink" xfId="3627" builtinId="8" hidden="1"/>
    <cellStyle name="Hyperlink" xfId="3629" builtinId="8" hidden="1"/>
    <cellStyle name="Hyperlink" xfId="3631" builtinId="8" hidden="1"/>
    <cellStyle name="Hyperlink" xfId="3633" builtinId="8" hidden="1"/>
    <cellStyle name="Hyperlink" xfId="3635" builtinId="8" hidden="1"/>
    <cellStyle name="Hyperlink" xfId="3637" builtinId="8" hidden="1"/>
    <cellStyle name="Hyperlink" xfId="3639" builtinId="8" hidden="1"/>
    <cellStyle name="Hyperlink" xfId="3641" builtinId="8" hidden="1"/>
    <cellStyle name="Hyperlink" xfId="3643" builtinId="8" hidden="1"/>
    <cellStyle name="Hyperlink" xfId="3645" builtinId="8" hidden="1"/>
    <cellStyle name="Hyperlink" xfId="3647" builtinId="8" hidden="1"/>
    <cellStyle name="Hyperlink" xfId="3649" builtinId="8" hidden="1"/>
    <cellStyle name="Hyperlink" xfId="3651" builtinId="8" hidden="1"/>
    <cellStyle name="Hyperlink" xfId="3653" builtinId="8" hidden="1"/>
    <cellStyle name="Hyperlink" xfId="3655" builtinId="8" hidden="1"/>
    <cellStyle name="Hyperlink" xfId="3657" builtinId="8" hidden="1"/>
    <cellStyle name="Hyperlink" xfId="3659" builtinId="8" hidden="1"/>
    <cellStyle name="Hyperlink" xfId="3661" builtinId="8" hidden="1"/>
    <cellStyle name="Hyperlink" xfId="3663" builtinId="8" hidden="1"/>
    <cellStyle name="Hyperlink" xfId="3665" builtinId="8" hidden="1"/>
    <cellStyle name="Hyperlink" xfId="3667" builtinId="8" hidden="1"/>
    <cellStyle name="Hyperlink" xfId="3669" builtinId="8" hidden="1"/>
    <cellStyle name="Hyperlink" xfId="3671" builtinId="8" hidden="1"/>
    <cellStyle name="Hyperlink" xfId="3673" builtinId="8" hidden="1"/>
    <cellStyle name="Hyperlink" xfId="3675" builtinId="8" hidden="1"/>
    <cellStyle name="Hyperlink" xfId="3677" builtinId="8" hidden="1"/>
    <cellStyle name="Hyperlink" xfId="3679" builtinId="8" hidden="1"/>
    <cellStyle name="Hyperlink" xfId="3681" builtinId="8" hidden="1"/>
    <cellStyle name="Hyperlink" xfId="3683" builtinId="8" hidden="1"/>
    <cellStyle name="Hyperlink" xfId="3685" builtinId="8" hidden="1"/>
    <cellStyle name="Hyperlink" xfId="3687" builtinId="8" hidden="1"/>
    <cellStyle name="Hyperlink" xfId="3689" builtinId="8" hidden="1"/>
    <cellStyle name="Hyperlink" xfId="3691" builtinId="8" hidden="1"/>
    <cellStyle name="Hyperlink" xfId="3693" builtinId="8" hidden="1"/>
    <cellStyle name="Hyperlink" xfId="3695" builtinId="8" hidden="1"/>
    <cellStyle name="Hyperlink" xfId="3697" builtinId="8" hidden="1"/>
    <cellStyle name="Hyperlink" xfId="3699" builtinId="8" hidden="1"/>
    <cellStyle name="Hyperlink" xfId="3701" builtinId="8" hidden="1"/>
    <cellStyle name="Hyperlink" xfId="3703" builtinId="8" hidden="1"/>
    <cellStyle name="Hyperlink" xfId="3705" builtinId="8" hidden="1"/>
    <cellStyle name="Hyperlink" xfId="3707" builtinId="8" hidden="1"/>
    <cellStyle name="Hyperlink" xfId="3709" builtinId="8" hidden="1"/>
    <cellStyle name="Hyperlink" xfId="3711" builtinId="8" hidden="1"/>
    <cellStyle name="Hyperlink" xfId="3713" builtinId="8" hidden="1"/>
    <cellStyle name="Hyperlink" xfId="3715" builtinId="8" hidden="1"/>
    <cellStyle name="Hyperlink" xfId="3717" builtinId="8" hidden="1"/>
    <cellStyle name="Hyperlink" xfId="3719" builtinId="8" hidden="1"/>
    <cellStyle name="Hyperlink" xfId="3721" builtinId="8" hidden="1"/>
    <cellStyle name="Hyperlink" xfId="3723" builtinId="8" hidden="1"/>
    <cellStyle name="Hyperlink" xfId="3725" builtinId="8" hidden="1"/>
    <cellStyle name="Hyperlink" xfId="3727" builtinId="8" hidden="1"/>
    <cellStyle name="Hyperlink" xfId="3729" builtinId="8" hidden="1"/>
    <cellStyle name="Hyperlink" xfId="3731" builtinId="8" hidden="1"/>
    <cellStyle name="Hyperlink" xfId="3733" builtinId="8" hidden="1"/>
    <cellStyle name="Hyperlink" xfId="3735" builtinId="8" hidden="1"/>
    <cellStyle name="Hyperlink" xfId="3737" builtinId="8" hidden="1"/>
    <cellStyle name="Hyperlink" xfId="3739" builtinId="8" hidden="1"/>
    <cellStyle name="Hyperlink" xfId="3741" builtinId="8" hidden="1"/>
    <cellStyle name="Hyperlink" xfId="3743" builtinId="8" hidden="1"/>
    <cellStyle name="Hyperlink" xfId="3745" builtinId="8" hidden="1"/>
    <cellStyle name="Hyperlink" xfId="3747" builtinId="8" hidden="1"/>
    <cellStyle name="Hyperlink" xfId="3749" builtinId="8" hidden="1"/>
    <cellStyle name="Hyperlink" xfId="3751" builtinId="8" hidden="1"/>
    <cellStyle name="Hyperlink" xfId="3753" builtinId="8" hidden="1"/>
    <cellStyle name="Hyperlink" xfId="3755" builtinId="8" hidden="1"/>
    <cellStyle name="Hyperlink" xfId="3757" builtinId="8" hidden="1"/>
    <cellStyle name="Hyperlink" xfId="3759" builtinId="8" hidden="1"/>
    <cellStyle name="Hyperlink" xfId="3761" builtinId="8" hidden="1"/>
    <cellStyle name="Hyperlink" xfId="3763" builtinId="8" hidden="1"/>
    <cellStyle name="Hyperlink" xfId="3765" builtinId="8" hidden="1"/>
    <cellStyle name="Hyperlink" xfId="3767" builtinId="8" hidden="1"/>
    <cellStyle name="Hyperlink" xfId="3769" builtinId="8" hidden="1"/>
    <cellStyle name="Hyperlink" xfId="3771" builtinId="8" hidden="1"/>
    <cellStyle name="Hyperlink" xfId="3773" builtinId="8" hidden="1"/>
    <cellStyle name="Hyperlink" xfId="3775" builtinId="8" hidden="1"/>
    <cellStyle name="Hyperlink" xfId="3777" builtinId="8" hidden="1"/>
    <cellStyle name="Hyperlink" xfId="3779" builtinId="8" hidden="1"/>
    <cellStyle name="Hyperlink" xfId="3781" builtinId="8" hidden="1"/>
    <cellStyle name="Hyperlink" xfId="3783" builtinId="8" hidden="1"/>
    <cellStyle name="Hyperlink" xfId="3785" builtinId="8" hidden="1"/>
    <cellStyle name="Hyperlink" xfId="3787" builtinId="8" hidden="1"/>
    <cellStyle name="Hyperlink" xfId="3789" builtinId="8" hidden="1"/>
    <cellStyle name="Hyperlink" xfId="3791" builtinId="8" hidden="1"/>
    <cellStyle name="Hyperlink" xfId="3793" builtinId="8" hidden="1"/>
    <cellStyle name="Hyperlink" xfId="3795" builtinId="8" hidden="1"/>
    <cellStyle name="Hyperlink" xfId="3797" builtinId="8" hidden="1"/>
    <cellStyle name="Hyperlink" xfId="3799" builtinId="8" hidden="1"/>
    <cellStyle name="Hyperlink" xfId="3801" builtinId="8" hidden="1"/>
    <cellStyle name="Hyperlink" xfId="3803" builtinId="8" hidden="1"/>
    <cellStyle name="Hyperlink" xfId="3805" builtinId="8" hidden="1"/>
    <cellStyle name="Hyperlink" xfId="3807" builtinId="8" hidden="1"/>
    <cellStyle name="Hyperlink" xfId="3809" builtinId="8" hidden="1"/>
    <cellStyle name="Hyperlink" xfId="3811" builtinId="8" hidden="1"/>
    <cellStyle name="Hyperlink" xfId="3813" builtinId="8" hidden="1"/>
    <cellStyle name="Hyperlink" xfId="3815" builtinId="8" hidden="1"/>
    <cellStyle name="Hyperlink" xfId="3817" builtinId="8" hidden="1"/>
    <cellStyle name="Hyperlink" xfId="3819" builtinId="8" hidden="1"/>
    <cellStyle name="Hyperlink" xfId="3821" builtinId="8" hidden="1"/>
    <cellStyle name="Hyperlink" xfId="3823" builtinId="8" hidden="1"/>
    <cellStyle name="Hyperlink" xfId="3825" builtinId="8" hidden="1"/>
    <cellStyle name="Hyperlink" xfId="3827" builtinId="8" hidden="1"/>
    <cellStyle name="Hyperlink" xfId="3829" builtinId="8" hidden="1"/>
    <cellStyle name="Hyperlink" xfId="3831" builtinId="8" hidden="1"/>
    <cellStyle name="Hyperlink" xfId="3833" builtinId="8" hidden="1"/>
    <cellStyle name="Hyperlink" xfId="3835" builtinId="8" hidden="1"/>
    <cellStyle name="Hyperlink" xfId="3837" builtinId="8" hidden="1"/>
    <cellStyle name="Hyperlink" xfId="3839" builtinId="8" hidden="1"/>
    <cellStyle name="Hyperlink" xfId="3841" builtinId="8" hidden="1"/>
    <cellStyle name="Hyperlink" xfId="3843" builtinId="8" hidden="1"/>
    <cellStyle name="Hyperlink" xfId="3845" builtinId="8" hidden="1"/>
    <cellStyle name="Hyperlink" xfId="3847" builtinId="8" hidden="1"/>
    <cellStyle name="Hyperlink" xfId="3849" builtinId="8" hidden="1"/>
    <cellStyle name="Hyperlink" xfId="3851" builtinId="8" hidden="1"/>
    <cellStyle name="Hyperlink" xfId="3853" builtinId="8" hidden="1"/>
    <cellStyle name="Hyperlink" xfId="3855" builtinId="8" hidden="1"/>
    <cellStyle name="Hyperlink" xfId="3857" builtinId="8" hidden="1"/>
    <cellStyle name="Hyperlink" xfId="3859" builtinId="8" hidden="1"/>
    <cellStyle name="Hyperlink" xfId="3861" builtinId="8" hidden="1"/>
    <cellStyle name="Hyperlink" xfId="3863" builtinId="8" hidden="1"/>
    <cellStyle name="Hyperlink" xfId="3865" builtinId="8" hidden="1"/>
    <cellStyle name="Hyperlink" xfId="3867" builtinId="8" hidden="1"/>
    <cellStyle name="Hyperlink" xfId="3869" builtinId="8" hidden="1"/>
    <cellStyle name="Hyperlink" xfId="3871" builtinId="8" hidden="1"/>
    <cellStyle name="Hyperlink" xfId="3873" builtinId="8" hidden="1"/>
    <cellStyle name="Hyperlink" xfId="3875" builtinId="8" hidden="1"/>
    <cellStyle name="Hyperlink" xfId="3877" builtinId="8" hidden="1"/>
    <cellStyle name="Hyperlink" xfId="3879" builtinId="8" hidden="1"/>
    <cellStyle name="Hyperlink" xfId="3881" builtinId="8" hidden="1"/>
    <cellStyle name="Hyperlink" xfId="3883" builtinId="8" hidden="1"/>
    <cellStyle name="Hyperlink" xfId="3885" builtinId="8" hidden="1"/>
    <cellStyle name="Hyperlink" xfId="3887" builtinId="8" hidden="1"/>
    <cellStyle name="Hyperlink" xfId="3889" builtinId="8" hidden="1"/>
    <cellStyle name="Hyperlink" xfId="3891" builtinId="8" hidden="1"/>
    <cellStyle name="Hyperlink" xfId="3893" builtinId="8" hidden="1"/>
    <cellStyle name="Hyperlink" xfId="3895" builtinId="8" hidden="1"/>
    <cellStyle name="Hyperlink" xfId="3939" builtinId="8" hidden="1"/>
    <cellStyle name="Hyperlink" xfId="3941" builtinId="8" hidden="1"/>
    <cellStyle name="Hyperlink" xfId="3943" builtinId="8" hidden="1"/>
    <cellStyle name="Hyperlink" xfId="3945" builtinId="8" hidden="1"/>
    <cellStyle name="Hyperlink" xfId="3947" builtinId="8" hidden="1"/>
    <cellStyle name="Hyperlink" xfId="3949" builtinId="8" hidden="1"/>
    <cellStyle name="Hyperlink" xfId="3951" builtinId="8" hidden="1"/>
    <cellStyle name="Hyperlink" xfId="3953" builtinId="8" hidden="1"/>
    <cellStyle name="Hyperlink" xfId="3955" builtinId="8" hidden="1"/>
    <cellStyle name="Hyperlink" xfId="3957" builtinId="8" hidden="1"/>
    <cellStyle name="Hyperlink" xfId="3959" builtinId="8" hidden="1"/>
    <cellStyle name="Hyperlink" xfId="3961" builtinId="8" hidden="1"/>
    <cellStyle name="Hyperlink" xfId="3963" builtinId="8" hidden="1"/>
    <cellStyle name="Hyperlink" xfId="3965" builtinId="8" hidden="1"/>
    <cellStyle name="Hyperlink" xfId="3967" builtinId="8" hidden="1"/>
    <cellStyle name="Hyperlink" xfId="3969" builtinId="8" hidden="1"/>
    <cellStyle name="Hyperlink" xfId="3971" builtinId="8" hidden="1"/>
    <cellStyle name="Hyperlink" xfId="3973" builtinId="8" hidden="1"/>
    <cellStyle name="Hyperlink" xfId="3975" builtinId="8" hidden="1"/>
    <cellStyle name="Hyperlink" xfId="3977" builtinId="8" hidden="1"/>
    <cellStyle name="Hyperlink" xfId="3979" builtinId="8" hidden="1"/>
    <cellStyle name="Hyperlink" xfId="3981" builtinId="8" hidden="1"/>
    <cellStyle name="Hyperlink" xfId="3983" builtinId="8" hidden="1"/>
    <cellStyle name="Hyperlink" xfId="3985" builtinId="8" hidden="1"/>
    <cellStyle name="Hyperlink" xfId="3987" builtinId="8" hidden="1"/>
    <cellStyle name="Hyperlink" xfId="3989" builtinId="8" hidden="1"/>
    <cellStyle name="Hyperlink" xfId="3991" builtinId="8" hidden="1"/>
    <cellStyle name="Hyperlink" xfId="3993" builtinId="8" hidden="1"/>
    <cellStyle name="Hyperlink" xfId="3995" builtinId="8" hidden="1"/>
    <cellStyle name="Hyperlink" xfId="3997" builtinId="8" hidden="1"/>
    <cellStyle name="Hyperlink" xfId="3999" builtinId="8" hidden="1"/>
    <cellStyle name="Hyperlink" xfId="4001" builtinId="8" hidden="1"/>
    <cellStyle name="Hyperlink" xfId="4003" builtinId="8" hidden="1"/>
    <cellStyle name="Hyperlink" xfId="4005" builtinId="8" hidden="1"/>
    <cellStyle name="Hyperlink" xfId="4007" builtinId="8" hidden="1"/>
    <cellStyle name="Hyperlink" xfId="4009" builtinId="8" hidden="1"/>
    <cellStyle name="Hyperlink" xfId="4011" builtinId="8" hidden="1"/>
    <cellStyle name="Hyperlink" xfId="4013" builtinId="8" hidden="1"/>
    <cellStyle name="Hyperlink" xfId="4015" builtinId="8" hidden="1"/>
    <cellStyle name="Hyperlink" xfId="4017" builtinId="8" hidden="1"/>
    <cellStyle name="Hyperlink" xfId="4019" builtinId="8" hidden="1"/>
    <cellStyle name="Hyperlink" xfId="4021" builtinId="8" hidden="1"/>
    <cellStyle name="Hyperlink" xfId="4023" builtinId="8" hidden="1"/>
    <cellStyle name="Hyperlink" xfId="4025" builtinId="8" hidden="1"/>
    <cellStyle name="Hyperlink" xfId="4027" builtinId="8" hidden="1"/>
    <cellStyle name="Hyperlink" xfId="4029" builtinId="8" hidden="1"/>
    <cellStyle name="Hyperlink" xfId="4031" builtinId="8" hidden="1"/>
    <cellStyle name="Hyperlink" xfId="4033" builtinId="8" hidden="1"/>
    <cellStyle name="Hyperlink" xfId="4035" builtinId="8" hidden="1"/>
    <cellStyle name="Hyperlink" xfId="4037" builtinId="8" hidden="1"/>
    <cellStyle name="Hyperlink" xfId="4039" builtinId="8" hidden="1"/>
    <cellStyle name="Hyperlink" xfId="4041" builtinId="8" hidden="1"/>
    <cellStyle name="Hyperlink" xfId="4043" builtinId="8" hidden="1"/>
    <cellStyle name="Hyperlink" xfId="4045" builtinId="8" hidden="1"/>
    <cellStyle name="Hyperlink" xfId="4047" builtinId="8" hidden="1"/>
    <cellStyle name="Hyperlink" xfId="4049" builtinId="8" hidden="1"/>
    <cellStyle name="Hyperlink" xfId="4051" builtinId="8" hidden="1"/>
    <cellStyle name="Hyperlink" xfId="4053" builtinId="8" hidden="1"/>
    <cellStyle name="Hyperlink" xfId="4055" builtinId="8" hidden="1"/>
    <cellStyle name="Hyperlink" xfId="4057" builtinId="8" hidden="1"/>
    <cellStyle name="Hyperlink" xfId="4059" builtinId="8" hidden="1"/>
    <cellStyle name="Hyperlink" xfId="4061" builtinId="8" hidden="1"/>
    <cellStyle name="Hyperlink" xfId="4063" builtinId="8" hidden="1"/>
    <cellStyle name="Hyperlink" xfId="4065" builtinId="8" hidden="1"/>
    <cellStyle name="Hyperlink" xfId="4067" builtinId="8" hidden="1"/>
    <cellStyle name="Hyperlink" xfId="4069" builtinId="8" hidden="1"/>
    <cellStyle name="Hyperlink" xfId="4071" builtinId="8" hidden="1"/>
    <cellStyle name="Hyperlink" xfId="4073" builtinId="8" hidden="1"/>
    <cellStyle name="Hyperlink" xfId="4075" builtinId="8" hidden="1"/>
    <cellStyle name="Hyperlink" xfId="4077" builtinId="8" hidden="1"/>
    <cellStyle name="Hyperlink" xfId="4079" builtinId="8" hidden="1"/>
    <cellStyle name="Hyperlink" xfId="4081" builtinId="8" hidden="1"/>
    <cellStyle name="Hyperlink" xfId="4083" builtinId="8" hidden="1"/>
    <cellStyle name="Hyperlink" xfId="4085" builtinId="8" hidden="1"/>
    <cellStyle name="Hyperlink" xfId="4087" builtinId="8" hidden="1"/>
    <cellStyle name="Hyperlink" xfId="4089" builtinId="8" hidden="1"/>
    <cellStyle name="Hyperlink" xfId="4091" builtinId="8" hidden="1"/>
    <cellStyle name="Hyperlink" xfId="4093" builtinId="8" hidden="1"/>
    <cellStyle name="Hyperlink" xfId="4095" builtinId="8" hidden="1"/>
    <cellStyle name="Hyperlink" xfId="4097" builtinId="8" hidden="1"/>
    <cellStyle name="Hyperlink" xfId="4099" builtinId="8" hidden="1"/>
    <cellStyle name="Hyperlink" xfId="4101" builtinId="8" hidden="1"/>
    <cellStyle name="Hyperlink" xfId="4103" builtinId="8" hidden="1"/>
    <cellStyle name="Hyperlink" xfId="4105" builtinId="8" hidden="1"/>
    <cellStyle name="Hyperlink" xfId="4107" builtinId="8" hidden="1"/>
    <cellStyle name="Hyperlink" xfId="4109" builtinId="8" hidden="1"/>
    <cellStyle name="Hyperlink" xfId="4111" builtinId="8" hidden="1"/>
    <cellStyle name="Hyperlink" xfId="4113" builtinId="8" hidden="1"/>
    <cellStyle name="Hyperlink" xfId="4115" builtinId="8" hidden="1"/>
    <cellStyle name="Hyperlink" xfId="4117" builtinId="8" hidden="1"/>
    <cellStyle name="Hyperlink" xfId="4119" builtinId="8" hidden="1"/>
    <cellStyle name="Hyperlink" xfId="4121" builtinId="8" hidden="1"/>
    <cellStyle name="Hyperlink" xfId="4123" builtinId="8" hidden="1"/>
    <cellStyle name="Hyperlink" xfId="4125" builtinId="8" hidden="1"/>
    <cellStyle name="Hyperlink" xfId="4127" builtinId="8" hidden="1"/>
    <cellStyle name="Hyperlink" xfId="4129" builtinId="8" hidden="1"/>
    <cellStyle name="Hyperlink" xfId="4131" builtinId="8" hidden="1"/>
    <cellStyle name="Hyperlink" xfId="4133" builtinId="8" hidden="1"/>
    <cellStyle name="Hyperlink" xfId="4135" builtinId="8" hidden="1"/>
    <cellStyle name="Hyperlink" xfId="4137" builtinId="8" hidden="1"/>
    <cellStyle name="Hyperlink" xfId="4139" builtinId="8" hidden="1"/>
    <cellStyle name="Hyperlink" xfId="4141" builtinId="8" hidden="1"/>
    <cellStyle name="Hyperlink" xfId="4143" builtinId="8" hidden="1"/>
    <cellStyle name="Hyperlink" xfId="4145" builtinId="8" hidden="1"/>
    <cellStyle name="Hyperlink" xfId="4147" builtinId="8" hidden="1"/>
    <cellStyle name="Hyperlink" xfId="4149" builtinId="8" hidden="1"/>
    <cellStyle name="Hyperlink" xfId="4151" builtinId="8" hidden="1"/>
    <cellStyle name="Hyperlink" xfId="4153" builtinId="8" hidden="1"/>
    <cellStyle name="Hyperlink" xfId="4155" builtinId="8" hidden="1"/>
    <cellStyle name="Hyperlink" xfId="4157" builtinId="8" hidden="1"/>
    <cellStyle name="Hyperlink" xfId="4159" builtinId="8" hidden="1"/>
    <cellStyle name="Hyperlink" xfId="4161" builtinId="8" hidden="1"/>
    <cellStyle name="Hyperlink" xfId="4163" builtinId="8" hidden="1"/>
    <cellStyle name="Hyperlink" xfId="4165" builtinId="8" hidden="1"/>
    <cellStyle name="Hyperlink" xfId="4167" builtinId="8" hidden="1"/>
    <cellStyle name="Hyperlink" xfId="4169" builtinId="8" hidden="1"/>
    <cellStyle name="Hyperlink" xfId="4171" builtinId="8" hidden="1"/>
    <cellStyle name="Hyperlink" xfId="4173" builtinId="8" hidden="1"/>
    <cellStyle name="Hyperlink" xfId="4175" builtinId="8" hidden="1"/>
    <cellStyle name="Hyperlink" xfId="4177" builtinId="8" hidden="1"/>
    <cellStyle name="Hyperlink" xfId="4179" builtinId="8" hidden="1"/>
    <cellStyle name="Hyperlink" xfId="4181" builtinId="8" hidden="1"/>
    <cellStyle name="Hyperlink" xfId="4183" builtinId="8" hidden="1"/>
    <cellStyle name="Hyperlink" xfId="4185" builtinId="8" hidden="1"/>
    <cellStyle name="Hyperlink" xfId="4187" builtinId="8" hidden="1"/>
    <cellStyle name="Hyperlink" xfId="4189" builtinId="8" hidden="1"/>
    <cellStyle name="Hyperlink" xfId="4191" builtinId="8" hidden="1"/>
    <cellStyle name="Hyperlink" xfId="4193" builtinId="8" hidden="1"/>
    <cellStyle name="Hyperlink" xfId="4195" builtinId="8" hidden="1"/>
    <cellStyle name="Hyperlink" xfId="4197" builtinId="8" hidden="1"/>
    <cellStyle name="Hyperlink" xfId="4199" builtinId="8" hidden="1"/>
    <cellStyle name="Hyperlink" xfId="4201" builtinId="8" hidden="1"/>
    <cellStyle name="Hyperlink" xfId="4203" builtinId="8" hidden="1"/>
    <cellStyle name="Hyperlink" xfId="4205" builtinId="8" hidden="1"/>
    <cellStyle name="Hyperlink" xfId="4207" builtinId="8" hidden="1"/>
    <cellStyle name="Hyperlink" xfId="4209" builtinId="8" hidden="1"/>
    <cellStyle name="Hyperlink" xfId="4211" builtinId="8" hidden="1"/>
    <cellStyle name="Hyperlink" xfId="4213" builtinId="8" hidden="1"/>
    <cellStyle name="Hyperlink" xfId="4215" builtinId="8" hidden="1"/>
    <cellStyle name="Hyperlink" xfId="4217" builtinId="8" hidden="1"/>
    <cellStyle name="Hyperlink" xfId="4219" builtinId="8" hidden="1"/>
    <cellStyle name="Hyperlink" xfId="4221" builtinId="8" hidden="1"/>
    <cellStyle name="Hyperlink" xfId="4223" builtinId="8" hidden="1"/>
    <cellStyle name="Hyperlink" xfId="4225" builtinId="8" hidden="1"/>
    <cellStyle name="Hyperlink" xfId="4227" builtinId="8" hidden="1"/>
    <cellStyle name="Hyperlink" xfId="4229" builtinId="8" hidden="1"/>
    <cellStyle name="Hyperlink" xfId="4231" builtinId="8" hidden="1"/>
    <cellStyle name="Hyperlink" xfId="4233" builtinId="8" hidden="1"/>
    <cellStyle name="Hyperlink" xfId="4235" builtinId="8" hidden="1"/>
    <cellStyle name="Hyperlink" xfId="4237" builtinId="8" hidden="1"/>
    <cellStyle name="Hyperlink" xfId="4239" builtinId="8" hidden="1"/>
    <cellStyle name="Hyperlink" xfId="4241" builtinId="8" hidden="1"/>
    <cellStyle name="Hyperlink" xfId="4243" builtinId="8" hidden="1"/>
    <cellStyle name="Hyperlink" xfId="4252" builtinId="8" hidden="1"/>
    <cellStyle name="Hyperlink" xfId="4254" builtinId="8" hidden="1"/>
    <cellStyle name="Hyperlink" xfId="4256" builtinId="8" hidden="1"/>
    <cellStyle name="Hyperlink" xfId="4258" builtinId="8" hidden="1"/>
    <cellStyle name="Hyperlink" xfId="4260" builtinId="8" hidden="1"/>
    <cellStyle name="Hyperlink" xfId="4262" builtinId="8" hidden="1"/>
    <cellStyle name="Hyperlink" xfId="4264" builtinId="8" hidden="1"/>
    <cellStyle name="Hyperlink" xfId="4266" builtinId="8" hidden="1"/>
    <cellStyle name="Hyperlink" xfId="4268" builtinId="8" hidden="1"/>
    <cellStyle name="Hyperlink" xfId="4270" builtinId="8" hidden="1"/>
    <cellStyle name="Hyperlink" xfId="4272" builtinId="8" hidden="1"/>
    <cellStyle name="Hyperlink" xfId="4274" builtinId="8" hidden="1"/>
    <cellStyle name="Hyperlink" xfId="4276" builtinId="8" hidden="1"/>
    <cellStyle name="Hyperlink" xfId="4278" builtinId="8" hidden="1"/>
    <cellStyle name="Hyperlink" xfId="4280" builtinId="8" hidden="1"/>
    <cellStyle name="Hyperlink" xfId="4282" builtinId="8" hidden="1"/>
    <cellStyle name="Hyperlink" xfId="4284" builtinId="8" hidden="1"/>
    <cellStyle name="Hyperlink" xfId="4286" builtinId="8" hidden="1"/>
    <cellStyle name="Hyperlink" xfId="4288" builtinId="8" hidden="1"/>
    <cellStyle name="Hyperlink" xfId="4290" builtinId="8" hidden="1"/>
    <cellStyle name="Hyperlink" xfId="4292" builtinId="8" hidden="1"/>
    <cellStyle name="Hyperlink" xfId="4294" builtinId="8" hidden="1"/>
    <cellStyle name="Hyperlink" xfId="4296" builtinId="8" hidden="1"/>
    <cellStyle name="Hyperlink" xfId="4298" builtinId="8" hidden="1"/>
    <cellStyle name="Hyperlink" xfId="4300" builtinId="8" hidden="1"/>
    <cellStyle name="Hyperlink" xfId="4302" builtinId="8" hidden="1"/>
    <cellStyle name="Hyperlink" xfId="4304" builtinId="8" hidden="1"/>
    <cellStyle name="Hyperlink" xfId="4306" builtinId="8" hidden="1"/>
    <cellStyle name="Hyperlink" xfId="4308" builtinId="8" hidden="1"/>
    <cellStyle name="Hyperlink" xfId="4310" builtinId="8" hidden="1"/>
    <cellStyle name="Hyperlink" xfId="4312" builtinId="8" hidden="1"/>
    <cellStyle name="Hyperlink" xfId="4314" builtinId="8" hidden="1"/>
    <cellStyle name="Hyperlink" xfId="4316" builtinId="8" hidden="1"/>
    <cellStyle name="Hyperlink" xfId="4318" builtinId="8" hidden="1"/>
    <cellStyle name="Hyperlink" xfId="4320" builtinId="8" hidden="1"/>
    <cellStyle name="Hyperlink" xfId="4322" builtinId="8" hidden="1"/>
    <cellStyle name="Hyperlink" xfId="4324" builtinId="8" hidden="1"/>
    <cellStyle name="Hyperlink" xfId="4326" builtinId="8" hidden="1"/>
    <cellStyle name="Hyperlink" xfId="4328" builtinId="8" hidden="1"/>
    <cellStyle name="Hyperlink" xfId="4330" builtinId="8" hidden="1"/>
    <cellStyle name="Hyperlink" xfId="4332" builtinId="8" hidden="1"/>
    <cellStyle name="Hyperlink" xfId="4334" builtinId="8" hidden="1"/>
    <cellStyle name="Hyperlink" xfId="4336" builtinId="8" hidden="1"/>
    <cellStyle name="Hyperlink" xfId="4338" builtinId="8" hidden="1"/>
    <cellStyle name="Hyperlink" xfId="4340" builtinId="8" hidden="1"/>
    <cellStyle name="Hyperlink" xfId="4342" builtinId="8" hidden="1"/>
    <cellStyle name="Hyperlink" xfId="4344" builtinId="8" hidden="1"/>
    <cellStyle name="Hyperlink" xfId="4346" builtinId="8" hidden="1"/>
    <cellStyle name="Hyperlink" xfId="4348" builtinId="8" hidden="1"/>
    <cellStyle name="Hyperlink" xfId="4350" builtinId="8" hidden="1"/>
    <cellStyle name="Hyperlink" xfId="4352" builtinId="8" hidden="1"/>
    <cellStyle name="Hyperlink" xfId="4354" builtinId="8" hidden="1"/>
    <cellStyle name="Hyperlink" xfId="4356" builtinId="8" hidden="1"/>
    <cellStyle name="Hyperlink" xfId="4358" builtinId="8" hidden="1"/>
    <cellStyle name="Hyperlink" xfId="4360" builtinId="8" hidden="1"/>
    <cellStyle name="Hyperlink" xfId="4362" builtinId="8" hidden="1"/>
    <cellStyle name="Hyperlink" xfId="4364" builtinId="8" hidden="1"/>
    <cellStyle name="Hyperlink" xfId="4366" builtinId="8" hidden="1"/>
    <cellStyle name="Hyperlink" xfId="4368" builtinId="8" hidden="1"/>
    <cellStyle name="Hyperlink" xfId="4370" builtinId="8" hidden="1"/>
    <cellStyle name="Hyperlink" xfId="4372" builtinId="8" hidden="1"/>
    <cellStyle name="Hyperlink" xfId="4374" builtinId="8" hidden="1"/>
    <cellStyle name="Hyperlink" xfId="4376" builtinId="8" hidden="1"/>
    <cellStyle name="Hyperlink" xfId="4378" builtinId="8" hidden="1"/>
    <cellStyle name="Hyperlink" xfId="4380" builtinId="8" hidden="1"/>
    <cellStyle name="Hyperlink" xfId="4382" builtinId="8" hidden="1"/>
    <cellStyle name="Hyperlink" xfId="4384" builtinId="8" hidden="1"/>
    <cellStyle name="Hyperlink" xfId="4386" builtinId="8" hidden="1"/>
    <cellStyle name="Hyperlink" xfId="4388" builtinId="8" hidden="1"/>
    <cellStyle name="Hyperlink" xfId="4390" builtinId="8" hidden="1"/>
    <cellStyle name="Hyperlink" xfId="4392" builtinId="8" hidden="1"/>
    <cellStyle name="Hyperlink" xfId="4394" builtinId="8" hidden="1"/>
    <cellStyle name="Hyperlink" xfId="4396" builtinId="8" hidden="1"/>
    <cellStyle name="Hyperlink" xfId="4398" builtinId="8" hidden="1"/>
    <cellStyle name="Hyperlink" xfId="4400" builtinId="8" hidden="1"/>
    <cellStyle name="Hyperlink" xfId="4402" builtinId="8" hidden="1"/>
    <cellStyle name="Hyperlink" xfId="4404" builtinId="8" hidden="1"/>
    <cellStyle name="Hyperlink" xfId="4406" builtinId="8" hidden="1"/>
    <cellStyle name="Hyperlink" xfId="4408" builtinId="8" hidden="1"/>
    <cellStyle name="Hyperlink" xfId="4410" builtinId="8" hidden="1"/>
    <cellStyle name="Hyperlink" xfId="4412" builtinId="8" hidden="1"/>
    <cellStyle name="Hyperlink" xfId="4414" builtinId="8" hidden="1"/>
    <cellStyle name="Hyperlink" xfId="4416" builtinId="8" hidden="1"/>
    <cellStyle name="Hyperlink" xfId="4418" builtinId="8" hidden="1"/>
    <cellStyle name="Hyperlink" xfId="4420" builtinId="8" hidden="1"/>
    <cellStyle name="Hyperlink" xfId="4422" builtinId="8" hidden="1"/>
    <cellStyle name="Hyperlink" xfId="4424" builtinId="8" hidden="1"/>
    <cellStyle name="Hyperlink" xfId="4426" builtinId="8" hidden="1"/>
    <cellStyle name="Hyperlink" xfId="4428" builtinId="8" hidden="1"/>
    <cellStyle name="Hyperlink" xfId="4430" builtinId="8" hidden="1"/>
    <cellStyle name="Hyperlink" xfId="4432" builtinId="8" hidden="1"/>
    <cellStyle name="Hyperlink" xfId="4434" builtinId="8" hidden="1"/>
    <cellStyle name="Hyperlink" xfId="4436" builtinId="8" hidden="1"/>
    <cellStyle name="Hyperlink" xfId="4438" builtinId="8" hidden="1"/>
    <cellStyle name="Hyperlink" xfId="4440" builtinId="8" hidden="1"/>
    <cellStyle name="Hyperlink" xfId="4442" builtinId="8" hidden="1"/>
    <cellStyle name="Hyperlink" xfId="4444" builtinId="8" hidden="1"/>
    <cellStyle name="Hyperlink" xfId="4446" builtinId="8" hidden="1"/>
    <cellStyle name="Hyperlink" xfId="4448" builtinId="8" hidden="1"/>
    <cellStyle name="Hyperlink" xfId="4454" builtinId="8" hidden="1"/>
    <cellStyle name="Hyperlink" xfId="4456" builtinId="8" hidden="1"/>
    <cellStyle name="Hyperlink" xfId="4458" builtinId="8" hidden="1"/>
    <cellStyle name="Hyperlink" xfId="4460" builtinId="8" hidden="1"/>
    <cellStyle name="Hyperlink" xfId="4462" builtinId="8" hidden="1"/>
    <cellStyle name="Hyperlink" xfId="4464" builtinId="8" hidden="1"/>
    <cellStyle name="Hyperlink" xfId="4466" builtinId="8" hidden="1"/>
    <cellStyle name="Hyperlink" xfId="4468" builtinId="8" hidden="1"/>
    <cellStyle name="Hyperlink" xfId="4470" builtinId="8" hidden="1"/>
    <cellStyle name="Hyperlink" xfId="4472" builtinId="8" hidden="1"/>
    <cellStyle name="Hyperlink" xfId="4474" builtinId="8" hidden="1"/>
    <cellStyle name="Hyperlink" xfId="4476" builtinId="8" hidden="1"/>
    <cellStyle name="Hyperlink" xfId="4478" builtinId="8" hidden="1"/>
    <cellStyle name="Hyperlink" xfId="4480" builtinId="8" hidden="1"/>
    <cellStyle name="Hyperlink" xfId="4482" builtinId="8" hidden="1"/>
    <cellStyle name="Hyperlink" xfId="4484" builtinId="8" hidden="1"/>
    <cellStyle name="Hyperlink" xfId="4486" builtinId="8" hidden="1"/>
    <cellStyle name="Hyperlink" xfId="4488" builtinId="8" hidden="1"/>
    <cellStyle name="Hyperlink" xfId="4490" builtinId="8" hidden="1"/>
    <cellStyle name="Hyperlink" xfId="4492" builtinId="8" hidden="1"/>
    <cellStyle name="Hyperlink" xfId="4494" builtinId="8" hidden="1"/>
    <cellStyle name="Hyperlink" xfId="4496" builtinId="8" hidden="1"/>
    <cellStyle name="Hyperlink" xfId="4498" builtinId="8" hidden="1"/>
    <cellStyle name="Hyperlink" xfId="4500" builtinId="8" hidden="1"/>
    <cellStyle name="Hyperlink" xfId="4502" builtinId="8" hidden="1"/>
    <cellStyle name="Hyperlink" xfId="4504" builtinId="8" hidden="1"/>
    <cellStyle name="Hyperlink" xfId="4506" builtinId="8" hidden="1"/>
    <cellStyle name="Hyperlink" xfId="4508" builtinId="8" hidden="1"/>
    <cellStyle name="Hyperlink" xfId="4510" builtinId="8" hidden="1"/>
    <cellStyle name="Hyperlink" xfId="4512" builtinId="8" hidden="1"/>
    <cellStyle name="Hyperlink" xfId="4514" builtinId="8" hidden="1"/>
    <cellStyle name="Hyperlink" xfId="4516" builtinId="8" hidden="1"/>
    <cellStyle name="Hyperlink" xfId="4518" builtinId="8" hidden="1"/>
    <cellStyle name="Hyperlink" xfId="4520" builtinId="8" hidden="1"/>
    <cellStyle name="Hyperlink" xfId="4522" builtinId="8" hidden="1"/>
    <cellStyle name="Hyperlink" xfId="4524" builtinId="8" hidden="1"/>
    <cellStyle name="Hyperlink" xfId="4526" builtinId="8" hidden="1"/>
    <cellStyle name="Hyperlink" xfId="4528" builtinId="8" hidden="1"/>
    <cellStyle name="Hyperlink" xfId="4530" builtinId="8" hidden="1"/>
    <cellStyle name="Hyperlink" xfId="4532" builtinId="8" hidden="1"/>
    <cellStyle name="Hyperlink" xfId="4534" builtinId="8" hidden="1"/>
    <cellStyle name="Hyperlink" xfId="4536" builtinId="8" hidden="1"/>
    <cellStyle name="Hyperlink" xfId="4538" builtinId="8" hidden="1"/>
    <cellStyle name="Hyperlink" xfId="4540" builtinId="8" hidden="1"/>
    <cellStyle name="Hyperlink" xfId="4542" builtinId="8" hidden="1"/>
    <cellStyle name="Hyperlink" xfId="4544" builtinId="8" hidden="1"/>
    <cellStyle name="Hyperlink" xfId="4546" builtinId="8" hidden="1"/>
    <cellStyle name="Hyperlink" xfId="4548" builtinId="8" hidden="1"/>
    <cellStyle name="Hyperlink" xfId="4550" builtinId="8" hidden="1"/>
    <cellStyle name="Hyperlink" xfId="4552" builtinId="8" hidden="1"/>
    <cellStyle name="Hyperlink" xfId="4554" builtinId="8" hidden="1"/>
    <cellStyle name="Hyperlink" xfId="4556" builtinId="8" hidden="1"/>
    <cellStyle name="Hyperlink" xfId="4558" builtinId="8" hidden="1"/>
    <cellStyle name="Hyperlink" xfId="4560" builtinId="8" hidden="1"/>
    <cellStyle name="Hyperlink" xfId="4562" builtinId="8" hidden="1"/>
    <cellStyle name="Hyperlink" xfId="4564" builtinId="8" hidden="1"/>
    <cellStyle name="Hyperlink" xfId="4566" builtinId="8" hidden="1"/>
    <cellStyle name="Hyperlink" xfId="4568" builtinId="8" hidden="1"/>
    <cellStyle name="Hyperlink" xfId="4570" builtinId="8" hidden="1"/>
    <cellStyle name="Hyperlink" xfId="4572" builtinId="8" hidden="1"/>
    <cellStyle name="Hyperlink" xfId="4574" builtinId="8" hidden="1"/>
    <cellStyle name="Hyperlink" xfId="4576" builtinId="8" hidden="1"/>
    <cellStyle name="Hyperlink" xfId="4578" builtinId="8" hidden="1"/>
    <cellStyle name="Hyperlink" xfId="4580" builtinId="8" hidden="1"/>
    <cellStyle name="Hyperlink" xfId="4582" builtinId="8" hidden="1"/>
    <cellStyle name="Hyperlink" xfId="4584" builtinId="8" hidden="1"/>
    <cellStyle name="Hyperlink" xfId="4586" builtinId="8" hidden="1"/>
    <cellStyle name="Hyperlink" xfId="4588" builtinId="8" hidden="1"/>
    <cellStyle name="Hyperlink" xfId="4590" builtinId="8" hidden="1"/>
    <cellStyle name="Hyperlink" xfId="4592" builtinId="8" hidden="1"/>
    <cellStyle name="Hyperlink" xfId="4594" builtinId="8" hidden="1"/>
    <cellStyle name="Hyperlink" xfId="4596" builtinId="8" hidden="1"/>
    <cellStyle name="Hyperlink" xfId="4598" builtinId="8" hidden="1"/>
    <cellStyle name="Hyperlink" xfId="4600" builtinId="8" hidden="1"/>
    <cellStyle name="Hyperlink" xfId="4602" builtinId="8" hidden="1"/>
    <cellStyle name="Hyperlink" xfId="4604" builtinId="8" hidden="1"/>
    <cellStyle name="Hyperlink" xfId="4606" builtinId="8" hidden="1"/>
    <cellStyle name="Hyperlink" xfId="4608" builtinId="8" hidden="1"/>
    <cellStyle name="Hyperlink" xfId="4610" builtinId="8" hidden="1"/>
    <cellStyle name="Hyperlink" xfId="4612" builtinId="8" hidden="1"/>
    <cellStyle name="Hyperlink" xfId="4614" builtinId="8" hidden="1"/>
    <cellStyle name="Hyperlink" xfId="4616" builtinId="8" hidden="1"/>
    <cellStyle name="Hyperlink" xfId="4618" builtinId="8" hidden="1"/>
    <cellStyle name="Hyperlink" xfId="4620" builtinId="8" hidden="1"/>
    <cellStyle name="Hyperlink" xfId="4622" builtinId="8" hidden="1"/>
    <cellStyle name="Hyperlink" xfId="4624" builtinId="8" hidden="1"/>
    <cellStyle name="Hyperlink" xfId="4626" builtinId="8" hidden="1"/>
    <cellStyle name="Hyperlink" xfId="4628" builtinId="8" hidden="1"/>
    <cellStyle name="Hyperlink" xfId="4630" builtinId="8" hidden="1"/>
    <cellStyle name="Hyperlink" xfId="4632" builtinId="8" hidden="1"/>
    <cellStyle name="Hyperlink" xfId="4634" builtinId="8" hidden="1"/>
    <cellStyle name="Hyperlink" xfId="4636" builtinId="8" hidden="1"/>
    <cellStyle name="Hyperlink" xfId="4638" builtinId="8" hidden="1"/>
    <cellStyle name="Hyperlink" xfId="4640" builtinId="8" hidden="1"/>
    <cellStyle name="Hyperlink" xfId="4642" builtinId="8" hidden="1"/>
    <cellStyle name="Hyperlink" xfId="4644" builtinId="8" hidden="1"/>
    <cellStyle name="Hyperlink" xfId="4646" builtinId="8" hidden="1"/>
    <cellStyle name="Hyperlink" xfId="4648" builtinId="8" hidden="1"/>
    <cellStyle name="Hyperlink" xfId="4650" builtinId="8" hidden="1"/>
    <cellStyle name="Hyperlink" xfId="4652" builtinId="8" hidden="1"/>
    <cellStyle name="Hyperlink" xfId="4654" builtinId="8" hidden="1"/>
    <cellStyle name="Hyperlink" xfId="4656" builtinId="8" hidden="1"/>
    <cellStyle name="Hyperlink" xfId="4658" builtinId="8" hidden="1"/>
    <cellStyle name="Hyperlink" xfId="4660" builtinId="8" hidden="1"/>
    <cellStyle name="Hyperlink" xfId="4662" builtinId="8" hidden="1"/>
    <cellStyle name="Hyperlink" xfId="4664" builtinId="8" hidden="1"/>
    <cellStyle name="Hyperlink" xfId="4666" builtinId="8" hidden="1"/>
    <cellStyle name="Hyperlink" xfId="4668" builtinId="8" hidden="1"/>
    <cellStyle name="Hyperlink" xfId="4670" builtinId="8" hidden="1"/>
    <cellStyle name="Hyperlink" xfId="4672" builtinId="8" hidden="1"/>
    <cellStyle name="Hyperlink" xfId="4674" builtinId="8" hidden="1"/>
    <cellStyle name="Hyperlink" xfId="4676" builtinId="8" hidden="1"/>
    <cellStyle name="Hyperlink" xfId="4678" builtinId="8" hidden="1"/>
    <cellStyle name="Hyperlink" xfId="4680" builtinId="8" hidden="1"/>
    <cellStyle name="Hyperlink" xfId="4682" builtinId="8" hidden="1"/>
    <cellStyle name="Hyperlink" xfId="4684" builtinId="8" hidden="1"/>
    <cellStyle name="Hyperlink" xfId="4686" builtinId="8" hidden="1"/>
    <cellStyle name="Hyperlink" xfId="4688" builtinId="8" hidden="1"/>
    <cellStyle name="Hyperlink" xfId="4690" builtinId="8" hidden="1"/>
    <cellStyle name="Hyperlink" xfId="4692" builtinId="8" hidden="1"/>
    <cellStyle name="Hyperlink" xfId="4694" builtinId="8" hidden="1"/>
    <cellStyle name="Hyperlink" xfId="4696" builtinId="8" hidden="1"/>
    <cellStyle name="Hyperlink" xfId="4698" builtinId="8" hidden="1"/>
    <cellStyle name="Hyperlink" xfId="4700" builtinId="8" hidden="1"/>
    <cellStyle name="Hyperlink" xfId="4702" builtinId="8" hidden="1"/>
    <cellStyle name="Hyperlink" xfId="4704" builtinId="8" hidden="1"/>
    <cellStyle name="Hyperlink" xfId="4706" builtinId="8" hidden="1"/>
    <cellStyle name="Hyperlink" xfId="4708" builtinId="8" hidden="1"/>
    <cellStyle name="Hyperlink" xfId="4710" builtinId="8" hidden="1"/>
    <cellStyle name="Hyperlink" xfId="4712" builtinId="8" hidden="1"/>
    <cellStyle name="Hyperlink" xfId="4714" builtinId="8" hidden="1"/>
    <cellStyle name="Hyperlink" xfId="4716" builtinId="8" hidden="1"/>
    <cellStyle name="Hyperlink" xfId="4718" builtinId="8" hidden="1"/>
    <cellStyle name="Hyperlink" xfId="4720" builtinId="8" hidden="1"/>
    <cellStyle name="Hyperlink" xfId="4722" builtinId="8" hidden="1"/>
    <cellStyle name="Hyperlink" xfId="4724" builtinId="8" hidden="1"/>
    <cellStyle name="Hyperlink" xfId="4726" builtinId="8" hidden="1"/>
    <cellStyle name="Hyperlink" xfId="4728" builtinId="8" hidden="1"/>
    <cellStyle name="Hyperlink" xfId="4730" builtinId="8" hidden="1"/>
    <cellStyle name="Hyperlink" xfId="4732" builtinId="8" hidden="1"/>
    <cellStyle name="Hyperlink" xfId="4734" builtinId="8" hidden="1"/>
    <cellStyle name="Hyperlink" xfId="4736" builtinId="8" hidden="1"/>
    <cellStyle name="Hyperlink" xfId="4738" builtinId="8" hidden="1"/>
    <cellStyle name="Hyperlink" xfId="4740" builtinId="8" hidden="1"/>
    <cellStyle name="Hyperlink" xfId="4742" builtinId="8" hidden="1"/>
    <cellStyle name="Hyperlink" xfId="4744" builtinId="8" hidden="1"/>
    <cellStyle name="Hyperlink" xfId="4746" builtinId="8" hidden="1"/>
    <cellStyle name="Hyperlink" xfId="4748" builtinId="8" hidden="1"/>
    <cellStyle name="Hyperlink" xfId="4750" builtinId="8" hidden="1"/>
    <cellStyle name="Hyperlink" xfId="4752" builtinId="8" hidden="1"/>
    <cellStyle name="Hyperlink" xfId="4754" builtinId="8" hidden="1"/>
    <cellStyle name="Hyperlink" xfId="4756" builtinId="8" hidden="1"/>
    <cellStyle name="Hyperlink" xfId="4758" builtinId="8" hidden="1"/>
    <cellStyle name="Hyperlink" xfId="4760" builtinId="8" hidden="1"/>
    <cellStyle name="Hyperlink" xfId="4762" builtinId="8" hidden="1"/>
    <cellStyle name="Hyperlink" xfId="4764" builtinId="8" hidden="1"/>
    <cellStyle name="Hyperlink" xfId="4766" builtinId="8" hidden="1"/>
    <cellStyle name="Hyperlink" xfId="4768" builtinId="8" hidden="1"/>
    <cellStyle name="Hyperlink" xfId="4770" builtinId="8" hidden="1"/>
    <cellStyle name="Hyperlink" xfId="4772" builtinId="8" hidden="1"/>
    <cellStyle name="Hyperlink" xfId="4774" builtinId="8" hidden="1"/>
    <cellStyle name="Hyperlink" xfId="4776" builtinId="8" hidden="1"/>
    <cellStyle name="Hyperlink" xfId="4778" builtinId="8" hidden="1"/>
    <cellStyle name="Hyperlink" xfId="4780" builtinId="8" hidden="1"/>
    <cellStyle name="Hyperlink" xfId="4782" builtinId="8" hidden="1"/>
    <cellStyle name="Hyperlink" xfId="4784" builtinId="8" hidden="1"/>
    <cellStyle name="Hyperlink" xfId="4786" builtinId="8" hidden="1"/>
    <cellStyle name="Hyperlink" xfId="4788" builtinId="8" hidden="1"/>
    <cellStyle name="Hyperlink" xfId="4790" builtinId="8" hidden="1"/>
    <cellStyle name="Hyperlink" xfId="4792" builtinId="8" hidden="1"/>
    <cellStyle name="Hyperlink" xfId="4794" builtinId="8" hidden="1"/>
    <cellStyle name="Hyperlink" xfId="4796" builtinId="8" hidden="1"/>
    <cellStyle name="Hyperlink" xfId="4798" builtinId="8" hidden="1"/>
    <cellStyle name="Hyperlink" xfId="4800" builtinId="8" hidden="1"/>
    <cellStyle name="Hyperlink" xfId="4802" builtinId="8" hidden="1"/>
    <cellStyle name="Hyperlink" xfId="4804" builtinId="8" hidden="1"/>
    <cellStyle name="Hyperlink" xfId="4806" builtinId="8" hidden="1"/>
    <cellStyle name="Hyperlink" xfId="4808" builtinId="8" hidden="1"/>
    <cellStyle name="Hyperlink" xfId="4810" builtinId="8" hidden="1"/>
    <cellStyle name="Hyperlink" xfId="4812" builtinId="8" hidden="1"/>
    <cellStyle name="Hyperlink" xfId="4814" builtinId="8" hidden="1"/>
    <cellStyle name="Hyperlink" xfId="4816" builtinId="8" hidden="1"/>
    <cellStyle name="Hyperlink" xfId="4818" builtinId="8" hidden="1"/>
    <cellStyle name="Hyperlink" xfId="4820" builtinId="8" hidden="1"/>
    <cellStyle name="Hyperlink" xfId="4822" builtinId="8" hidden="1"/>
    <cellStyle name="Hyperlink" xfId="4824" builtinId="8" hidden="1"/>
    <cellStyle name="Hyperlink" xfId="4826" builtinId="8" hidden="1"/>
    <cellStyle name="Hyperlink" xfId="4828" builtinId="8" hidden="1"/>
    <cellStyle name="Hyperlink" xfId="4830" builtinId="8" hidden="1"/>
    <cellStyle name="Hyperlink" xfId="4832" builtinId="8" hidden="1"/>
    <cellStyle name="Hyperlink" xfId="4834" builtinId="8" hidden="1"/>
    <cellStyle name="Hyperlink" xfId="4836" builtinId="8" hidden="1"/>
    <cellStyle name="Hyperlink" xfId="4838" builtinId="8" hidden="1"/>
    <cellStyle name="Hyperlink" xfId="4840" builtinId="8" hidden="1"/>
    <cellStyle name="Hyperlink" xfId="4842" builtinId="8" hidden="1"/>
    <cellStyle name="Hyperlink" xfId="4844" builtinId="8" hidden="1"/>
    <cellStyle name="Hyperlink" xfId="4846" builtinId="8" hidden="1"/>
    <cellStyle name="Hyperlink" xfId="4848" builtinId="8" hidden="1"/>
    <cellStyle name="Hyperlink" xfId="4850" builtinId="8" hidden="1"/>
    <cellStyle name="Hyperlink" xfId="4852" builtinId="8" hidden="1"/>
    <cellStyle name="Hyperlink" xfId="4854" builtinId="8" hidden="1"/>
    <cellStyle name="Hyperlink" xfId="4856" builtinId="8" hidden="1"/>
    <cellStyle name="Hyperlink" xfId="4858" builtinId="8" hidden="1"/>
    <cellStyle name="Hyperlink" xfId="4860" builtinId="8" hidden="1"/>
    <cellStyle name="Hyperlink" xfId="4862" builtinId="8" hidden="1"/>
    <cellStyle name="Hyperlink" xfId="4864" builtinId="8" hidden="1"/>
    <cellStyle name="Hyperlink" xfId="4866" builtinId="8" hidden="1"/>
    <cellStyle name="Hyperlink" xfId="4868" builtinId="8" hidden="1"/>
    <cellStyle name="Hyperlink" xfId="4870" builtinId="8" hidden="1"/>
    <cellStyle name="Hyperlink" xfId="4872" builtinId="8" hidden="1"/>
    <cellStyle name="Hyperlink" xfId="4874" builtinId="8" hidden="1"/>
    <cellStyle name="Hyperlink" xfId="4876" builtinId="8" hidden="1"/>
    <cellStyle name="Hyperlink" xfId="4878" builtinId="8" hidden="1"/>
    <cellStyle name="Hyperlink" xfId="4880" builtinId="8" hidden="1"/>
    <cellStyle name="Hyperlink" xfId="4882" builtinId="8" hidden="1"/>
    <cellStyle name="Hyperlink" xfId="4884" builtinId="8" hidden="1"/>
    <cellStyle name="Hyperlink" xfId="4886" builtinId="8" hidden="1"/>
    <cellStyle name="Hyperlink" xfId="4888" builtinId="8" hidden="1"/>
    <cellStyle name="Hyperlink" xfId="4890" builtinId="8" hidden="1"/>
    <cellStyle name="Hyperlink" xfId="4892" builtinId="8" hidden="1"/>
    <cellStyle name="Hyperlink" xfId="4894" builtinId="8" hidden="1"/>
    <cellStyle name="Hyperlink" xfId="4896" builtinId="8" hidden="1"/>
    <cellStyle name="Hyperlink" xfId="4898" builtinId="8" hidden="1"/>
    <cellStyle name="Hyperlink" xfId="4900" builtinId="8" hidden="1"/>
    <cellStyle name="Hyperlink" xfId="4902" builtinId="8" hidden="1"/>
    <cellStyle name="Hyperlink" xfId="4904" builtinId="8" hidden="1"/>
    <cellStyle name="Hyperlink" xfId="4906" builtinId="8" hidden="1"/>
    <cellStyle name="Hyperlink" xfId="4908" builtinId="8" hidden="1"/>
    <cellStyle name="Hyperlink" xfId="4910" builtinId="8" hidden="1"/>
    <cellStyle name="Hyperlink" xfId="4912" builtinId="8" hidden="1"/>
    <cellStyle name="Hyperlink" xfId="4914" builtinId="8" hidden="1"/>
    <cellStyle name="Hyperlink" xfId="4916" builtinId="8" hidden="1"/>
    <cellStyle name="Hyperlink" xfId="4918" builtinId="8" hidden="1"/>
    <cellStyle name="Hyperlink" xfId="4920" builtinId="8" hidden="1"/>
    <cellStyle name="Hyperlink" xfId="4922" builtinId="8" hidden="1"/>
    <cellStyle name="Hyperlink" xfId="4924" builtinId="8" hidden="1"/>
    <cellStyle name="Hyperlink" xfId="4926" builtinId="8" hidden="1"/>
    <cellStyle name="Hyperlink" xfId="4928" builtinId="8" hidden="1"/>
    <cellStyle name="Hyperlink" xfId="4930" builtinId="8" hidden="1"/>
    <cellStyle name="Hyperlink" xfId="4932" builtinId="8" hidden="1"/>
    <cellStyle name="Hyperlink" xfId="4934" builtinId="8" hidden="1"/>
    <cellStyle name="Hyperlink" xfId="4936" builtinId="8" hidden="1"/>
    <cellStyle name="Hyperlink" xfId="4938" builtinId="8" hidden="1"/>
    <cellStyle name="Hyperlink" xfId="4940" builtinId="8" hidden="1"/>
    <cellStyle name="Hyperlink" xfId="4942" builtinId="8" hidden="1"/>
    <cellStyle name="Hyperlink" xfId="4944" builtinId="8" hidden="1"/>
    <cellStyle name="Hyperlink" xfId="4946" builtinId="8" hidden="1"/>
    <cellStyle name="Hyperlink" xfId="4948" builtinId="8" hidden="1"/>
    <cellStyle name="Hyperlink" xfId="4950" builtinId="8" hidden="1"/>
    <cellStyle name="Hyperlink" xfId="4952" builtinId="8" hidden="1"/>
    <cellStyle name="Hyperlink" xfId="4954" builtinId="8" hidden="1"/>
    <cellStyle name="Hyperlink" xfId="4956" builtinId="8" hidden="1"/>
    <cellStyle name="Hyperlink" xfId="4958" builtinId="8" hidden="1"/>
    <cellStyle name="Hyperlink" xfId="4960" builtinId="8" hidden="1"/>
    <cellStyle name="Hyperlink" xfId="4962" builtinId="8" hidden="1"/>
    <cellStyle name="Hyperlink" xfId="4964" builtinId="8" hidden="1"/>
    <cellStyle name="Hyperlink" xfId="4966" builtinId="8" hidden="1"/>
    <cellStyle name="Hyperlink" xfId="4968" builtinId="8" hidden="1"/>
    <cellStyle name="Hyperlink" xfId="4970" builtinId="8" hidden="1"/>
    <cellStyle name="Hyperlink" xfId="4972" builtinId="8" hidden="1"/>
    <cellStyle name="Hyperlink" xfId="4974" builtinId="8" hidden="1"/>
    <cellStyle name="Hyperlink" xfId="4976" builtinId="8" hidden="1"/>
    <cellStyle name="Hyperlink" xfId="4978" builtinId="8" hidden="1"/>
    <cellStyle name="Hyperlink" xfId="4980" builtinId="8" hidden="1"/>
    <cellStyle name="Hyperlink" xfId="4982" builtinId="8" hidden="1"/>
    <cellStyle name="Hyperlink" xfId="4984" builtinId="8" hidden="1"/>
    <cellStyle name="Hyperlink" xfId="4986" builtinId="8" hidden="1"/>
    <cellStyle name="Hyperlink" xfId="4988" builtinId="8" hidden="1"/>
    <cellStyle name="Hyperlink" xfId="4990" builtinId="8" hidden="1"/>
    <cellStyle name="Hyperlink" xfId="4992" builtinId="8" hidden="1"/>
    <cellStyle name="Hyperlink" xfId="4994" builtinId="8" hidden="1"/>
    <cellStyle name="Hyperlink" xfId="4996" builtinId="8" hidden="1"/>
    <cellStyle name="Hyperlink" xfId="4998" builtinId="8" hidden="1"/>
    <cellStyle name="Hyperlink" xfId="5000" builtinId="8" hidden="1"/>
    <cellStyle name="Hyperlink" xfId="5002" builtinId="8" hidden="1"/>
    <cellStyle name="Hyperlink" xfId="5004" builtinId="8" hidden="1"/>
    <cellStyle name="Hyperlink" xfId="5006" builtinId="8" hidden="1"/>
    <cellStyle name="Hyperlink" xfId="5008" builtinId="8" hidden="1"/>
    <cellStyle name="Hyperlink" xfId="5010" builtinId="8" hidden="1"/>
    <cellStyle name="Hyperlink" xfId="5012" builtinId="8" hidden="1"/>
    <cellStyle name="Hyperlink" xfId="5014" builtinId="8" hidden="1"/>
    <cellStyle name="Hyperlink" xfId="5016" builtinId="8" hidden="1"/>
    <cellStyle name="Hyperlink" xfId="5018" builtinId="8" hidden="1"/>
    <cellStyle name="Hyperlink" xfId="5020" builtinId="8" hidden="1"/>
    <cellStyle name="Hyperlink" xfId="5022" builtinId="8" hidden="1"/>
    <cellStyle name="Hyperlink" xfId="5024" builtinId="8" hidden="1"/>
    <cellStyle name="Hyperlink" xfId="5026" builtinId="8" hidden="1"/>
    <cellStyle name="Hyperlink" xfId="5028" builtinId="8" hidden="1"/>
    <cellStyle name="Hyperlink" xfId="5030" builtinId="8" hidden="1"/>
    <cellStyle name="Hyperlink" xfId="5032" builtinId="8" hidden="1"/>
    <cellStyle name="Hyperlink" xfId="5034" builtinId="8" hidden="1"/>
    <cellStyle name="Hyperlink" xfId="5036" builtinId="8" hidden="1"/>
    <cellStyle name="Hyperlink" xfId="5038" builtinId="8" hidden="1"/>
    <cellStyle name="Hyperlink" xfId="5040" builtinId="8" hidden="1"/>
    <cellStyle name="Hyperlink" xfId="5042" builtinId="8" hidden="1"/>
    <cellStyle name="Hyperlink" xfId="5044" builtinId="8" hidden="1"/>
    <cellStyle name="Hyperlink" xfId="5046" builtinId="8" hidden="1"/>
    <cellStyle name="Hyperlink" xfId="5048" builtinId="8" hidden="1"/>
    <cellStyle name="Hyperlink" xfId="5050" builtinId="8" hidden="1"/>
    <cellStyle name="Hyperlink" xfId="5052" builtinId="8" hidden="1"/>
    <cellStyle name="Hyperlink" xfId="5054" builtinId="8" hidden="1"/>
    <cellStyle name="Hyperlink" xfId="5056" builtinId="8" hidden="1"/>
    <cellStyle name="Hyperlink" xfId="5058" builtinId="8" hidden="1"/>
    <cellStyle name="Hyperlink" xfId="5060" builtinId="8" hidden="1"/>
    <cellStyle name="Hyperlink" xfId="5062" builtinId="8" hidden="1"/>
    <cellStyle name="Hyperlink" xfId="5064" builtinId="8" hidden="1"/>
    <cellStyle name="Hyperlink" xfId="5066" builtinId="8" hidden="1"/>
    <cellStyle name="Hyperlink" xfId="5068" builtinId="8" hidden="1"/>
    <cellStyle name="Hyperlink" xfId="5070" builtinId="8" hidden="1"/>
    <cellStyle name="Hyperlink" xfId="5072" builtinId="8" hidden="1"/>
    <cellStyle name="Hyperlink" xfId="5074" builtinId="8" hidden="1"/>
    <cellStyle name="Hyperlink" xfId="5076" builtinId="8" hidden="1"/>
    <cellStyle name="Hyperlink" xfId="5078" builtinId="8" hidden="1"/>
    <cellStyle name="Hyperlink" xfId="5080" builtinId="8" hidden="1"/>
    <cellStyle name="Hyperlink" xfId="5082" builtinId="8" hidden="1"/>
    <cellStyle name="Hyperlink" xfId="5084" builtinId="8" hidden="1"/>
    <cellStyle name="Hyperlink" xfId="5086" builtinId="8" hidden="1"/>
    <cellStyle name="Hyperlink" xfId="5088" builtinId="8" hidden="1"/>
    <cellStyle name="Hyperlink" xfId="5090" builtinId="8" hidden="1"/>
    <cellStyle name="Hyperlink" xfId="5092" builtinId="8" hidden="1"/>
    <cellStyle name="Hyperlink" xfId="5094" builtinId="8" hidden="1"/>
    <cellStyle name="Hyperlink" xfId="5096" builtinId="8" hidden="1"/>
    <cellStyle name="Hyperlink" xfId="5098" builtinId="8" hidden="1"/>
    <cellStyle name="Hyperlink" xfId="5100" builtinId="8" hidden="1"/>
    <cellStyle name="Hyperlink" xfId="5102" builtinId="8" hidden="1"/>
    <cellStyle name="Hyperlink" xfId="5104" builtinId="8" hidden="1"/>
    <cellStyle name="Hyperlink" xfId="5106" builtinId="8" hidden="1"/>
    <cellStyle name="Hyperlink" xfId="5108" builtinId="8" hidden="1"/>
    <cellStyle name="Hyperlink" xfId="5110" builtinId="8" hidden="1"/>
    <cellStyle name="Hyperlink" xfId="5112" builtinId="8" hidden="1"/>
    <cellStyle name="Hyperlink" xfId="5114" builtinId="8" hidden="1"/>
    <cellStyle name="Hyperlink" xfId="5116" builtinId="8" hidden="1"/>
    <cellStyle name="Hyperlink" xfId="5118" builtinId="8" hidden="1"/>
    <cellStyle name="Hyperlink" xfId="5120" builtinId="8" hidden="1"/>
    <cellStyle name="Hyperlink" xfId="5122" builtinId="8" hidden="1"/>
    <cellStyle name="Hyperlink" xfId="5124" builtinId="8" hidden="1"/>
    <cellStyle name="Hyperlink" xfId="5126" builtinId="8" hidden="1"/>
    <cellStyle name="Hyperlink" xfId="5128" builtinId="8" hidden="1"/>
    <cellStyle name="Hyperlink" xfId="5130" builtinId="8" hidden="1"/>
    <cellStyle name="Hyperlink" xfId="5132" builtinId="8" hidden="1"/>
    <cellStyle name="Hyperlink" xfId="5134" builtinId="8" hidden="1"/>
    <cellStyle name="Hyperlink" xfId="5136" builtinId="8" hidden="1"/>
    <cellStyle name="Hyperlink" xfId="5138" builtinId="8" hidden="1"/>
    <cellStyle name="Hyperlink" xfId="5140" builtinId="8" hidden="1"/>
    <cellStyle name="Hyperlink" xfId="5142" builtinId="8" hidden="1"/>
    <cellStyle name="Hyperlink" xfId="5144" builtinId="8" hidden="1"/>
    <cellStyle name="Hyperlink" xfId="5146" builtinId="8" hidden="1"/>
    <cellStyle name="Hyperlink" xfId="5148" builtinId="8" hidden="1"/>
    <cellStyle name="Hyperlink" xfId="5150" builtinId="8" hidden="1"/>
    <cellStyle name="Hyperlink" xfId="5152" builtinId="8" hidden="1"/>
    <cellStyle name="Hyperlink" xfId="5154" builtinId="8" hidden="1"/>
    <cellStyle name="Hyperlink" xfId="5156" builtinId="8" hidden="1"/>
    <cellStyle name="Hyperlink" xfId="5158" builtinId="8" hidden="1"/>
    <cellStyle name="Hyperlink" xfId="5160" builtinId="8" hidden="1"/>
    <cellStyle name="Hyperlink" xfId="5162" builtinId="8" hidden="1"/>
    <cellStyle name="Hyperlink" xfId="5164" builtinId="8" hidden="1"/>
    <cellStyle name="Hyperlink" xfId="5166" builtinId="8" hidden="1"/>
    <cellStyle name="Hyperlink" xfId="5168" builtinId="8" hidden="1"/>
    <cellStyle name="Hyperlink" xfId="5170" builtinId="8" hidden="1"/>
    <cellStyle name="Hyperlink" xfId="5172" builtinId="8" hidden="1"/>
    <cellStyle name="Hyperlink" xfId="5174" builtinId="8" hidden="1"/>
    <cellStyle name="Hyperlink" xfId="5176" builtinId="8" hidden="1"/>
    <cellStyle name="Hyperlink" xfId="5178" builtinId="8" hidden="1"/>
    <cellStyle name="Hyperlink" xfId="5180" builtinId="8" hidden="1"/>
    <cellStyle name="Hyperlink" xfId="5182" builtinId="8" hidden="1"/>
    <cellStyle name="Hyperlink" xfId="5184" builtinId="8" hidden="1"/>
    <cellStyle name="Hyperlink" xfId="5186" builtinId="8" hidden="1"/>
    <cellStyle name="Hyperlink" xfId="5188" builtinId="8" hidden="1"/>
    <cellStyle name="Hyperlink" xfId="5190" builtinId="8" hidden="1"/>
    <cellStyle name="Hyperlink" xfId="5192" builtinId="8" hidden="1"/>
    <cellStyle name="Hyperlink" xfId="5194" builtinId="8" hidden="1"/>
    <cellStyle name="Hyperlink" xfId="5196" builtinId="8" hidden="1"/>
    <cellStyle name="Hyperlink" xfId="5198" builtinId="8" hidden="1"/>
    <cellStyle name="Hyperlink" xfId="5200" builtinId="8" hidden="1"/>
    <cellStyle name="Hyperlink" xfId="5202" builtinId="8" hidden="1"/>
    <cellStyle name="Hyperlink" xfId="5204" builtinId="8" hidden="1"/>
    <cellStyle name="Hyperlink" xfId="5206" builtinId="8" hidden="1"/>
    <cellStyle name="Hyperlink" xfId="5208" builtinId="8" hidden="1"/>
    <cellStyle name="Hyperlink" xfId="5210" builtinId="8" hidden="1"/>
    <cellStyle name="Hyperlink" xfId="5212" builtinId="8" hidden="1"/>
    <cellStyle name="Hyperlink" xfId="5214" builtinId="8" hidden="1"/>
    <cellStyle name="Hyperlink" xfId="5216" builtinId="8" hidden="1"/>
    <cellStyle name="Hyperlink" xfId="5218" builtinId="8" hidden="1"/>
    <cellStyle name="Hyperlink" xfId="5220" builtinId="8" hidden="1"/>
    <cellStyle name="Hyperlink" xfId="5222" builtinId="8" hidden="1"/>
    <cellStyle name="Hyperlink" xfId="5224" builtinId="8" hidden="1"/>
    <cellStyle name="Hyperlink" xfId="5226" builtinId="8" hidden="1"/>
    <cellStyle name="Hyperlink" xfId="5228" builtinId="8" hidden="1"/>
    <cellStyle name="Hyperlink" xfId="5230" builtinId="8" hidden="1"/>
    <cellStyle name="Hyperlink" xfId="5232" builtinId="8" hidden="1"/>
    <cellStyle name="Hyperlink" xfId="5234" builtinId="8" hidden="1"/>
    <cellStyle name="Hyperlink" xfId="5236" builtinId="8" hidden="1"/>
    <cellStyle name="Hyperlink" xfId="5238" builtinId="8" hidden="1"/>
    <cellStyle name="Hyperlink" xfId="5240" builtinId="8" hidden="1"/>
    <cellStyle name="Hyperlink" xfId="5242" builtinId="8" hidden="1"/>
    <cellStyle name="Hyperlink" xfId="5244" builtinId="8" hidden="1"/>
    <cellStyle name="Hyperlink" xfId="5246" builtinId="8" hidden="1"/>
    <cellStyle name="Hyperlink" xfId="5248" builtinId="8" hidden="1"/>
    <cellStyle name="Hyperlink" xfId="5250" builtinId="8" hidden="1"/>
    <cellStyle name="Hyperlink" xfId="5252" builtinId="8" hidden="1"/>
    <cellStyle name="Hyperlink" xfId="5254" builtinId="8" hidden="1"/>
    <cellStyle name="Hyperlink" xfId="5256" builtinId="8" hidden="1"/>
    <cellStyle name="Hyperlink" xfId="5258" builtinId="8" hidden="1"/>
    <cellStyle name="Hyperlink" xfId="5260" builtinId="8" hidden="1"/>
    <cellStyle name="Hyperlink" xfId="5262" builtinId="8" hidden="1"/>
    <cellStyle name="Hyperlink" xfId="5264" builtinId="8" hidden="1"/>
    <cellStyle name="Hyperlink" xfId="5266" builtinId="8" hidden="1"/>
    <cellStyle name="Hyperlink" xfId="5268" builtinId="8" hidden="1"/>
    <cellStyle name="Hyperlink" xfId="5270" builtinId="8" hidden="1"/>
    <cellStyle name="Hyperlink" xfId="5272" builtinId="8" hidden="1"/>
    <cellStyle name="Hyperlink" xfId="5274" builtinId="8" hidden="1"/>
    <cellStyle name="Hyperlink" xfId="5276" builtinId="8" hidden="1"/>
    <cellStyle name="Hyperlink" xfId="5278" builtinId="8" hidden="1"/>
    <cellStyle name="Hyperlink" xfId="5280" builtinId="8" hidden="1"/>
    <cellStyle name="Hyperlink" xfId="5282" builtinId="8" hidden="1"/>
    <cellStyle name="Hyperlink" xfId="5284" builtinId="8" hidden="1"/>
    <cellStyle name="Hyperlink" xfId="5286" builtinId="8" hidden="1"/>
    <cellStyle name="Hyperlink" xfId="5288" builtinId="8" hidden="1"/>
    <cellStyle name="Hyperlink" xfId="5290" builtinId="8" hidden="1"/>
    <cellStyle name="Hyperlink" xfId="5292" builtinId="8" hidden="1"/>
    <cellStyle name="Hyperlink" xfId="5294" builtinId="8" hidden="1"/>
    <cellStyle name="Hyperlink" xfId="5296" builtinId="8" hidden="1"/>
    <cellStyle name="Hyperlink" xfId="5298" builtinId="8" hidden="1"/>
    <cellStyle name="Hyperlink" xfId="5300" builtinId="8" hidden="1"/>
    <cellStyle name="Hyperlink" xfId="5302" builtinId="8" hidden="1"/>
    <cellStyle name="Hyperlink" xfId="5304" builtinId="8" hidden="1"/>
    <cellStyle name="Hyperlink" xfId="5306" builtinId="8" hidden="1"/>
    <cellStyle name="Hyperlink" xfId="5308" builtinId="8" hidden="1"/>
    <cellStyle name="Hyperlink" xfId="5310" builtinId="8" hidden="1"/>
    <cellStyle name="Hyperlink" xfId="5312" builtinId="8" hidden="1"/>
    <cellStyle name="Hyperlink" xfId="5314" builtinId="8" hidden="1"/>
    <cellStyle name="Hyperlink" xfId="5316" builtinId="8" hidden="1"/>
    <cellStyle name="Hyperlink" xfId="5318" builtinId="8" hidden="1"/>
    <cellStyle name="Hyperlink" xfId="5320" builtinId="8" hidden="1"/>
    <cellStyle name="Hyperlink" xfId="5322" builtinId="8" hidden="1"/>
    <cellStyle name="Hyperlink" xfId="5324" builtinId="8" hidden="1"/>
    <cellStyle name="Hyperlink" xfId="5326" builtinId="8" hidden="1"/>
    <cellStyle name="Hyperlink" xfId="5328" builtinId="8" hidden="1"/>
    <cellStyle name="Hyperlink" xfId="5330" builtinId="8" hidden="1"/>
    <cellStyle name="Hyperlink" xfId="5332" builtinId="8" hidden="1"/>
    <cellStyle name="Hyperlink" xfId="5334" builtinId="8" hidden="1"/>
    <cellStyle name="Hyperlink" xfId="5336" builtinId="8" hidden="1"/>
    <cellStyle name="Hyperlink" xfId="5338" builtinId="8" hidden="1"/>
    <cellStyle name="Hyperlink" xfId="5340" builtinId="8" hidden="1"/>
    <cellStyle name="Hyperlink" xfId="5342" builtinId="8" hidden="1"/>
    <cellStyle name="Hyperlink" xfId="5344" builtinId="8" hidden="1"/>
    <cellStyle name="Hyperlink" xfId="5346" builtinId="8" hidden="1"/>
    <cellStyle name="Hyperlink" xfId="5348" builtinId="8" hidden="1"/>
    <cellStyle name="Hyperlink" xfId="5350" builtinId="8" hidden="1"/>
    <cellStyle name="Hyperlink" xfId="5352" builtinId="8" hidden="1"/>
    <cellStyle name="Hyperlink" xfId="5354" builtinId="8" hidden="1"/>
    <cellStyle name="Hyperlink" xfId="5356" builtinId="8" hidden="1"/>
    <cellStyle name="Hyperlink" xfId="5358" builtinId="8" hidden="1"/>
    <cellStyle name="Hyperlink" xfId="5360" builtinId="8" hidden="1"/>
    <cellStyle name="Hyperlink" xfId="5362" builtinId="8" hidden="1"/>
    <cellStyle name="Hyperlink" xfId="5364" builtinId="8" hidden="1"/>
    <cellStyle name="Hyperlink" xfId="5366" builtinId="8" hidden="1"/>
    <cellStyle name="Hyperlink" xfId="5368" builtinId="8" hidden="1"/>
    <cellStyle name="Hyperlink" xfId="5370" builtinId="8" hidden="1"/>
    <cellStyle name="Hyperlink" xfId="5372" builtinId="8" hidden="1"/>
    <cellStyle name="Hyperlink" xfId="5374" builtinId="8" hidden="1"/>
    <cellStyle name="Hyperlink" xfId="5376" builtinId="8" hidden="1"/>
    <cellStyle name="Hyperlink" xfId="5378" builtinId="8" hidden="1"/>
    <cellStyle name="Hyperlink" xfId="5380" builtinId="8" hidden="1"/>
    <cellStyle name="Hyperlink" xfId="5382" builtinId="8" hidden="1"/>
    <cellStyle name="Hyperlink" xfId="5384" builtinId="8" hidden="1"/>
    <cellStyle name="Hyperlink" xfId="5386" builtinId="8" hidden="1"/>
    <cellStyle name="Hyperlink" xfId="5388" builtinId="8" hidden="1"/>
    <cellStyle name="Hyperlink" xfId="5390" builtinId="8" hidden="1"/>
    <cellStyle name="Hyperlink" xfId="5392" builtinId="8" hidden="1"/>
    <cellStyle name="Hyperlink" xfId="5394" builtinId="8" hidden="1"/>
    <cellStyle name="Hyperlink" xfId="5396" builtinId="8" hidden="1"/>
    <cellStyle name="Hyperlink" xfId="5398" builtinId="8" hidden="1"/>
    <cellStyle name="Hyperlink" xfId="5400" builtinId="8" hidden="1"/>
    <cellStyle name="Hyperlink" xfId="5402" builtinId="8" hidden="1"/>
    <cellStyle name="Hyperlink" xfId="5404" builtinId="8" hidden="1"/>
    <cellStyle name="Hyperlink" xfId="5406" builtinId="8" hidden="1"/>
    <cellStyle name="Hyperlink" xfId="5408" builtinId="8" hidden="1"/>
    <cellStyle name="Hyperlink" xfId="5410" builtinId="8" hidden="1"/>
    <cellStyle name="Hyperlink" xfId="5412" builtinId="8" hidden="1"/>
    <cellStyle name="Hyperlink" xfId="5414" builtinId="8" hidden="1"/>
    <cellStyle name="Hyperlink" xfId="5416" builtinId="8" hidden="1"/>
    <cellStyle name="Hyperlink" xfId="5418" builtinId="8" hidden="1"/>
    <cellStyle name="Hyperlink" xfId="5420" builtinId="8" hidden="1"/>
    <cellStyle name="Hyperlink" xfId="5422" builtinId="8" hidden="1"/>
    <cellStyle name="Hyperlink" xfId="5424" builtinId="8" hidden="1"/>
    <cellStyle name="Hyperlink" xfId="5495" builtinId="8" hidden="1"/>
    <cellStyle name="Hyperlink" xfId="5497" builtinId="8" hidden="1"/>
    <cellStyle name="Hyperlink" xfId="5499" builtinId="8" hidden="1"/>
    <cellStyle name="Hyperlink" xfId="5501" builtinId="8" hidden="1"/>
    <cellStyle name="Hyperlink" xfId="5503" builtinId="8" hidden="1"/>
    <cellStyle name="Hyperlink" xfId="5505" builtinId="8" hidden="1"/>
    <cellStyle name="Hyperlink" xfId="5507" builtinId="8" hidden="1"/>
    <cellStyle name="Hyperlink" xfId="5509" builtinId="8" hidden="1"/>
    <cellStyle name="Hyperlink" xfId="5511" builtinId="8" hidden="1"/>
    <cellStyle name="Hyperlink" xfId="5513" builtinId="8" hidden="1"/>
    <cellStyle name="Hyperlink" xfId="5515" builtinId="8" hidden="1"/>
    <cellStyle name="Hyperlink" xfId="5517" builtinId="8" hidden="1"/>
    <cellStyle name="Hyperlink" xfId="5519" builtinId="8" hidden="1"/>
    <cellStyle name="Hyperlink" xfId="5521" builtinId="8" hidden="1"/>
    <cellStyle name="Hyperlink" xfId="5523" builtinId="8" hidden="1"/>
    <cellStyle name="Hyperlink" xfId="5525" builtinId="8" hidden="1"/>
    <cellStyle name="Hyperlink" xfId="5527" builtinId="8" hidden="1"/>
    <cellStyle name="Hyperlink" xfId="5529" builtinId="8" hidden="1"/>
    <cellStyle name="Hyperlink" xfId="5531" builtinId="8" hidden="1"/>
    <cellStyle name="Hyperlink" xfId="5533" builtinId="8" hidden="1"/>
    <cellStyle name="Hyperlink" xfId="5535" builtinId="8" hidden="1"/>
    <cellStyle name="Hyperlink" xfId="5537" builtinId="8" hidden="1"/>
    <cellStyle name="Hyperlink" xfId="5539" builtinId="8" hidden="1"/>
    <cellStyle name="Hyperlink" xfId="5541" builtinId="8" hidden="1"/>
    <cellStyle name="Hyperlink" xfId="5543" builtinId="8" hidden="1"/>
    <cellStyle name="Hyperlink" xfId="5545" builtinId="8" hidden="1"/>
    <cellStyle name="Hyperlink" xfId="5547" builtinId="8" hidden="1"/>
    <cellStyle name="Hyperlink" xfId="5549" builtinId="8" hidden="1"/>
    <cellStyle name="Hyperlink" xfId="5551" builtinId="8" hidden="1"/>
    <cellStyle name="Hyperlink" xfId="5553" builtinId="8" hidden="1"/>
    <cellStyle name="Hyperlink" xfId="5555" builtinId="8" hidden="1"/>
    <cellStyle name="Hyperlink" xfId="5557" builtinId="8" hidden="1"/>
    <cellStyle name="Hyperlink" xfId="5559" builtinId="8" hidden="1"/>
    <cellStyle name="Hyperlink" xfId="5561" builtinId="8" hidden="1"/>
    <cellStyle name="Hyperlink" xfId="5563" builtinId="8" hidden="1"/>
    <cellStyle name="Hyperlink" xfId="5565" builtinId="8" hidden="1"/>
    <cellStyle name="Hyperlink" xfId="5567" builtinId="8" hidden="1"/>
    <cellStyle name="Hyperlink" xfId="5569" builtinId="8" hidden="1"/>
    <cellStyle name="Hyperlink" xfId="5571" builtinId="8" hidden="1"/>
    <cellStyle name="Hyperlink" xfId="5573" builtinId="8" hidden="1"/>
    <cellStyle name="Hyperlink" xfId="5575" builtinId="8" hidden="1"/>
    <cellStyle name="Hyperlink" xfId="5577" builtinId="8" hidden="1"/>
    <cellStyle name="Hyperlink" xfId="5579" builtinId="8" hidden="1"/>
    <cellStyle name="Hyperlink" xfId="5581" builtinId="8" hidden="1"/>
    <cellStyle name="Hyperlink" xfId="5583" builtinId="8" hidden="1"/>
    <cellStyle name="Hyperlink" xfId="5585" builtinId="8" hidden="1"/>
    <cellStyle name="Hyperlink" xfId="5587" builtinId="8" hidden="1"/>
    <cellStyle name="Hyperlink" xfId="5589" builtinId="8" hidden="1"/>
    <cellStyle name="Hyperlink" xfId="5591" builtinId="8" hidden="1"/>
    <cellStyle name="Hyperlink" xfId="5593" builtinId="8" hidden="1"/>
    <cellStyle name="Hyperlink" xfId="5595" builtinId="8" hidden="1"/>
    <cellStyle name="Hyperlink" xfId="5597" builtinId="8" hidden="1"/>
    <cellStyle name="Hyperlink" xfId="5599" builtinId="8" hidden="1"/>
    <cellStyle name="Hyperlink" xfId="5601" builtinId="8" hidden="1"/>
    <cellStyle name="Hyperlink" xfId="5603" builtinId="8" hidden="1"/>
    <cellStyle name="Hyperlink" xfId="5605" builtinId="8" hidden="1"/>
    <cellStyle name="Hyperlink" xfId="5607" builtinId="8" hidden="1"/>
    <cellStyle name="Hyperlink" xfId="5609" builtinId="8" hidden="1"/>
    <cellStyle name="Hyperlink" xfId="5611" builtinId="8" hidden="1"/>
    <cellStyle name="Hyperlink" xfId="5613" builtinId="8" hidden="1"/>
    <cellStyle name="Hyperlink" xfId="5615" builtinId="8" hidden="1"/>
    <cellStyle name="Hyperlink" xfId="5617" builtinId="8" hidden="1"/>
    <cellStyle name="Hyperlink" xfId="5619" builtinId="8" hidden="1"/>
    <cellStyle name="Hyperlink" xfId="5621" builtinId="8" hidden="1"/>
    <cellStyle name="Hyperlink" xfId="5623" builtinId="8" hidden="1"/>
    <cellStyle name="Hyperlink" xfId="5625" builtinId="8" hidden="1"/>
    <cellStyle name="Hyperlink" xfId="5627" builtinId="8" hidden="1"/>
    <cellStyle name="Hyperlink" xfId="5629" builtinId="8" hidden="1"/>
    <cellStyle name="Hyperlink" xfId="5631" builtinId="8" hidden="1"/>
    <cellStyle name="Hyperlink" xfId="5633" builtinId="8" hidden="1"/>
    <cellStyle name="Hyperlink" xfId="5635" builtinId="8" hidden="1"/>
    <cellStyle name="Hyperlink" xfId="5637" builtinId="8" hidden="1"/>
    <cellStyle name="Hyperlink" xfId="5639" builtinId="8" hidden="1"/>
    <cellStyle name="Hyperlink" xfId="5641" builtinId="8" hidden="1"/>
    <cellStyle name="Hyperlink" xfId="5643" builtinId="8" hidden="1"/>
    <cellStyle name="Hyperlink" xfId="5645" builtinId="8" hidden="1"/>
    <cellStyle name="Hyperlink" xfId="5647" builtinId="8" hidden="1"/>
    <cellStyle name="Hyperlink" xfId="5649" builtinId="8" hidden="1"/>
    <cellStyle name="Hyperlink" xfId="5651" builtinId="8" hidden="1"/>
    <cellStyle name="Hyperlink" xfId="5653" builtinId="8" hidden="1"/>
    <cellStyle name="Hyperlink" xfId="5655" builtinId="8" hidden="1"/>
    <cellStyle name="Hyperlink" xfId="5657" builtinId="8" hidden="1"/>
    <cellStyle name="Hyperlink" xfId="5659" builtinId="8" hidden="1"/>
    <cellStyle name="Hyperlink" xfId="5661" builtinId="8" hidden="1"/>
    <cellStyle name="Hyperlink" xfId="5663" builtinId="8" hidden="1"/>
    <cellStyle name="Hyperlink" xfId="5665" builtinId="8" hidden="1"/>
    <cellStyle name="Hyperlink" xfId="5667" builtinId="8" hidden="1"/>
    <cellStyle name="Hyperlink" xfId="5669" builtinId="8" hidden="1"/>
    <cellStyle name="Hyperlink" xfId="5671" builtinId="8" hidden="1"/>
    <cellStyle name="Hyperlink" xfId="5673" builtinId="8" hidden="1"/>
    <cellStyle name="Hyperlink" xfId="5675" builtinId="8" hidden="1"/>
    <cellStyle name="Hyperlink" xfId="5677" builtinId="8" hidden="1"/>
    <cellStyle name="Hyperlink" xfId="5679" builtinId="8" hidden="1"/>
    <cellStyle name="Hyperlink" xfId="5681" builtinId="8" hidden="1"/>
    <cellStyle name="Hyperlink" xfId="5683" builtinId="8" hidden="1"/>
    <cellStyle name="Hyperlink" xfId="5685" builtinId="8" hidden="1"/>
    <cellStyle name="Hyperlink" xfId="5687" builtinId="8" hidden="1"/>
    <cellStyle name="Hyperlink" xfId="5689" builtinId="8" hidden="1"/>
    <cellStyle name="Hyperlink" xfId="5691" builtinId="8" hidden="1"/>
    <cellStyle name="Hyperlink" xfId="5693" builtinId="8" hidden="1"/>
    <cellStyle name="Hyperlink" xfId="5695" builtinId="8" hidden="1"/>
    <cellStyle name="Hyperlink" xfId="5697" builtinId="8" hidden="1"/>
    <cellStyle name="Hyperlink" xfId="5699" builtinId="8" hidden="1"/>
    <cellStyle name="Hyperlink" xfId="5701" builtinId="8" hidden="1"/>
    <cellStyle name="Hyperlink" xfId="5703" builtinId="8" hidden="1"/>
    <cellStyle name="Hyperlink" xfId="5705" builtinId="8" hidden="1"/>
    <cellStyle name="Hyperlink" xfId="5707" builtinId="8" hidden="1"/>
    <cellStyle name="Hyperlink" xfId="5709" builtinId="8" hidden="1"/>
    <cellStyle name="Hyperlink" xfId="5711" builtinId="8" hidden="1"/>
    <cellStyle name="Hyperlink" xfId="5713" builtinId="8" hidden="1"/>
    <cellStyle name="Hyperlink" xfId="5715" builtinId="8" hidden="1"/>
    <cellStyle name="Hyperlink" xfId="5717" builtinId="8" hidden="1"/>
    <cellStyle name="Hyperlink" xfId="5719" builtinId="8" hidden="1"/>
    <cellStyle name="Hyperlink" xfId="5721" builtinId="8" hidden="1"/>
    <cellStyle name="Hyperlink" xfId="5723" builtinId="8" hidden="1"/>
    <cellStyle name="Hyperlink" xfId="5733" builtinId="8" hidden="1"/>
    <cellStyle name="Hyperlink" xfId="5735" builtinId="8" hidden="1"/>
    <cellStyle name="Normal" xfId="0" builtinId="0"/>
    <cellStyle name="Normal 10" xfId="1396"/>
    <cellStyle name="Normal 11" xfId="1397"/>
    <cellStyle name="Normal 11 2" xfId="1628"/>
    <cellStyle name="Normal 11 3" xfId="1629"/>
    <cellStyle name="Normal 11 4" xfId="5475"/>
    <cellStyle name="Normal 12" xfId="1630"/>
    <cellStyle name="Normal 13" xfId="3899"/>
    <cellStyle name="Normal 13 2" xfId="5476"/>
    <cellStyle name="Normal 14" xfId="5477"/>
    <cellStyle name="Normal 2" xfId="13"/>
    <cellStyle name="Normal 3" xfId="1398"/>
    <cellStyle name="Normal 3 2" xfId="5731"/>
    <cellStyle name="Normal 4" xfId="1399"/>
    <cellStyle name="Normal 4 2" xfId="1631"/>
    <cellStyle name="Normal 4 2 2" xfId="1632"/>
    <cellStyle name="Normal 4 2 2 2" xfId="1633"/>
    <cellStyle name="Normal 4 2 2 2 2" xfId="1634"/>
    <cellStyle name="Normal 5" xfId="1400"/>
    <cellStyle name="Normal 6" xfId="1401"/>
    <cellStyle name="Normal 6 2" xfId="5478"/>
    <cellStyle name="Normal 7" xfId="1402"/>
    <cellStyle name="Normal 7 2" xfId="1403"/>
    <cellStyle name="Normal 7 2 2" xfId="1635"/>
    <cellStyle name="Normal 7 2 3" xfId="1636"/>
    <cellStyle name="Normal 7 3" xfId="1404"/>
    <cellStyle name="Normal 7 3 2" xfId="1637"/>
    <cellStyle name="Normal 7 3 2 2" xfId="1638"/>
    <cellStyle name="Normal 7 3 3" xfId="3931"/>
    <cellStyle name="Normal 7 3 3 2" xfId="5479"/>
    <cellStyle name="Normal 7 4" xfId="1639"/>
    <cellStyle name="Normal 7 4 2" xfId="1640"/>
    <cellStyle name="Normal 7 4 2 2" xfId="1641"/>
    <cellStyle name="Normal 7 4 2 3" xfId="1642"/>
    <cellStyle name="Normal 7 4 2 3 2" xfId="1643"/>
    <cellStyle name="Normal 7 5" xfId="1644"/>
    <cellStyle name="Normal 8" xfId="1405"/>
    <cellStyle name="Normal 8 2" xfId="1406"/>
    <cellStyle name="Normal 8 2 2" xfId="1407"/>
    <cellStyle name="Normal 8 2 2 2" xfId="1645"/>
    <cellStyle name="Normal 8 2 2 2 2" xfId="1646"/>
    <cellStyle name="Normal 8 2 2 2 2 2" xfId="1647"/>
    <cellStyle name="Normal 8 2 2 2 3" xfId="5429"/>
    <cellStyle name="Normal 8 2 2 3" xfId="3902"/>
    <cellStyle name="Normal 8 2 2 3 2" xfId="5480"/>
    <cellStyle name="Normal 8 2 3" xfId="1524"/>
    <cellStyle name="Normal 8 2 3 2" xfId="1648"/>
    <cellStyle name="Normal 8 2 3 3" xfId="3932"/>
    <cellStyle name="Normal 8 2 3 3 2" xfId="5481"/>
    <cellStyle name="Normal 8 2 4" xfId="1649"/>
    <cellStyle name="Normal 8 2 4 2" xfId="1650"/>
    <cellStyle name="Normal 8 2 5" xfId="1651"/>
    <cellStyle name="Normal 8 2 5 2" xfId="3933"/>
    <cellStyle name="Normal 8 2 5 2 2" xfId="5482"/>
    <cellStyle name="Normal 8 2 5 3" xfId="3934"/>
    <cellStyle name="Normal 8 2 5 3 2" xfId="5483"/>
    <cellStyle name="Normal 8 2 6" xfId="3900"/>
    <cellStyle name="Normal 8 2 6 2" xfId="4251"/>
    <cellStyle name="Normal 8 2 6 2 2" xfId="4453"/>
    <cellStyle name="Normal 8 2 6 3" xfId="5484"/>
    <cellStyle name="Normal 8 2 7" xfId="5426"/>
    <cellStyle name="Normal 8 2 8" xfId="5732"/>
    <cellStyle name="Normal 9" xfId="1408"/>
    <cellStyle name="Normal 9 2" xfId="1409"/>
    <cellStyle name="Normal 9 3" xfId="1652"/>
    <cellStyle name="Percent" xfId="2" builtinId="5"/>
    <cellStyle name="Percent 10" xfId="1410"/>
    <cellStyle name="Percent 10 2" xfId="1411"/>
    <cellStyle name="Percent 10 3" xfId="5485"/>
    <cellStyle name="Percent 11" xfId="1412"/>
    <cellStyle name="Percent 11 2" xfId="1413"/>
    <cellStyle name="Percent 11 3" xfId="1414"/>
    <cellStyle name="Percent 11 4" xfId="1653"/>
    <cellStyle name="Percent 11 4 2" xfId="1654"/>
    <cellStyle name="Percent 11 4 2 2" xfId="1655"/>
    <cellStyle name="Percent 11 4 2 3" xfId="1656"/>
    <cellStyle name="Percent 11 5" xfId="1657"/>
    <cellStyle name="Percent 12" xfId="1415"/>
    <cellStyle name="Percent 13" xfId="1416"/>
    <cellStyle name="Percent 14" xfId="3898"/>
    <cellStyle name="Percent 14 2" xfId="4249"/>
    <cellStyle name="Percent 14 2 2" xfId="4451"/>
    <cellStyle name="Percent 14 2 2 2" xfId="5486"/>
    <cellStyle name="Percent 15" xfId="3901"/>
    <cellStyle name="Percent 16" xfId="4246"/>
    <cellStyle name="Percent 16 2" xfId="5487"/>
    <cellStyle name="Percent 16 3" xfId="5729"/>
    <cellStyle name="Percent 17" xfId="5488"/>
    <cellStyle name="Percent 18" xfId="5489"/>
    <cellStyle name="Percent 19" xfId="5726"/>
    <cellStyle name="Percent 2" xfId="14"/>
    <cellStyle name="Percent 3" xfId="1417"/>
    <cellStyle name="Percent 3 2" xfId="1418"/>
    <cellStyle name="Percent 3 3" xfId="1419"/>
    <cellStyle name="Percent 3 4" xfId="1658"/>
    <cellStyle name="Percent 3 5" xfId="1659"/>
    <cellStyle name="Percent 4" xfId="1420"/>
    <cellStyle name="Percent 5" xfId="1421"/>
    <cellStyle name="Percent 5 2" xfId="1422"/>
    <cellStyle name="Percent 5 2 2" xfId="1423"/>
    <cellStyle name="Percent 5 2 3" xfId="1424"/>
    <cellStyle name="Percent 5 2 3 2" xfId="1660"/>
    <cellStyle name="Percent 5 2 3 3" xfId="1661"/>
    <cellStyle name="Percent 5 2 3 4" xfId="1662"/>
    <cellStyle name="Percent 5 2 3 5" xfId="1663"/>
    <cellStyle name="Percent 5 2 3 6" xfId="3903"/>
    <cellStyle name="Percent 5 2 3 6 2" xfId="4250"/>
    <cellStyle name="Percent 5 2 3 6 2 2" xfId="4452"/>
    <cellStyle name="Percent 5 2 3 7" xfId="5428"/>
    <cellStyle name="Percent 5 2 4" xfId="1425"/>
    <cellStyle name="Percent 5 2 5" xfId="1664"/>
    <cellStyle name="Percent 5 2 6" xfId="1665"/>
    <cellStyle name="Percent 5 3" xfId="1426"/>
    <cellStyle name="Percent 5 3 2" xfId="1427"/>
    <cellStyle name="Percent 5 3 2 2" xfId="1666"/>
    <cellStyle name="Percent 5 3 2 3" xfId="1667"/>
    <cellStyle name="Percent 5 3 3" xfId="1428"/>
    <cellStyle name="Percent 5 3 3 2" xfId="1668"/>
    <cellStyle name="Percent 5 3 3 3" xfId="1669"/>
    <cellStyle name="Percent 5 3 3 4" xfId="3935"/>
    <cellStyle name="Percent 5 3 3 4 2" xfId="5490"/>
    <cellStyle name="Percent 5 3 4" xfId="1670"/>
    <cellStyle name="Percent 5 3 4 2" xfId="1671"/>
    <cellStyle name="Percent 5 3 4 2 2" xfId="1672"/>
    <cellStyle name="Percent 5 3 4 2 3" xfId="1673"/>
    <cellStyle name="Percent 5 3 5" xfId="1674"/>
    <cellStyle name="Percent 6" xfId="1429"/>
    <cellStyle name="Percent 6 2" xfId="1430"/>
    <cellStyle name="Percent 6 2 2" xfId="1675"/>
    <cellStyle name="Percent 6 2 3" xfId="1676"/>
    <cellStyle name="Percent 6 2 4" xfId="3936"/>
    <cellStyle name="Percent 6 2 4 2" xfId="5491"/>
    <cellStyle name="Percent 6 3" xfId="1431"/>
    <cellStyle name="Percent 6 4" xfId="1677"/>
    <cellStyle name="Percent 6 5" xfId="1678"/>
    <cellStyle name="Percent 7" xfId="1076"/>
    <cellStyle name="Percent 7 2" xfId="1432"/>
    <cellStyle name="Percent 8" xfId="1433"/>
    <cellStyle name="Percent 8 2" xfId="1434"/>
    <cellStyle name="Percent 8 2 2" xfId="1435"/>
    <cellStyle name="Percent 8 2 2 2" xfId="1679"/>
    <cellStyle name="Percent 8 2 2 3" xfId="1680"/>
    <cellStyle name="Percent 8 2 2 4" xfId="5492"/>
    <cellStyle name="Percent 8 2 3" xfId="1436"/>
    <cellStyle name="Percent 8 2 3 2" xfId="1681"/>
    <cellStyle name="Percent 8 2 3 3" xfId="1682"/>
    <cellStyle name="Percent 8 2 3 4" xfId="3937"/>
    <cellStyle name="Percent 8 2 3 4 2" xfId="5493"/>
    <cellStyle name="Percent 8 2 4" xfId="1683"/>
    <cellStyle name="Percent 8 2 5" xfId="1684"/>
    <cellStyle name="Percent 8 2 6" xfId="1685"/>
    <cellStyle name="Percent 9" xfId="1437"/>
    <cellStyle name="Percent 9 2" xfId="1438"/>
    <cellStyle name="Percent 9 3" xfId="1439"/>
    <cellStyle name="Percent 9 3 2" xfId="1686"/>
    <cellStyle name="Percent 9 3 2 2" xfId="1687"/>
    <cellStyle name="Percent 9 3 3" xfId="3938"/>
    <cellStyle name="Percent 9 3 3 2" xfId="5494"/>
    <cellStyle name="Percent 9 4" xfId="1688"/>
    <cellStyle name="Percent 9 4 2" xfId="1689"/>
    <cellStyle name="Percent 9 4 2 2" xfId="1690"/>
    <cellStyle name="Percent 9 4 2 2 2" xfId="1691"/>
    <cellStyle name="Percent 9 5" xfId="1692"/>
  </cellStyles>
  <dxfs count="10">
    <dxf>
      <font>
        <color rgb="FF9C0006"/>
      </font>
      <fill>
        <patternFill>
          <bgColor rgb="FFFFC7CE"/>
        </patternFill>
      </fill>
    </dxf>
    <dxf>
      <font>
        <color rgb="FF3366FF"/>
      </font>
      <fill>
        <patternFill patternType="solid">
          <fgColor indexed="64"/>
          <bgColor theme="0" tint="-4.9989318521683403E-2"/>
        </patternFill>
      </fill>
    </dxf>
    <dxf>
      <font>
        <color rgb="FF3366FF"/>
      </font>
      <fill>
        <patternFill patternType="solid">
          <fgColor indexed="64"/>
          <bgColor theme="0" tint="-4.9989318521683403E-2"/>
        </patternFill>
      </fill>
    </dxf>
    <dxf>
      <font>
        <color rgb="FF3366FF"/>
      </font>
      <fill>
        <patternFill patternType="solid">
          <fgColor indexed="64"/>
          <bgColor theme="0" tint="-4.9989318521683403E-2"/>
        </patternFill>
      </fill>
    </dxf>
    <dxf>
      <font>
        <color rgb="FF0000FF"/>
      </font>
      <fill>
        <patternFill patternType="solid">
          <fgColor indexed="64"/>
          <bgColor theme="0" tint="-4.9989318521683403E-2"/>
        </patternFill>
      </fill>
    </dxf>
    <dxf>
      <font>
        <color rgb="FF0000FF"/>
      </font>
      <fill>
        <patternFill patternType="solid">
          <fgColor indexed="64"/>
          <bgColor theme="0" tint="-4.9989318521683403E-2"/>
        </patternFill>
      </fill>
    </dxf>
    <dxf>
      <font>
        <color rgb="FF3366FF"/>
      </font>
      <fill>
        <patternFill patternType="solid">
          <fgColor indexed="64"/>
          <bgColor theme="0" tint="-4.9989318521683403E-2"/>
        </patternFill>
      </fill>
    </dxf>
    <dxf>
      <font>
        <color auto="1"/>
      </font>
      <fill>
        <patternFill patternType="none">
          <fgColor indexed="64"/>
          <bgColor auto="1"/>
        </patternFill>
      </fill>
      <border>
        <bottom style="hair">
          <color auto="1"/>
        </bottom>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left/>
        <right/>
        <top/>
        <bottom style="thin">
          <color auto="1"/>
        </bottom>
      </border>
    </dxf>
  </dxfs>
  <tableStyles count="0" defaultTableStyle="TableStyleMedium9" defaultPivotStyle="PivotStyleMedium4"/>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20" Type="http://schemas.openxmlformats.org/officeDocument/2006/relationships/theme" Target="theme/theme1.xml"/><Relationship Id="rId21" Type="http://schemas.openxmlformats.org/officeDocument/2006/relationships/styles" Target="styles.xml"/><Relationship Id="rId22" Type="http://schemas.openxmlformats.org/officeDocument/2006/relationships/sharedStrings" Target="sharedStrings.xml"/><Relationship Id="rId23" Type="http://schemas.openxmlformats.org/officeDocument/2006/relationships/calcChain" Target="calcChain.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 of Proceeds to each</a:t>
            </a:r>
            <a:r>
              <a:rPr lang="en-US" baseline="0"/>
              <a:t> class of shareholders</a:t>
            </a:r>
            <a:endParaRPr lang="en-US"/>
          </a:p>
        </c:rich>
      </c:tx>
      <c:overlay val="0"/>
    </c:title>
    <c:autoTitleDeleted val="0"/>
    <c:plotArea>
      <c:layout/>
      <c:areaChart>
        <c:grouping val="percentStacked"/>
        <c:varyColors val="0"/>
        <c:ser>
          <c:idx val="0"/>
          <c:order val="0"/>
          <c:tx>
            <c:strRef>
              <c:f>'Exit Waterfall'!$B$174:$C$174</c:f>
              <c:strCache>
                <c:ptCount val="1"/>
                <c:pt idx="0">
                  <c:v> E  %</c:v>
                </c:pt>
              </c:strCache>
            </c:strRef>
          </c:tx>
          <c:cat>
            <c:numRef>
              <c:f>'Exit Waterfall'!$D$41:$L$41</c:f>
              <c:numCache>
                <c:formatCode>_(* #,##0_);_(* \(#,##0\);_(* "-"??_);_(@_)</c:formatCode>
                <c:ptCount val="9"/>
                <c:pt idx="0">
                  <c:v>0.0</c:v>
                </c:pt>
                <c:pt idx="1">
                  <c:v>0.0</c:v>
                </c:pt>
                <c:pt idx="2">
                  <c:v>0.0</c:v>
                </c:pt>
                <c:pt idx="3">
                  <c:v>0.0</c:v>
                </c:pt>
                <c:pt idx="4">
                  <c:v>0.0</c:v>
                </c:pt>
                <c:pt idx="5">
                  <c:v>0.0</c:v>
                </c:pt>
                <c:pt idx="6">
                  <c:v>0.0</c:v>
                </c:pt>
                <c:pt idx="7">
                  <c:v>0.0</c:v>
                </c:pt>
                <c:pt idx="8">
                  <c:v>0.0</c:v>
                </c:pt>
              </c:numCache>
            </c:numRef>
          </c:cat>
          <c:val>
            <c:numRef>
              <c:f>'Exit Waterfall'!$D$174:$L$174</c:f>
              <c:numCache>
                <c:formatCode>0%</c:formatCode>
                <c:ptCount val="9"/>
                <c:pt idx="0">
                  <c:v>0.0</c:v>
                </c:pt>
                <c:pt idx="1">
                  <c:v>0.0</c:v>
                </c:pt>
                <c:pt idx="2">
                  <c:v>0.0</c:v>
                </c:pt>
                <c:pt idx="3">
                  <c:v>0.0</c:v>
                </c:pt>
                <c:pt idx="4">
                  <c:v>0.0</c:v>
                </c:pt>
                <c:pt idx="5">
                  <c:v>0.0</c:v>
                </c:pt>
                <c:pt idx="6">
                  <c:v>0.0</c:v>
                </c:pt>
                <c:pt idx="7">
                  <c:v>0.0</c:v>
                </c:pt>
                <c:pt idx="8">
                  <c:v>0.0</c:v>
                </c:pt>
              </c:numCache>
            </c:numRef>
          </c:val>
        </c:ser>
        <c:ser>
          <c:idx val="1"/>
          <c:order val="1"/>
          <c:tx>
            <c:strRef>
              <c:f>'Exit Waterfall'!$B$175:$C$175</c:f>
              <c:strCache>
                <c:ptCount val="1"/>
                <c:pt idx="0">
                  <c:v> D  %</c:v>
                </c:pt>
              </c:strCache>
            </c:strRef>
          </c:tx>
          <c:cat>
            <c:numRef>
              <c:f>'Exit Waterfall'!$D$41:$L$41</c:f>
              <c:numCache>
                <c:formatCode>_(* #,##0_);_(* \(#,##0\);_(* "-"??_);_(@_)</c:formatCode>
                <c:ptCount val="9"/>
                <c:pt idx="0">
                  <c:v>0.0</c:v>
                </c:pt>
                <c:pt idx="1">
                  <c:v>0.0</c:v>
                </c:pt>
                <c:pt idx="2">
                  <c:v>0.0</c:v>
                </c:pt>
                <c:pt idx="3">
                  <c:v>0.0</c:v>
                </c:pt>
                <c:pt idx="4">
                  <c:v>0.0</c:v>
                </c:pt>
                <c:pt idx="5">
                  <c:v>0.0</c:v>
                </c:pt>
                <c:pt idx="6">
                  <c:v>0.0</c:v>
                </c:pt>
                <c:pt idx="7">
                  <c:v>0.0</c:v>
                </c:pt>
                <c:pt idx="8">
                  <c:v>0.0</c:v>
                </c:pt>
              </c:numCache>
            </c:numRef>
          </c:cat>
          <c:val>
            <c:numRef>
              <c:f>'Exit Waterfall'!$D$175:$L$175</c:f>
              <c:numCache>
                <c:formatCode>0%</c:formatCode>
                <c:ptCount val="9"/>
                <c:pt idx="0">
                  <c:v>0.0</c:v>
                </c:pt>
                <c:pt idx="1">
                  <c:v>0.0</c:v>
                </c:pt>
                <c:pt idx="2">
                  <c:v>0.0</c:v>
                </c:pt>
                <c:pt idx="3">
                  <c:v>0.0</c:v>
                </c:pt>
                <c:pt idx="4">
                  <c:v>0.0</c:v>
                </c:pt>
                <c:pt idx="5">
                  <c:v>0.0</c:v>
                </c:pt>
                <c:pt idx="6">
                  <c:v>0.0</c:v>
                </c:pt>
                <c:pt idx="7">
                  <c:v>0.0</c:v>
                </c:pt>
                <c:pt idx="8">
                  <c:v>0.0</c:v>
                </c:pt>
              </c:numCache>
            </c:numRef>
          </c:val>
        </c:ser>
        <c:ser>
          <c:idx val="2"/>
          <c:order val="2"/>
          <c:tx>
            <c:strRef>
              <c:f>'Exit Waterfall'!$B$176:$C$176</c:f>
              <c:strCache>
                <c:ptCount val="1"/>
                <c:pt idx="0">
                  <c:v> C  %</c:v>
                </c:pt>
              </c:strCache>
            </c:strRef>
          </c:tx>
          <c:cat>
            <c:numRef>
              <c:f>'Exit Waterfall'!$D$41:$L$41</c:f>
              <c:numCache>
                <c:formatCode>_(* #,##0_);_(* \(#,##0\);_(* "-"??_);_(@_)</c:formatCode>
                <c:ptCount val="9"/>
                <c:pt idx="0">
                  <c:v>0.0</c:v>
                </c:pt>
                <c:pt idx="1">
                  <c:v>0.0</c:v>
                </c:pt>
                <c:pt idx="2">
                  <c:v>0.0</c:v>
                </c:pt>
                <c:pt idx="3">
                  <c:v>0.0</c:v>
                </c:pt>
                <c:pt idx="4">
                  <c:v>0.0</c:v>
                </c:pt>
                <c:pt idx="5">
                  <c:v>0.0</c:v>
                </c:pt>
                <c:pt idx="6">
                  <c:v>0.0</c:v>
                </c:pt>
                <c:pt idx="7">
                  <c:v>0.0</c:v>
                </c:pt>
                <c:pt idx="8">
                  <c:v>0.0</c:v>
                </c:pt>
              </c:numCache>
            </c:numRef>
          </c:cat>
          <c:val>
            <c:numRef>
              <c:f>'Exit Waterfall'!$D$176:$L$176</c:f>
              <c:numCache>
                <c:formatCode>0%</c:formatCode>
                <c:ptCount val="9"/>
                <c:pt idx="0">
                  <c:v>0.0</c:v>
                </c:pt>
                <c:pt idx="1">
                  <c:v>0.0</c:v>
                </c:pt>
                <c:pt idx="2">
                  <c:v>0.0</c:v>
                </c:pt>
                <c:pt idx="3">
                  <c:v>0.0</c:v>
                </c:pt>
                <c:pt idx="4">
                  <c:v>0.0</c:v>
                </c:pt>
                <c:pt idx="5">
                  <c:v>0.0</c:v>
                </c:pt>
                <c:pt idx="6">
                  <c:v>0.0</c:v>
                </c:pt>
                <c:pt idx="7">
                  <c:v>0.0</c:v>
                </c:pt>
                <c:pt idx="8">
                  <c:v>0.0</c:v>
                </c:pt>
              </c:numCache>
            </c:numRef>
          </c:val>
        </c:ser>
        <c:ser>
          <c:idx val="3"/>
          <c:order val="3"/>
          <c:tx>
            <c:strRef>
              <c:f>'Exit Waterfall'!$B$177:$C$177</c:f>
              <c:strCache>
                <c:ptCount val="1"/>
                <c:pt idx="0">
                  <c:v> B  %</c:v>
                </c:pt>
              </c:strCache>
            </c:strRef>
          </c:tx>
          <c:cat>
            <c:numRef>
              <c:f>'Exit Waterfall'!$D$41:$L$41</c:f>
              <c:numCache>
                <c:formatCode>_(* #,##0_);_(* \(#,##0\);_(* "-"??_);_(@_)</c:formatCode>
                <c:ptCount val="9"/>
                <c:pt idx="0">
                  <c:v>0.0</c:v>
                </c:pt>
                <c:pt idx="1">
                  <c:v>0.0</c:v>
                </c:pt>
                <c:pt idx="2">
                  <c:v>0.0</c:v>
                </c:pt>
                <c:pt idx="3">
                  <c:v>0.0</c:v>
                </c:pt>
                <c:pt idx="4">
                  <c:v>0.0</c:v>
                </c:pt>
                <c:pt idx="5">
                  <c:v>0.0</c:v>
                </c:pt>
                <c:pt idx="6">
                  <c:v>0.0</c:v>
                </c:pt>
                <c:pt idx="7">
                  <c:v>0.0</c:v>
                </c:pt>
                <c:pt idx="8">
                  <c:v>0.0</c:v>
                </c:pt>
              </c:numCache>
            </c:numRef>
          </c:cat>
          <c:val>
            <c:numRef>
              <c:f>'Exit Waterfall'!$D$177:$L$177</c:f>
              <c:numCache>
                <c:formatCode>0%</c:formatCode>
                <c:ptCount val="9"/>
                <c:pt idx="0">
                  <c:v>0.0</c:v>
                </c:pt>
                <c:pt idx="1">
                  <c:v>0.0</c:v>
                </c:pt>
                <c:pt idx="2">
                  <c:v>0.0</c:v>
                </c:pt>
                <c:pt idx="3">
                  <c:v>0.0</c:v>
                </c:pt>
                <c:pt idx="4">
                  <c:v>0.0</c:v>
                </c:pt>
                <c:pt idx="5">
                  <c:v>0.0</c:v>
                </c:pt>
                <c:pt idx="6">
                  <c:v>0.0</c:v>
                </c:pt>
                <c:pt idx="7">
                  <c:v>0.0</c:v>
                </c:pt>
                <c:pt idx="8">
                  <c:v>0.0</c:v>
                </c:pt>
              </c:numCache>
            </c:numRef>
          </c:val>
        </c:ser>
        <c:ser>
          <c:idx val="4"/>
          <c:order val="4"/>
          <c:tx>
            <c:strRef>
              <c:f>'Exit Waterfall'!$B$178:$C$178</c:f>
              <c:strCache>
                <c:ptCount val="1"/>
                <c:pt idx="0">
                  <c:v> A  %</c:v>
                </c:pt>
              </c:strCache>
            </c:strRef>
          </c:tx>
          <c:cat>
            <c:numRef>
              <c:f>'Exit Waterfall'!$D$41:$L$41</c:f>
              <c:numCache>
                <c:formatCode>_(* #,##0_);_(* \(#,##0\);_(* "-"??_);_(@_)</c:formatCode>
                <c:ptCount val="9"/>
                <c:pt idx="0">
                  <c:v>0.0</c:v>
                </c:pt>
                <c:pt idx="1">
                  <c:v>0.0</c:v>
                </c:pt>
                <c:pt idx="2">
                  <c:v>0.0</c:v>
                </c:pt>
                <c:pt idx="3">
                  <c:v>0.0</c:v>
                </c:pt>
                <c:pt idx="4">
                  <c:v>0.0</c:v>
                </c:pt>
                <c:pt idx="5">
                  <c:v>0.0</c:v>
                </c:pt>
                <c:pt idx="6">
                  <c:v>0.0</c:v>
                </c:pt>
                <c:pt idx="7">
                  <c:v>0.0</c:v>
                </c:pt>
                <c:pt idx="8">
                  <c:v>0.0</c:v>
                </c:pt>
              </c:numCache>
            </c:numRef>
          </c:cat>
          <c:val>
            <c:numRef>
              <c:f>'Exit Waterfall'!$D$178:$L$178</c:f>
              <c:numCache>
                <c:formatCode>0%</c:formatCode>
                <c:ptCount val="9"/>
                <c:pt idx="0">
                  <c:v>0.0</c:v>
                </c:pt>
                <c:pt idx="1">
                  <c:v>0.0</c:v>
                </c:pt>
                <c:pt idx="2">
                  <c:v>0.0</c:v>
                </c:pt>
                <c:pt idx="3">
                  <c:v>0.0</c:v>
                </c:pt>
                <c:pt idx="4">
                  <c:v>0.0</c:v>
                </c:pt>
                <c:pt idx="5">
                  <c:v>0.0</c:v>
                </c:pt>
                <c:pt idx="6">
                  <c:v>0.0</c:v>
                </c:pt>
                <c:pt idx="7">
                  <c:v>0.0</c:v>
                </c:pt>
                <c:pt idx="8">
                  <c:v>0.0</c:v>
                </c:pt>
              </c:numCache>
            </c:numRef>
          </c:val>
        </c:ser>
        <c:ser>
          <c:idx val="5"/>
          <c:order val="5"/>
          <c:tx>
            <c:strRef>
              <c:f>'Exit Waterfall'!$B$179:$C$179</c:f>
              <c:strCache>
                <c:ptCount val="1"/>
                <c:pt idx="0">
                  <c:v> Seed  %</c:v>
                </c:pt>
              </c:strCache>
            </c:strRef>
          </c:tx>
          <c:spPr>
            <a:ln w="25400">
              <a:noFill/>
            </a:ln>
          </c:spPr>
          <c:cat>
            <c:numRef>
              <c:f>'Exit Waterfall'!$D$41:$L$41</c:f>
              <c:numCache>
                <c:formatCode>_(* #,##0_);_(* \(#,##0\);_(* "-"??_);_(@_)</c:formatCode>
                <c:ptCount val="9"/>
                <c:pt idx="0">
                  <c:v>0.0</c:v>
                </c:pt>
                <c:pt idx="1">
                  <c:v>0.0</c:v>
                </c:pt>
                <c:pt idx="2">
                  <c:v>0.0</c:v>
                </c:pt>
                <c:pt idx="3">
                  <c:v>0.0</c:v>
                </c:pt>
                <c:pt idx="4">
                  <c:v>0.0</c:v>
                </c:pt>
                <c:pt idx="5">
                  <c:v>0.0</c:v>
                </c:pt>
                <c:pt idx="6">
                  <c:v>0.0</c:v>
                </c:pt>
                <c:pt idx="7">
                  <c:v>0.0</c:v>
                </c:pt>
                <c:pt idx="8">
                  <c:v>0.0</c:v>
                </c:pt>
              </c:numCache>
            </c:numRef>
          </c:cat>
          <c:val>
            <c:numRef>
              <c:f>'Exit Waterfall'!$D$179:$L$179</c:f>
              <c:numCache>
                <c:formatCode>0%</c:formatCode>
                <c:ptCount val="9"/>
                <c:pt idx="0">
                  <c:v>0.0</c:v>
                </c:pt>
                <c:pt idx="1">
                  <c:v>0.0</c:v>
                </c:pt>
                <c:pt idx="2">
                  <c:v>0.0</c:v>
                </c:pt>
                <c:pt idx="3">
                  <c:v>0.0</c:v>
                </c:pt>
                <c:pt idx="4">
                  <c:v>0.0</c:v>
                </c:pt>
                <c:pt idx="5">
                  <c:v>0.0</c:v>
                </c:pt>
                <c:pt idx="6">
                  <c:v>0.0</c:v>
                </c:pt>
                <c:pt idx="7">
                  <c:v>0.0</c:v>
                </c:pt>
                <c:pt idx="8">
                  <c:v>0.0</c:v>
                </c:pt>
              </c:numCache>
            </c:numRef>
          </c:val>
        </c:ser>
        <c:ser>
          <c:idx val="6"/>
          <c:order val="6"/>
          <c:tx>
            <c:strRef>
              <c:f>'Exit Waterfall'!$B$180:$C$180</c:f>
              <c:strCache>
                <c:ptCount val="1"/>
                <c:pt idx="0">
                  <c:v> Common Holders  %</c:v>
                </c:pt>
              </c:strCache>
            </c:strRef>
          </c:tx>
          <c:spPr>
            <a:ln w="25400">
              <a:noFill/>
            </a:ln>
          </c:spPr>
          <c:cat>
            <c:numRef>
              <c:f>'Exit Waterfall'!$D$41:$L$41</c:f>
              <c:numCache>
                <c:formatCode>_(* #,##0_);_(* \(#,##0\);_(* "-"??_);_(@_)</c:formatCode>
                <c:ptCount val="9"/>
                <c:pt idx="0">
                  <c:v>0.0</c:v>
                </c:pt>
                <c:pt idx="1">
                  <c:v>0.0</c:v>
                </c:pt>
                <c:pt idx="2">
                  <c:v>0.0</c:v>
                </c:pt>
                <c:pt idx="3">
                  <c:v>0.0</c:v>
                </c:pt>
                <c:pt idx="4">
                  <c:v>0.0</c:v>
                </c:pt>
                <c:pt idx="5">
                  <c:v>0.0</c:v>
                </c:pt>
                <c:pt idx="6">
                  <c:v>0.0</c:v>
                </c:pt>
                <c:pt idx="7">
                  <c:v>0.0</c:v>
                </c:pt>
                <c:pt idx="8">
                  <c:v>0.0</c:v>
                </c:pt>
              </c:numCache>
            </c:numRef>
          </c:cat>
          <c:val>
            <c:numRef>
              <c:f>'Exit Waterfall'!$D$180:$L$180</c:f>
              <c:numCache>
                <c:formatCode>0%</c:formatCode>
                <c:ptCount val="9"/>
                <c:pt idx="0">
                  <c:v>0.0</c:v>
                </c:pt>
                <c:pt idx="1">
                  <c:v>0.0</c:v>
                </c:pt>
                <c:pt idx="2">
                  <c:v>0.0</c:v>
                </c:pt>
                <c:pt idx="3">
                  <c:v>0.0</c:v>
                </c:pt>
                <c:pt idx="4">
                  <c:v>0.0</c:v>
                </c:pt>
                <c:pt idx="5">
                  <c:v>0.0</c:v>
                </c:pt>
                <c:pt idx="6">
                  <c:v>0.0</c:v>
                </c:pt>
                <c:pt idx="7">
                  <c:v>0.0</c:v>
                </c:pt>
                <c:pt idx="8">
                  <c:v>0.0</c:v>
                </c:pt>
              </c:numCache>
            </c:numRef>
          </c:val>
        </c:ser>
        <c:ser>
          <c:idx val="7"/>
          <c:order val="7"/>
          <c:tx>
            <c:strRef>
              <c:f>'Exit Waterfall'!$B$181:$C$181</c:f>
              <c:strCache>
                <c:ptCount val="1"/>
                <c:pt idx="0">
                  <c:v> Options Granted and Exercised  %</c:v>
                </c:pt>
              </c:strCache>
            </c:strRef>
          </c:tx>
          <c:spPr>
            <a:ln w="25400">
              <a:noFill/>
            </a:ln>
          </c:spPr>
          <c:cat>
            <c:numRef>
              <c:f>'Exit Waterfall'!$D$41:$L$41</c:f>
              <c:numCache>
                <c:formatCode>_(* #,##0_);_(* \(#,##0\);_(* "-"??_);_(@_)</c:formatCode>
                <c:ptCount val="9"/>
                <c:pt idx="0">
                  <c:v>0.0</c:v>
                </c:pt>
                <c:pt idx="1">
                  <c:v>0.0</c:v>
                </c:pt>
                <c:pt idx="2">
                  <c:v>0.0</c:v>
                </c:pt>
                <c:pt idx="3">
                  <c:v>0.0</c:v>
                </c:pt>
                <c:pt idx="4">
                  <c:v>0.0</c:v>
                </c:pt>
                <c:pt idx="5">
                  <c:v>0.0</c:v>
                </c:pt>
                <c:pt idx="6">
                  <c:v>0.0</c:v>
                </c:pt>
                <c:pt idx="7">
                  <c:v>0.0</c:v>
                </c:pt>
                <c:pt idx="8">
                  <c:v>0.0</c:v>
                </c:pt>
              </c:numCache>
            </c:numRef>
          </c:cat>
          <c:val>
            <c:numRef>
              <c:f>'Exit Waterfall'!$D$181:$L$181</c:f>
              <c:numCache>
                <c:formatCode>0%</c:formatCode>
                <c:ptCount val="9"/>
                <c:pt idx="0">
                  <c:v>0.0</c:v>
                </c:pt>
                <c:pt idx="1">
                  <c:v>0.0</c:v>
                </c:pt>
                <c:pt idx="2">
                  <c:v>0.0</c:v>
                </c:pt>
                <c:pt idx="3">
                  <c:v>0.0</c:v>
                </c:pt>
                <c:pt idx="4">
                  <c:v>0.0</c:v>
                </c:pt>
                <c:pt idx="5">
                  <c:v>0.0</c:v>
                </c:pt>
                <c:pt idx="6">
                  <c:v>0.0</c:v>
                </c:pt>
                <c:pt idx="7">
                  <c:v>0.0</c:v>
                </c:pt>
                <c:pt idx="8">
                  <c:v>0.0</c:v>
                </c:pt>
              </c:numCache>
            </c:numRef>
          </c:val>
        </c:ser>
        <c:dLbls>
          <c:showLegendKey val="0"/>
          <c:showVal val="0"/>
          <c:showCatName val="0"/>
          <c:showSerName val="0"/>
          <c:showPercent val="0"/>
          <c:showBubbleSize val="0"/>
        </c:dLbls>
        <c:axId val="-2055486024"/>
        <c:axId val="-2055429816"/>
      </c:areaChart>
      <c:catAx>
        <c:axId val="-2055486024"/>
        <c:scaling>
          <c:orientation val="minMax"/>
        </c:scaling>
        <c:delete val="0"/>
        <c:axPos val="b"/>
        <c:numFmt formatCode="_(* #,##0_);_(* \(#,##0\);_(* &quot;-&quot;??_);_(@_)" sourceLinked="1"/>
        <c:majorTickMark val="none"/>
        <c:minorTickMark val="none"/>
        <c:tickLblPos val="nextTo"/>
        <c:crossAx val="-2055429816"/>
        <c:crosses val="autoZero"/>
        <c:auto val="1"/>
        <c:lblAlgn val="ctr"/>
        <c:lblOffset val="100"/>
        <c:noMultiLvlLbl val="0"/>
      </c:catAx>
      <c:valAx>
        <c:axId val="-2055429816"/>
        <c:scaling>
          <c:orientation val="minMax"/>
        </c:scaling>
        <c:delete val="0"/>
        <c:axPos val="l"/>
        <c:majorGridlines/>
        <c:numFmt formatCode="0%" sourceLinked="1"/>
        <c:majorTickMark val="none"/>
        <c:minorTickMark val="none"/>
        <c:tickLblPos val="nextTo"/>
        <c:crossAx val="-2055486024"/>
        <c:crosses val="autoZero"/>
        <c:crossBetween val="midCat"/>
      </c:valAx>
    </c:plotArea>
    <c:legend>
      <c:legendPos val="b"/>
      <c:overlay val="0"/>
    </c:legend>
    <c:plotVisOnly val="1"/>
    <c:dispBlanksAs val="zero"/>
    <c:showDLblsOverMax val="0"/>
  </c:chart>
  <c:spPr>
    <a:ln>
      <a:noFill/>
    </a:ln>
  </c:spPr>
  <c:printSettings>
    <c:headerFooter/>
    <c:pageMargins b="1.0" l="0.75" r="0.75" t="1.0"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Total</a:t>
            </a:r>
            <a:r>
              <a:rPr lang="en-US" baseline="0"/>
              <a:t> Proceeds Distributed to each class of shareholders</a:t>
            </a:r>
            <a:endParaRPr lang="en-US"/>
          </a:p>
        </c:rich>
      </c:tx>
      <c:overlay val="0"/>
    </c:title>
    <c:autoTitleDeleted val="0"/>
    <c:plotArea>
      <c:layout/>
      <c:areaChart>
        <c:grouping val="stacked"/>
        <c:varyColors val="0"/>
        <c:ser>
          <c:idx val="0"/>
          <c:order val="0"/>
          <c:tx>
            <c:strRef>
              <c:f>'Exit Waterfall'!$B$161:$C$161</c:f>
              <c:strCache>
                <c:ptCount val="1"/>
                <c:pt idx="0">
                  <c:v> E   $ </c:v>
                </c:pt>
              </c:strCache>
            </c:strRef>
          </c:tx>
          <c:cat>
            <c:numRef>
              <c:f>'Exit Waterfall'!$D$41:$L$41</c:f>
              <c:numCache>
                <c:formatCode>_(* #,##0_);_(* \(#,##0\);_(* "-"??_);_(@_)</c:formatCode>
                <c:ptCount val="9"/>
                <c:pt idx="0">
                  <c:v>0.0</c:v>
                </c:pt>
                <c:pt idx="1">
                  <c:v>0.0</c:v>
                </c:pt>
                <c:pt idx="2">
                  <c:v>0.0</c:v>
                </c:pt>
                <c:pt idx="3">
                  <c:v>0.0</c:v>
                </c:pt>
                <c:pt idx="4">
                  <c:v>0.0</c:v>
                </c:pt>
                <c:pt idx="5">
                  <c:v>0.0</c:v>
                </c:pt>
                <c:pt idx="6">
                  <c:v>0.0</c:v>
                </c:pt>
                <c:pt idx="7">
                  <c:v>0.0</c:v>
                </c:pt>
                <c:pt idx="8">
                  <c:v>0.0</c:v>
                </c:pt>
              </c:numCache>
            </c:numRef>
          </c:cat>
          <c:val>
            <c:numRef>
              <c:f>'Exit Waterfall'!$D$161:$L$161</c:f>
              <c:numCache>
                <c:formatCode>_(* #,##0_);_(* \(#,##0\);_(* "-"??_);_(@_)</c:formatCode>
                <c:ptCount val="9"/>
                <c:pt idx="0">
                  <c:v>0.0</c:v>
                </c:pt>
                <c:pt idx="1">
                  <c:v>0.0</c:v>
                </c:pt>
                <c:pt idx="2">
                  <c:v>0.0</c:v>
                </c:pt>
                <c:pt idx="3">
                  <c:v>0.0</c:v>
                </c:pt>
                <c:pt idx="4">
                  <c:v>0.0</c:v>
                </c:pt>
                <c:pt idx="5">
                  <c:v>0.0</c:v>
                </c:pt>
                <c:pt idx="6">
                  <c:v>0.0</c:v>
                </c:pt>
                <c:pt idx="7">
                  <c:v>0.0</c:v>
                </c:pt>
                <c:pt idx="8">
                  <c:v>0.0</c:v>
                </c:pt>
              </c:numCache>
            </c:numRef>
          </c:val>
        </c:ser>
        <c:ser>
          <c:idx val="1"/>
          <c:order val="1"/>
          <c:tx>
            <c:strRef>
              <c:f>'Exit Waterfall'!$B$162:$C$162</c:f>
              <c:strCache>
                <c:ptCount val="1"/>
                <c:pt idx="0">
                  <c:v> D   $ </c:v>
                </c:pt>
              </c:strCache>
            </c:strRef>
          </c:tx>
          <c:cat>
            <c:numRef>
              <c:f>'Exit Waterfall'!$D$41:$L$41</c:f>
              <c:numCache>
                <c:formatCode>_(* #,##0_);_(* \(#,##0\);_(* "-"??_);_(@_)</c:formatCode>
                <c:ptCount val="9"/>
                <c:pt idx="0">
                  <c:v>0.0</c:v>
                </c:pt>
                <c:pt idx="1">
                  <c:v>0.0</c:v>
                </c:pt>
                <c:pt idx="2">
                  <c:v>0.0</c:v>
                </c:pt>
                <c:pt idx="3">
                  <c:v>0.0</c:v>
                </c:pt>
                <c:pt idx="4">
                  <c:v>0.0</c:v>
                </c:pt>
                <c:pt idx="5">
                  <c:v>0.0</c:v>
                </c:pt>
                <c:pt idx="6">
                  <c:v>0.0</c:v>
                </c:pt>
                <c:pt idx="7">
                  <c:v>0.0</c:v>
                </c:pt>
                <c:pt idx="8">
                  <c:v>0.0</c:v>
                </c:pt>
              </c:numCache>
            </c:numRef>
          </c:cat>
          <c:val>
            <c:numRef>
              <c:f>'Exit Waterfall'!$D$162:$L$162</c:f>
              <c:numCache>
                <c:formatCode>_(* #,##0_);_(* \(#,##0\);_(* "-"??_);_(@_)</c:formatCode>
                <c:ptCount val="9"/>
                <c:pt idx="0">
                  <c:v>0.0</c:v>
                </c:pt>
                <c:pt idx="1">
                  <c:v>0.0</c:v>
                </c:pt>
                <c:pt idx="2">
                  <c:v>0.0</c:v>
                </c:pt>
                <c:pt idx="3">
                  <c:v>0.0</c:v>
                </c:pt>
                <c:pt idx="4">
                  <c:v>0.0</c:v>
                </c:pt>
                <c:pt idx="5">
                  <c:v>0.0</c:v>
                </c:pt>
                <c:pt idx="6">
                  <c:v>0.0</c:v>
                </c:pt>
                <c:pt idx="7">
                  <c:v>0.0</c:v>
                </c:pt>
                <c:pt idx="8">
                  <c:v>0.0</c:v>
                </c:pt>
              </c:numCache>
            </c:numRef>
          </c:val>
        </c:ser>
        <c:ser>
          <c:idx val="2"/>
          <c:order val="2"/>
          <c:tx>
            <c:strRef>
              <c:f>'Exit Waterfall'!$B$163:$C$163</c:f>
              <c:strCache>
                <c:ptCount val="1"/>
                <c:pt idx="0">
                  <c:v> C   $ </c:v>
                </c:pt>
              </c:strCache>
            </c:strRef>
          </c:tx>
          <c:cat>
            <c:numRef>
              <c:f>'Exit Waterfall'!$D$41:$L$41</c:f>
              <c:numCache>
                <c:formatCode>_(* #,##0_);_(* \(#,##0\);_(* "-"??_);_(@_)</c:formatCode>
                <c:ptCount val="9"/>
                <c:pt idx="0">
                  <c:v>0.0</c:v>
                </c:pt>
                <c:pt idx="1">
                  <c:v>0.0</c:v>
                </c:pt>
                <c:pt idx="2">
                  <c:v>0.0</c:v>
                </c:pt>
                <c:pt idx="3">
                  <c:v>0.0</c:v>
                </c:pt>
                <c:pt idx="4">
                  <c:v>0.0</c:v>
                </c:pt>
                <c:pt idx="5">
                  <c:v>0.0</c:v>
                </c:pt>
                <c:pt idx="6">
                  <c:v>0.0</c:v>
                </c:pt>
                <c:pt idx="7">
                  <c:v>0.0</c:v>
                </c:pt>
                <c:pt idx="8">
                  <c:v>0.0</c:v>
                </c:pt>
              </c:numCache>
            </c:numRef>
          </c:cat>
          <c:val>
            <c:numRef>
              <c:f>'Exit Waterfall'!$D$163:$L$163</c:f>
              <c:numCache>
                <c:formatCode>_(* #,##0_);_(* \(#,##0\);_(* "-"??_);_(@_)</c:formatCode>
                <c:ptCount val="9"/>
                <c:pt idx="0">
                  <c:v>0.0</c:v>
                </c:pt>
                <c:pt idx="1">
                  <c:v>0.0</c:v>
                </c:pt>
                <c:pt idx="2">
                  <c:v>0.0</c:v>
                </c:pt>
                <c:pt idx="3">
                  <c:v>0.0</c:v>
                </c:pt>
                <c:pt idx="4">
                  <c:v>0.0</c:v>
                </c:pt>
                <c:pt idx="5">
                  <c:v>0.0</c:v>
                </c:pt>
                <c:pt idx="6">
                  <c:v>0.0</c:v>
                </c:pt>
                <c:pt idx="7">
                  <c:v>0.0</c:v>
                </c:pt>
                <c:pt idx="8">
                  <c:v>0.0</c:v>
                </c:pt>
              </c:numCache>
            </c:numRef>
          </c:val>
        </c:ser>
        <c:ser>
          <c:idx val="3"/>
          <c:order val="3"/>
          <c:tx>
            <c:strRef>
              <c:f>'Exit Waterfall'!$B$164:$C$164</c:f>
              <c:strCache>
                <c:ptCount val="1"/>
                <c:pt idx="0">
                  <c:v> B   $ </c:v>
                </c:pt>
              </c:strCache>
            </c:strRef>
          </c:tx>
          <c:cat>
            <c:numRef>
              <c:f>'Exit Waterfall'!$D$41:$L$41</c:f>
              <c:numCache>
                <c:formatCode>_(* #,##0_);_(* \(#,##0\);_(* "-"??_);_(@_)</c:formatCode>
                <c:ptCount val="9"/>
                <c:pt idx="0">
                  <c:v>0.0</c:v>
                </c:pt>
                <c:pt idx="1">
                  <c:v>0.0</c:v>
                </c:pt>
                <c:pt idx="2">
                  <c:v>0.0</c:v>
                </c:pt>
                <c:pt idx="3">
                  <c:v>0.0</c:v>
                </c:pt>
                <c:pt idx="4">
                  <c:v>0.0</c:v>
                </c:pt>
                <c:pt idx="5">
                  <c:v>0.0</c:v>
                </c:pt>
                <c:pt idx="6">
                  <c:v>0.0</c:v>
                </c:pt>
                <c:pt idx="7">
                  <c:v>0.0</c:v>
                </c:pt>
                <c:pt idx="8">
                  <c:v>0.0</c:v>
                </c:pt>
              </c:numCache>
            </c:numRef>
          </c:cat>
          <c:val>
            <c:numRef>
              <c:f>'Exit Waterfall'!$D$164:$L$164</c:f>
              <c:numCache>
                <c:formatCode>_(* #,##0_);_(* \(#,##0\);_(* "-"??_);_(@_)</c:formatCode>
                <c:ptCount val="9"/>
                <c:pt idx="0">
                  <c:v>0.0</c:v>
                </c:pt>
                <c:pt idx="1">
                  <c:v>0.0</c:v>
                </c:pt>
                <c:pt idx="2">
                  <c:v>0.0</c:v>
                </c:pt>
                <c:pt idx="3">
                  <c:v>0.0</c:v>
                </c:pt>
                <c:pt idx="4">
                  <c:v>0.0</c:v>
                </c:pt>
                <c:pt idx="5">
                  <c:v>0.0</c:v>
                </c:pt>
                <c:pt idx="6">
                  <c:v>0.0</c:v>
                </c:pt>
                <c:pt idx="7">
                  <c:v>0.0</c:v>
                </c:pt>
                <c:pt idx="8">
                  <c:v>0.0</c:v>
                </c:pt>
              </c:numCache>
            </c:numRef>
          </c:val>
        </c:ser>
        <c:ser>
          <c:idx val="4"/>
          <c:order val="4"/>
          <c:tx>
            <c:strRef>
              <c:f>'Exit Waterfall'!$B$165:$C$165</c:f>
              <c:strCache>
                <c:ptCount val="1"/>
                <c:pt idx="0">
                  <c:v> A   $ </c:v>
                </c:pt>
              </c:strCache>
            </c:strRef>
          </c:tx>
          <c:cat>
            <c:numRef>
              <c:f>'Exit Waterfall'!$D$41:$L$41</c:f>
              <c:numCache>
                <c:formatCode>_(* #,##0_);_(* \(#,##0\);_(* "-"??_);_(@_)</c:formatCode>
                <c:ptCount val="9"/>
                <c:pt idx="0">
                  <c:v>0.0</c:v>
                </c:pt>
                <c:pt idx="1">
                  <c:v>0.0</c:v>
                </c:pt>
                <c:pt idx="2">
                  <c:v>0.0</c:v>
                </c:pt>
                <c:pt idx="3">
                  <c:v>0.0</c:v>
                </c:pt>
                <c:pt idx="4">
                  <c:v>0.0</c:v>
                </c:pt>
                <c:pt idx="5">
                  <c:v>0.0</c:v>
                </c:pt>
                <c:pt idx="6">
                  <c:v>0.0</c:v>
                </c:pt>
                <c:pt idx="7">
                  <c:v>0.0</c:v>
                </c:pt>
                <c:pt idx="8">
                  <c:v>0.0</c:v>
                </c:pt>
              </c:numCache>
            </c:numRef>
          </c:cat>
          <c:val>
            <c:numRef>
              <c:f>'Exit Waterfall'!$D$165:$L$165</c:f>
              <c:numCache>
                <c:formatCode>_(* #,##0_);_(* \(#,##0\);_(* "-"??_);_(@_)</c:formatCode>
                <c:ptCount val="9"/>
                <c:pt idx="0">
                  <c:v>0.0</c:v>
                </c:pt>
                <c:pt idx="1">
                  <c:v>0.0</c:v>
                </c:pt>
                <c:pt idx="2">
                  <c:v>0.0</c:v>
                </c:pt>
                <c:pt idx="3">
                  <c:v>0.0</c:v>
                </c:pt>
                <c:pt idx="4">
                  <c:v>0.0</c:v>
                </c:pt>
                <c:pt idx="5">
                  <c:v>0.0</c:v>
                </c:pt>
                <c:pt idx="6">
                  <c:v>0.0</c:v>
                </c:pt>
                <c:pt idx="7">
                  <c:v>0.0</c:v>
                </c:pt>
                <c:pt idx="8">
                  <c:v>0.0</c:v>
                </c:pt>
              </c:numCache>
            </c:numRef>
          </c:val>
        </c:ser>
        <c:ser>
          <c:idx val="5"/>
          <c:order val="5"/>
          <c:tx>
            <c:strRef>
              <c:f>'Exit Waterfall'!$B$166:$C$166</c:f>
              <c:strCache>
                <c:ptCount val="1"/>
                <c:pt idx="0">
                  <c:v> Seed   $ </c:v>
                </c:pt>
              </c:strCache>
            </c:strRef>
          </c:tx>
          <c:spPr>
            <a:ln w="25400">
              <a:noFill/>
            </a:ln>
          </c:spPr>
          <c:cat>
            <c:numRef>
              <c:f>'Exit Waterfall'!$D$41:$L$41</c:f>
              <c:numCache>
                <c:formatCode>_(* #,##0_);_(* \(#,##0\);_(* "-"??_);_(@_)</c:formatCode>
                <c:ptCount val="9"/>
                <c:pt idx="0">
                  <c:v>0.0</c:v>
                </c:pt>
                <c:pt idx="1">
                  <c:v>0.0</c:v>
                </c:pt>
                <c:pt idx="2">
                  <c:v>0.0</c:v>
                </c:pt>
                <c:pt idx="3">
                  <c:v>0.0</c:v>
                </c:pt>
                <c:pt idx="4">
                  <c:v>0.0</c:v>
                </c:pt>
                <c:pt idx="5">
                  <c:v>0.0</c:v>
                </c:pt>
                <c:pt idx="6">
                  <c:v>0.0</c:v>
                </c:pt>
                <c:pt idx="7">
                  <c:v>0.0</c:v>
                </c:pt>
                <c:pt idx="8">
                  <c:v>0.0</c:v>
                </c:pt>
              </c:numCache>
            </c:numRef>
          </c:cat>
          <c:val>
            <c:numRef>
              <c:f>'Exit Waterfall'!$D$166:$L$166</c:f>
              <c:numCache>
                <c:formatCode>_(* #,##0_);_(* \(#,##0\);_(* "-"??_);_(@_)</c:formatCode>
                <c:ptCount val="9"/>
                <c:pt idx="0">
                  <c:v>0.0</c:v>
                </c:pt>
                <c:pt idx="1">
                  <c:v>0.0</c:v>
                </c:pt>
                <c:pt idx="2">
                  <c:v>0.0</c:v>
                </c:pt>
                <c:pt idx="3">
                  <c:v>0.0</c:v>
                </c:pt>
                <c:pt idx="4">
                  <c:v>0.0</c:v>
                </c:pt>
                <c:pt idx="5">
                  <c:v>0.0</c:v>
                </c:pt>
                <c:pt idx="6">
                  <c:v>0.0</c:v>
                </c:pt>
                <c:pt idx="7">
                  <c:v>0.0</c:v>
                </c:pt>
                <c:pt idx="8">
                  <c:v>0.0</c:v>
                </c:pt>
              </c:numCache>
            </c:numRef>
          </c:val>
        </c:ser>
        <c:ser>
          <c:idx val="6"/>
          <c:order val="6"/>
          <c:tx>
            <c:strRef>
              <c:f>'Exit Waterfall'!$B$167:$C$167</c:f>
              <c:strCache>
                <c:ptCount val="1"/>
                <c:pt idx="0">
                  <c:v> Common Holders   $ </c:v>
                </c:pt>
              </c:strCache>
            </c:strRef>
          </c:tx>
          <c:spPr>
            <a:ln w="25400">
              <a:noFill/>
            </a:ln>
          </c:spPr>
          <c:cat>
            <c:numRef>
              <c:f>'Exit Waterfall'!$D$41:$L$41</c:f>
              <c:numCache>
                <c:formatCode>_(* #,##0_);_(* \(#,##0\);_(* "-"??_);_(@_)</c:formatCode>
                <c:ptCount val="9"/>
                <c:pt idx="0">
                  <c:v>0.0</c:v>
                </c:pt>
                <c:pt idx="1">
                  <c:v>0.0</c:v>
                </c:pt>
                <c:pt idx="2">
                  <c:v>0.0</c:v>
                </c:pt>
                <c:pt idx="3">
                  <c:v>0.0</c:v>
                </c:pt>
                <c:pt idx="4">
                  <c:v>0.0</c:v>
                </c:pt>
                <c:pt idx="5">
                  <c:v>0.0</c:v>
                </c:pt>
                <c:pt idx="6">
                  <c:v>0.0</c:v>
                </c:pt>
                <c:pt idx="7">
                  <c:v>0.0</c:v>
                </c:pt>
                <c:pt idx="8">
                  <c:v>0.0</c:v>
                </c:pt>
              </c:numCache>
            </c:numRef>
          </c:cat>
          <c:val>
            <c:numRef>
              <c:f>'Exit Waterfall'!$D$167:$L$167</c:f>
              <c:numCache>
                <c:formatCode>_(* #,##0_);_(* \(#,##0\);_(* "-"??_);_(@_)</c:formatCode>
                <c:ptCount val="9"/>
                <c:pt idx="0">
                  <c:v>0.0</c:v>
                </c:pt>
                <c:pt idx="1">
                  <c:v>0.0</c:v>
                </c:pt>
                <c:pt idx="2">
                  <c:v>0.0</c:v>
                </c:pt>
                <c:pt idx="3">
                  <c:v>0.0</c:v>
                </c:pt>
                <c:pt idx="4">
                  <c:v>0.0</c:v>
                </c:pt>
                <c:pt idx="5">
                  <c:v>0.0</c:v>
                </c:pt>
                <c:pt idx="6">
                  <c:v>0.0</c:v>
                </c:pt>
                <c:pt idx="7">
                  <c:v>0.0</c:v>
                </c:pt>
                <c:pt idx="8">
                  <c:v>0.0</c:v>
                </c:pt>
              </c:numCache>
            </c:numRef>
          </c:val>
        </c:ser>
        <c:ser>
          <c:idx val="7"/>
          <c:order val="7"/>
          <c:tx>
            <c:strRef>
              <c:f>'Exit Waterfall'!$B$168:$C$168</c:f>
              <c:strCache>
                <c:ptCount val="1"/>
                <c:pt idx="0">
                  <c:v> Options Granted and Exercised   $ </c:v>
                </c:pt>
              </c:strCache>
            </c:strRef>
          </c:tx>
          <c:spPr>
            <a:ln w="25400">
              <a:noFill/>
            </a:ln>
          </c:spPr>
          <c:cat>
            <c:numRef>
              <c:f>'Exit Waterfall'!$D$41:$L$41</c:f>
              <c:numCache>
                <c:formatCode>_(* #,##0_);_(* \(#,##0\);_(* "-"??_);_(@_)</c:formatCode>
                <c:ptCount val="9"/>
                <c:pt idx="0">
                  <c:v>0.0</c:v>
                </c:pt>
                <c:pt idx="1">
                  <c:v>0.0</c:v>
                </c:pt>
                <c:pt idx="2">
                  <c:v>0.0</c:v>
                </c:pt>
                <c:pt idx="3">
                  <c:v>0.0</c:v>
                </c:pt>
                <c:pt idx="4">
                  <c:v>0.0</c:v>
                </c:pt>
                <c:pt idx="5">
                  <c:v>0.0</c:v>
                </c:pt>
                <c:pt idx="6">
                  <c:v>0.0</c:v>
                </c:pt>
                <c:pt idx="7">
                  <c:v>0.0</c:v>
                </c:pt>
                <c:pt idx="8">
                  <c:v>0.0</c:v>
                </c:pt>
              </c:numCache>
            </c:numRef>
          </c:cat>
          <c:val>
            <c:numRef>
              <c:f>'Exit Waterfall'!$D$168:$L$168</c:f>
              <c:numCache>
                <c:formatCode>_(* #,##0_);_(* \(#,##0\);_(* "-"??_);_(@_)</c:formatCode>
                <c:ptCount val="9"/>
                <c:pt idx="0">
                  <c:v>0.0</c:v>
                </c:pt>
                <c:pt idx="1">
                  <c:v>0.0</c:v>
                </c:pt>
                <c:pt idx="2">
                  <c:v>0.0</c:v>
                </c:pt>
                <c:pt idx="3">
                  <c:v>0.0</c:v>
                </c:pt>
                <c:pt idx="4">
                  <c:v>0.0</c:v>
                </c:pt>
                <c:pt idx="5">
                  <c:v>0.0</c:v>
                </c:pt>
                <c:pt idx="6">
                  <c:v>0.0</c:v>
                </c:pt>
                <c:pt idx="7">
                  <c:v>0.0</c:v>
                </c:pt>
                <c:pt idx="8">
                  <c:v>0.0</c:v>
                </c:pt>
              </c:numCache>
            </c:numRef>
          </c:val>
        </c:ser>
        <c:dLbls>
          <c:showLegendKey val="0"/>
          <c:showVal val="0"/>
          <c:showCatName val="0"/>
          <c:showSerName val="0"/>
          <c:showPercent val="0"/>
          <c:showBubbleSize val="0"/>
        </c:dLbls>
        <c:axId val="-2056016904"/>
        <c:axId val="-2056013928"/>
      </c:areaChart>
      <c:catAx>
        <c:axId val="-2056016904"/>
        <c:scaling>
          <c:orientation val="minMax"/>
        </c:scaling>
        <c:delete val="0"/>
        <c:axPos val="b"/>
        <c:numFmt formatCode="_(* #,##0_);_(* \(#,##0\);_(* &quot;-&quot;??_);_(@_)" sourceLinked="1"/>
        <c:majorTickMark val="none"/>
        <c:minorTickMark val="none"/>
        <c:tickLblPos val="nextTo"/>
        <c:crossAx val="-2056013928"/>
        <c:crosses val="autoZero"/>
        <c:auto val="1"/>
        <c:lblAlgn val="ctr"/>
        <c:lblOffset val="100"/>
        <c:noMultiLvlLbl val="0"/>
      </c:catAx>
      <c:valAx>
        <c:axId val="-2056013928"/>
        <c:scaling>
          <c:orientation val="minMax"/>
        </c:scaling>
        <c:delete val="0"/>
        <c:axPos val="l"/>
        <c:majorGridlines/>
        <c:numFmt formatCode="_(* #,##0_);_(* \(#,##0\);_(* &quot;-&quot;??_);_(@_)" sourceLinked="1"/>
        <c:majorTickMark val="none"/>
        <c:minorTickMark val="none"/>
        <c:tickLblPos val="nextTo"/>
        <c:crossAx val="-2056016904"/>
        <c:crosses val="autoZero"/>
        <c:crossBetween val="midCat"/>
      </c:valAx>
    </c:plotArea>
    <c:legend>
      <c:legendPos val="b"/>
      <c:overlay val="0"/>
    </c:legend>
    <c:plotVisOnly val="1"/>
    <c:dispBlanksAs val="zero"/>
    <c:showDLblsOverMax val="0"/>
  </c:chart>
  <c:spPr>
    <a:ln>
      <a:noFill/>
    </a:ln>
  </c:spPr>
  <c:printSettings>
    <c:headerFooter/>
    <c:pageMargins b="1.0" l="0.75" r="0.75" t="1.0"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 of Proceeds to each Investor</a:t>
            </a:r>
          </a:p>
        </c:rich>
      </c:tx>
      <c:overlay val="0"/>
    </c:title>
    <c:autoTitleDeleted val="0"/>
    <c:plotArea>
      <c:layout/>
      <c:areaChart>
        <c:grouping val="percentStacked"/>
        <c:varyColors val="0"/>
        <c:ser>
          <c:idx val="0"/>
          <c:order val="0"/>
          <c:tx>
            <c:strRef>
              <c:f>'5 - Exit Waterfall Distribution'!$B$100:$C$100</c:f>
              <c:strCache>
                <c:ptCount val="1"/>
                <c:pt idx="0">
                  <c:v> A Investor   #REF! </c:v>
                </c:pt>
              </c:strCache>
            </c:strRef>
          </c:tx>
          <c:cat>
            <c:numRef>
              <c:f>'5 - Exit Waterfall Distribution'!$D$40:$H$40</c:f>
              <c:numCache>
                <c:formatCode>_(* #,##0_);_(* \(#,##0\);_(* "-"??_);_(@_)</c:formatCode>
                <c:ptCount val="5"/>
                <c:pt idx="0">
                  <c:v>937500.0</c:v>
                </c:pt>
                <c:pt idx="1">
                  <c:v>3.75E6</c:v>
                </c:pt>
                <c:pt idx="2">
                  <c:v>1.5E7</c:v>
                </c:pt>
                <c:pt idx="3">
                  <c:v>2.625E7</c:v>
                </c:pt>
                <c:pt idx="4">
                  <c:v>4.59375E7</c:v>
                </c:pt>
              </c:numCache>
            </c:numRef>
          </c:cat>
          <c:val>
            <c:numRef>
              <c:f>'5 - Exit Waterfall Distribution'!$D$100:$H$100</c:f>
              <c:numCache>
                <c:formatCode>_(* #,##0_);_(* \(#,##0\);_(* "-"??_);_(@_)</c:formatCode>
                <c:ptCount val="5"/>
                <c:pt idx="0">
                  <c:v>784714.2244149061</c:v>
                </c:pt>
                <c:pt idx="1">
                  <c:v>3.0E6</c:v>
                </c:pt>
                <c:pt idx="2">
                  <c:v>3.10685353189611E6</c:v>
                </c:pt>
                <c:pt idx="3">
                  <c:v>5.43699368081819E6</c:v>
                </c:pt>
                <c:pt idx="4">
                  <c:v>8.77238584127633E6</c:v>
                </c:pt>
              </c:numCache>
            </c:numRef>
          </c:val>
        </c:ser>
        <c:ser>
          <c:idx val="1"/>
          <c:order val="1"/>
          <c:tx>
            <c:strRef>
              <c:f>'5 - Exit Waterfall Distribution'!$B$101:$C$101</c:f>
              <c:strCache>
                <c:ptCount val="1"/>
                <c:pt idx="0">
                  <c:v> Seed Investor   #REF! </c:v>
                </c:pt>
              </c:strCache>
            </c:strRef>
          </c:tx>
          <c:cat>
            <c:numRef>
              <c:f>'5 - Exit Waterfall Distribution'!$D$40:$H$40</c:f>
              <c:numCache>
                <c:formatCode>_(* #,##0_);_(* \(#,##0\);_(* "-"??_);_(@_)</c:formatCode>
                <c:ptCount val="5"/>
                <c:pt idx="0">
                  <c:v>937500.0</c:v>
                </c:pt>
                <c:pt idx="1">
                  <c:v>3.75E6</c:v>
                </c:pt>
                <c:pt idx="2">
                  <c:v>1.5E7</c:v>
                </c:pt>
                <c:pt idx="3">
                  <c:v>2.625E7</c:v>
                </c:pt>
                <c:pt idx="4">
                  <c:v>4.59375E7</c:v>
                </c:pt>
              </c:numCache>
            </c:numRef>
          </c:cat>
          <c:val>
            <c:numRef>
              <c:f>'5 - Exit Waterfall Distribution'!$D$101:$H$101</c:f>
              <c:numCache>
                <c:formatCode>_(* #,##0_);_(* \(#,##0\);_(* "-"??_);_(@_)</c:formatCode>
                <c:ptCount val="5"/>
                <c:pt idx="0">
                  <c:v>152785.775585094</c:v>
                </c:pt>
                <c:pt idx="1">
                  <c:v>694702.441769822</c:v>
                </c:pt>
                <c:pt idx="2">
                  <c:v>1.86597886580969E6</c:v>
                </c:pt>
                <c:pt idx="3">
                  <c:v>3.56240425522916E6</c:v>
                </c:pt>
                <c:pt idx="4">
                  <c:v>6.38661072545756E6</c:v>
                </c:pt>
              </c:numCache>
            </c:numRef>
          </c:val>
        </c:ser>
        <c:ser>
          <c:idx val="2"/>
          <c:order val="2"/>
          <c:tx>
            <c:strRef>
              <c:f>'5 - Exit Waterfall Distribution'!$B$102:$C$102</c:f>
              <c:strCache>
                <c:ptCount val="1"/>
                <c:pt idx="0">
                  <c:v> Seed Investor 2 (Preferred and Common)   #REF! </c:v>
                </c:pt>
              </c:strCache>
            </c:strRef>
          </c:tx>
          <c:cat>
            <c:numRef>
              <c:f>'5 - Exit Waterfall Distribution'!$D$40:$H$40</c:f>
              <c:numCache>
                <c:formatCode>_(* #,##0_);_(* \(#,##0\);_(* "-"??_);_(@_)</c:formatCode>
                <c:ptCount val="5"/>
                <c:pt idx="0">
                  <c:v>937500.0</c:v>
                </c:pt>
                <c:pt idx="1">
                  <c:v>3.75E6</c:v>
                </c:pt>
                <c:pt idx="2">
                  <c:v>1.5E7</c:v>
                </c:pt>
                <c:pt idx="3">
                  <c:v>2.625E7</c:v>
                </c:pt>
                <c:pt idx="4">
                  <c:v>4.59375E7</c:v>
                </c:pt>
              </c:numCache>
            </c:numRef>
          </c:cat>
          <c:val>
            <c:numRef>
              <c:f>'5 - Exit Waterfall Distribution'!$D$102:$H$102</c:f>
              <c:numCache>
                <c:formatCode>_(* #,##0_);_(* \(#,##0\);_(* "-"??_);_(@_)</c:formatCode>
                <c:ptCount val="5"/>
                <c:pt idx="0">
                  <c:v>0.0</c:v>
                </c:pt>
                <c:pt idx="1">
                  <c:v>55297.55823017858</c:v>
                </c:pt>
                <c:pt idx="2">
                  <c:v>709350.129522184</c:v>
                </c:pt>
                <c:pt idx="3">
                  <c:v>1.40839217419881E6</c:v>
                </c:pt>
                <c:pt idx="4">
                  <c:v>2.6317157523829E6</c:v>
                </c:pt>
              </c:numCache>
            </c:numRef>
          </c:val>
        </c:ser>
        <c:ser>
          <c:idx val="3"/>
          <c:order val="3"/>
          <c:tx>
            <c:strRef>
              <c:f>'5 - Exit Waterfall Distribution'!$B$103:$C$103</c:f>
              <c:strCache>
                <c:ptCount val="1"/>
                <c:pt idx="0">
                  <c:v> Co-Founder   #REF! </c:v>
                </c:pt>
              </c:strCache>
            </c:strRef>
          </c:tx>
          <c:cat>
            <c:numRef>
              <c:f>'5 - Exit Waterfall Distribution'!$D$40:$H$40</c:f>
              <c:numCache>
                <c:formatCode>_(* #,##0_);_(* \(#,##0\);_(* "-"??_);_(@_)</c:formatCode>
                <c:ptCount val="5"/>
                <c:pt idx="0">
                  <c:v>937500.0</c:v>
                </c:pt>
                <c:pt idx="1">
                  <c:v>3.75E6</c:v>
                </c:pt>
                <c:pt idx="2">
                  <c:v>1.5E7</c:v>
                </c:pt>
                <c:pt idx="3">
                  <c:v>2.625E7</c:v>
                </c:pt>
                <c:pt idx="4">
                  <c:v>4.59375E7</c:v>
                </c:pt>
              </c:numCache>
            </c:numRef>
          </c:cat>
          <c:val>
            <c:numRef>
              <c:f>'5 - Exit Waterfall Distribution'!$D$103:$H$103</c:f>
              <c:numCache>
                <c:formatCode>_(* #,##0_);_(* \(#,##0\);_(* "-"??_);_(@_)</c:formatCode>
                <c:ptCount val="5"/>
                <c:pt idx="0">
                  <c:v>0.0</c:v>
                </c:pt>
                <c:pt idx="1">
                  <c:v>0.0</c:v>
                </c:pt>
                <c:pt idx="2">
                  <c:v>3.40488062170648E6</c:v>
                </c:pt>
                <c:pt idx="3">
                  <c:v>6.76028243615428E6</c:v>
                </c:pt>
                <c:pt idx="4">
                  <c:v>1.26322356114379E7</c:v>
                </c:pt>
              </c:numCache>
            </c:numRef>
          </c:val>
        </c:ser>
        <c:ser>
          <c:idx val="4"/>
          <c:order val="4"/>
          <c:tx>
            <c:strRef>
              <c:f>'5 - Exit Waterfall Distribution'!$B$104:$C$104</c:f>
              <c:strCache>
                <c:ptCount val="1"/>
                <c:pt idx="0">
                  <c:v> Co-Founder   #REF! </c:v>
                </c:pt>
              </c:strCache>
            </c:strRef>
          </c:tx>
          <c:cat>
            <c:numRef>
              <c:f>'5 - Exit Waterfall Distribution'!$D$40:$H$40</c:f>
              <c:numCache>
                <c:formatCode>_(* #,##0_);_(* \(#,##0\);_(* "-"??_);_(@_)</c:formatCode>
                <c:ptCount val="5"/>
                <c:pt idx="0">
                  <c:v>937500.0</c:v>
                </c:pt>
                <c:pt idx="1">
                  <c:v>3.75E6</c:v>
                </c:pt>
                <c:pt idx="2">
                  <c:v>1.5E7</c:v>
                </c:pt>
                <c:pt idx="3">
                  <c:v>2.625E7</c:v>
                </c:pt>
                <c:pt idx="4">
                  <c:v>4.59375E7</c:v>
                </c:pt>
              </c:numCache>
            </c:numRef>
          </c:cat>
          <c:val>
            <c:numRef>
              <c:f>'5 - Exit Waterfall Distribution'!$D$104:$H$104</c:f>
              <c:numCache>
                <c:formatCode>_(* #,##0_);_(* \(#,##0\);_(* "-"??_);_(@_)</c:formatCode>
                <c:ptCount val="5"/>
                <c:pt idx="0">
                  <c:v>0.0</c:v>
                </c:pt>
                <c:pt idx="1">
                  <c:v>0.0</c:v>
                </c:pt>
                <c:pt idx="2">
                  <c:v>1.70244031085324E6</c:v>
                </c:pt>
                <c:pt idx="3">
                  <c:v>3.38014121807714E6</c:v>
                </c:pt>
                <c:pt idx="4">
                  <c:v>6.31611780571896E6</c:v>
                </c:pt>
              </c:numCache>
            </c:numRef>
          </c:val>
        </c:ser>
        <c:ser>
          <c:idx val="5"/>
          <c:order val="5"/>
          <c:tx>
            <c:strRef>
              <c:f>'5 - Exit Waterfall Distribution'!$B$105:$C$105</c:f>
              <c:strCache>
                <c:ptCount val="1"/>
                <c:pt idx="0">
                  <c:v> Employee   #REF! </c:v>
                </c:pt>
              </c:strCache>
            </c:strRef>
          </c:tx>
          <c:spPr>
            <a:ln w="25400">
              <a:noFill/>
            </a:ln>
          </c:spPr>
          <c:cat>
            <c:numRef>
              <c:f>'5 - Exit Waterfall Distribution'!$D$40:$H$40</c:f>
              <c:numCache>
                <c:formatCode>_(* #,##0_);_(* \(#,##0\);_(* "-"??_);_(@_)</c:formatCode>
                <c:ptCount val="5"/>
                <c:pt idx="0">
                  <c:v>937500.0</c:v>
                </c:pt>
                <c:pt idx="1">
                  <c:v>3.75E6</c:v>
                </c:pt>
                <c:pt idx="2">
                  <c:v>1.5E7</c:v>
                </c:pt>
                <c:pt idx="3">
                  <c:v>2.625E7</c:v>
                </c:pt>
                <c:pt idx="4">
                  <c:v>4.59375E7</c:v>
                </c:pt>
              </c:numCache>
            </c:numRef>
          </c:cat>
          <c:val>
            <c:numRef>
              <c:f>'5 - Exit Waterfall Distribution'!$D$105:$H$105</c:f>
              <c:numCache>
                <c:formatCode>_(* #,##0_);_(* \(#,##0\);_(* "-"??_);_(@_)</c:formatCode>
                <c:ptCount val="5"/>
                <c:pt idx="0">
                  <c:v>0.0</c:v>
                </c:pt>
                <c:pt idx="1">
                  <c:v>0.0</c:v>
                </c:pt>
                <c:pt idx="2">
                  <c:v>397236.072532423</c:v>
                </c:pt>
                <c:pt idx="3">
                  <c:v>788699.6175513328</c:v>
                </c:pt>
                <c:pt idx="4">
                  <c:v>1.47376082133442E6</c:v>
                </c:pt>
              </c:numCache>
            </c:numRef>
          </c:val>
        </c:ser>
        <c:ser>
          <c:idx val="6"/>
          <c:order val="6"/>
          <c:tx>
            <c:strRef>
              <c:f>'5 - Exit Waterfall Distribution'!$B$106:$C$106</c:f>
              <c:strCache>
                <c:ptCount val="1"/>
                <c:pt idx="0">
                  <c:v> Employee   #REF! </c:v>
                </c:pt>
              </c:strCache>
            </c:strRef>
          </c:tx>
          <c:spPr>
            <a:ln w="25400">
              <a:noFill/>
            </a:ln>
          </c:spPr>
          <c:cat>
            <c:numRef>
              <c:f>'5 - Exit Waterfall Distribution'!$D$40:$H$40</c:f>
              <c:numCache>
                <c:formatCode>_(* #,##0_);_(* \(#,##0\);_(* "-"??_);_(@_)</c:formatCode>
                <c:ptCount val="5"/>
                <c:pt idx="0">
                  <c:v>937500.0</c:v>
                </c:pt>
                <c:pt idx="1">
                  <c:v>3.75E6</c:v>
                </c:pt>
                <c:pt idx="2">
                  <c:v>1.5E7</c:v>
                </c:pt>
                <c:pt idx="3">
                  <c:v>2.625E7</c:v>
                </c:pt>
                <c:pt idx="4">
                  <c:v>4.59375E7</c:v>
                </c:pt>
              </c:numCache>
            </c:numRef>
          </c:cat>
          <c:val>
            <c:numRef>
              <c:f>'5 - Exit Waterfall Distribution'!$D$106:$H$106</c:f>
              <c:numCache>
                <c:formatCode>_(* #,##0_);_(* \(#,##0\);_(* "-"??_);_(@_)</c:formatCode>
                <c:ptCount val="5"/>
                <c:pt idx="0">
                  <c:v>0.0</c:v>
                </c:pt>
                <c:pt idx="1">
                  <c:v>0.0</c:v>
                </c:pt>
                <c:pt idx="2">
                  <c:v>170244.0310853242</c:v>
                </c:pt>
                <c:pt idx="3">
                  <c:v>338014.121807714</c:v>
                </c:pt>
                <c:pt idx="4">
                  <c:v>631611.7805718962</c:v>
                </c:pt>
              </c:numCache>
            </c:numRef>
          </c:val>
        </c:ser>
        <c:ser>
          <c:idx val="7"/>
          <c:order val="7"/>
          <c:tx>
            <c:strRef>
              <c:f>'5 - Exit Waterfall Distribution'!$B$107:$C$107</c:f>
              <c:strCache>
                <c:ptCount val="1"/>
                <c:pt idx="0">
                  <c:v> Options Granted and Exercised   #REF! </c:v>
                </c:pt>
              </c:strCache>
            </c:strRef>
          </c:tx>
          <c:spPr>
            <a:ln w="25400">
              <a:noFill/>
            </a:ln>
          </c:spPr>
          <c:cat>
            <c:numRef>
              <c:f>'5 - Exit Waterfall Distribution'!$D$40:$H$40</c:f>
              <c:numCache>
                <c:formatCode>_(* #,##0_);_(* \(#,##0\);_(* "-"??_);_(@_)</c:formatCode>
                <c:ptCount val="5"/>
                <c:pt idx="0">
                  <c:v>937500.0</c:v>
                </c:pt>
                <c:pt idx="1">
                  <c:v>3.75E6</c:v>
                </c:pt>
                <c:pt idx="2">
                  <c:v>1.5E7</c:v>
                </c:pt>
                <c:pt idx="3">
                  <c:v>2.625E7</c:v>
                </c:pt>
                <c:pt idx="4">
                  <c:v>4.59375E7</c:v>
                </c:pt>
              </c:numCache>
            </c:numRef>
          </c:cat>
          <c:val>
            <c:numRef>
              <c:f>'5 - Exit Waterfall Distribution'!$D$107:$H$107</c:f>
              <c:numCache>
                <c:formatCode>_(* #,##0_);_(* \(#,##0\);_(* "-"??_);_(@_)</c:formatCode>
                <c:ptCount val="5"/>
                <c:pt idx="0">
                  <c:v>0.0</c:v>
                </c:pt>
                <c:pt idx="1">
                  <c:v>0.0</c:v>
                </c:pt>
                <c:pt idx="2">
                  <c:v>945800.1726962451</c:v>
                </c:pt>
                <c:pt idx="3">
                  <c:v>1.87785623226508E6</c:v>
                </c:pt>
                <c:pt idx="4">
                  <c:v>3.50895433651053E6</c:v>
                </c:pt>
              </c:numCache>
            </c:numRef>
          </c:val>
        </c:ser>
        <c:dLbls>
          <c:showLegendKey val="0"/>
          <c:showVal val="0"/>
          <c:showCatName val="0"/>
          <c:showSerName val="0"/>
          <c:showPercent val="0"/>
          <c:showBubbleSize val="0"/>
        </c:dLbls>
        <c:axId val="-2141341096"/>
        <c:axId val="-2141338120"/>
      </c:areaChart>
      <c:catAx>
        <c:axId val="-2141341096"/>
        <c:scaling>
          <c:orientation val="minMax"/>
        </c:scaling>
        <c:delete val="0"/>
        <c:axPos val="b"/>
        <c:numFmt formatCode="_(* #,##0_);_(* \(#,##0\);_(* &quot;-&quot;??_);_(@_)" sourceLinked="1"/>
        <c:majorTickMark val="none"/>
        <c:minorTickMark val="none"/>
        <c:tickLblPos val="nextTo"/>
        <c:crossAx val="-2141338120"/>
        <c:crosses val="autoZero"/>
        <c:auto val="1"/>
        <c:lblAlgn val="ctr"/>
        <c:lblOffset val="100"/>
        <c:noMultiLvlLbl val="0"/>
      </c:catAx>
      <c:valAx>
        <c:axId val="-2141338120"/>
        <c:scaling>
          <c:orientation val="minMax"/>
        </c:scaling>
        <c:delete val="0"/>
        <c:axPos val="l"/>
        <c:majorGridlines/>
        <c:numFmt formatCode="0%" sourceLinked="1"/>
        <c:majorTickMark val="none"/>
        <c:minorTickMark val="none"/>
        <c:tickLblPos val="nextTo"/>
        <c:crossAx val="-2141341096"/>
        <c:crosses val="autoZero"/>
        <c:crossBetween val="midCat"/>
      </c:valAx>
    </c:plotArea>
    <c:legend>
      <c:legendPos val="b"/>
      <c:overlay val="0"/>
    </c:legend>
    <c:plotVisOnly val="1"/>
    <c:dispBlanksAs val="zero"/>
    <c:showDLblsOverMax val="0"/>
  </c:chart>
  <c:spPr>
    <a:ln>
      <a:noFill/>
    </a:ln>
  </c:spPr>
  <c:printSettings>
    <c:headerFooter/>
    <c:pageMargins b="1.0" l="0.75" r="0.75" t="1.0"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Total</a:t>
            </a:r>
            <a:r>
              <a:rPr lang="en-US" baseline="0"/>
              <a:t> Proceeds Distributed to each Investor</a:t>
            </a:r>
            <a:endParaRPr lang="en-US"/>
          </a:p>
        </c:rich>
      </c:tx>
      <c:overlay val="0"/>
    </c:title>
    <c:autoTitleDeleted val="0"/>
    <c:plotArea>
      <c:layout/>
      <c:areaChart>
        <c:grouping val="stacked"/>
        <c:varyColors val="0"/>
        <c:ser>
          <c:idx val="0"/>
          <c:order val="0"/>
          <c:tx>
            <c:strRef>
              <c:f>'5 - Exit Waterfall Distribution'!$B$100:$C$100</c:f>
              <c:strCache>
                <c:ptCount val="1"/>
                <c:pt idx="0">
                  <c:v> A Investor   #REF! </c:v>
                </c:pt>
              </c:strCache>
            </c:strRef>
          </c:tx>
          <c:cat>
            <c:numRef>
              <c:f>'5 - Exit Waterfall Distribution'!$D$40:$H$40</c:f>
              <c:numCache>
                <c:formatCode>_(* #,##0_);_(* \(#,##0\);_(* "-"??_);_(@_)</c:formatCode>
                <c:ptCount val="5"/>
                <c:pt idx="0">
                  <c:v>937500.0</c:v>
                </c:pt>
                <c:pt idx="1">
                  <c:v>3.75E6</c:v>
                </c:pt>
                <c:pt idx="2">
                  <c:v>1.5E7</c:v>
                </c:pt>
                <c:pt idx="3">
                  <c:v>2.625E7</c:v>
                </c:pt>
                <c:pt idx="4">
                  <c:v>4.59375E7</c:v>
                </c:pt>
              </c:numCache>
            </c:numRef>
          </c:cat>
          <c:val>
            <c:numRef>
              <c:f>'5 - Exit Waterfall Distribution'!$D$100:$H$100</c:f>
              <c:numCache>
                <c:formatCode>_(* #,##0_);_(* \(#,##0\);_(* "-"??_);_(@_)</c:formatCode>
                <c:ptCount val="5"/>
                <c:pt idx="0">
                  <c:v>784714.2244149061</c:v>
                </c:pt>
                <c:pt idx="1">
                  <c:v>3.0E6</c:v>
                </c:pt>
                <c:pt idx="2">
                  <c:v>3.10685353189611E6</c:v>
                </c:pt>
                <c:pt idx="3">
                  <c:v>5.43699368081819E6</c:v>
                </c:pt>
                <c:pt idx="4">
                  <c:v>8.77238584127633E6</c:v>
                </c:pt>
              </c:numCache>
            </c:numRef>
          </c:val>
        </c:ser>
        <c:ser>
          <c:idx val="1"/>
          <c:order val="1"/>
          <c:tx>
            <c:strRef>
              <c:f>'5 - Exit Waterfall Distribution'!$B$101:$C$101</c:f>
              <c:strCache>
                <c:ptCount val="1"/>
                <c:pt idx="0">
                  <c:v> Seed Investor   #REF! </c:v>
                </c:pt>
              </c:strCache>
            </c:strRef>
          </c:tx>
          <c:cat>
            <c:numRef>
              <c:f>'5 - Exit Waterfall Distribution'!$D$40:$H$40</c:f>
              <c:numCache>
                <c:formatCode>_(* #,##0_);_(* \(#,##0\);_(* "-"??_);_(@_)</c:formatCode>
                <c:ptCount val="5"/>
                <c:pt idx="0">
                  <c:v>937500.0</c:v>
                </c:pt>
                <c:pt idx="1">
                  <c:v>3.75E6</c:v>
                </c:pt>
                <c:pt idx="2">
                  <c:v>1.5E7</c:v>
                </c:pt>
                <c:pt idx="3">
                  <c:v>2.625E7</c:v>
                </c:pt>
                <c:pt idx="4">
                  <c:v>4.59375E7</c:v>
                </c:pt>
              </c:numCache>
            </c:numRef>
          </c:cat>
          <c:val>
            <c:numRef>
              <c:f>'5 - Exit Waterfall Distribution'!$D$101:$H$101</c:f>
              <c:numCache>
                <c:formatCode>_(* #,##0_);_(* \(#,##0\);_(* "-"??_);_(@_)</c:formatCode>
                <c:ptCount val="5"/>
                <c:pt idx="0">
                  <c:v>152785.775585094</c:v>
                </c:pt>
                <c:pt idx="1">
                  <c:v>694702.441769822</c:v>
                </c:pt>
                <c:pt idx="2">
                  <c:v>1.86597886580969E6</c:v>
                </c:pt>
                <c:pt idx="3">
                  <c:v>3.56240425522916E6</c:v>
                </c:pt>
                <c:pt idx="4">
                  <c:v>6.38661072545756E6</c:v>
                </c:pt>
              </c:numCache>
            </c:numRef>
          </c:val>
        </c:ser>
        <c:ser>
          <c:idx val="2"/>
          <c:order val="2"/>
          <c:tx>
            <c:strRef>
              <c:f>'5 - Exit Waterfall Distribution'!$B$102:$C$102</c:f>
              <c:strCache>
                <c:ptCount val="1"/>
                <c:pt idx="0">
                  <c:v> Seed Investor 2 (Preferred and Common)   #REF! </c:v>
                </c:pt>
              </c:strCache>
            </c:strRef>
          </c:tx>
          <c:cat>
            <c:numRef>
              <c:f>'5 - Exit Waterfall Distribution'!$D$40:$H$40</c:f>
              <c:numCache>
                <c:formatCode>_(* #,##0_);_(* \(#,##0\);_(* "-"??_);_(@_)</c:formatCode>
                <c:ptCount val="5"/>
                <c:pt idx="0">
                  <c:v>937500.0</c:v>
                </c:pt>
                <c:pt idx="1">
                  <c:v>3.75E6</c:v>
                </c:pt>
                <c:pt idx="2">
                  <c:v>1.5E7</c:v>
                </c:pt>
                <c:pt idx="3">
                  <c:v>2.625E7</c:v>
                </c:pt>
                <c:pt idx="4">
                  <c:v>4.59375E7</c:v>
                </c:pt>
              </c:numCache>
            </c:numRef>
          </c:cat>
          <c:val>
            <c:numRef>
              <c:f>'5 - Exit Waterfall Distribution'!$D$102:$H$102</c:f>
              <c:numCache>
                <c:formatCode>_(* #,##0_);_(* \(#,##0\);_(* "-"??_);_(@_)</c:formatCode>
                <c:ptCount val="5"/>
                <c:pt idx="0">
                  <c:v>0.0</c:v>
                </c:pt>
                <c:pt idx="1">
                  <c:v>55297.55823017858</c:v>
                </c:pt>
                <c:pt idx="2">
                  <c:v>709350.129522184</c:v>
                </c:pt>
                <c:pt idx="3">
                  <c:v>1.40839217419881E6</c:v>
                </c:pt>
                <c:pt idx="4">
                  <c:v>2.6317157523829E6</c:v>
                </c:pt>
              </c:numCache>
            </c:numRef>
          </c:val>
        </c:ser>
        <c:ser>
          <c:idx val="3"/>
          <c:order val="3"/>
          <c:tx>
            <c:strRef>
              <c:f>'5 - Exit Waterfall Distribution'!$B$103:$C$103</c:f>
              <c:strCache>
                <c:ptCount val="1"/>
                <c:pt idx="0">
                  <c:v> Co-Founder   #REF! </c:v>
                </c:pt>
              </c:strCache>
            </c:strRef>
          </c:tx>
          <c:cat>
            <c:numRef>
              <c:f>'5 - Exit Waterfall Distribution'!$D$40:$H$40</c:f>
              <c:numCache>
                <c:formatCode>_(* #,##0_);_(* \(#,##0\);_(* "-"??_);_(@_)</c:formatCode>
                <c:ptCount val="5"/>
                <c:pt idx="0">
                  <c:v>937500.0</c:v>
                </c:pt>
                <c:pt idx="1">
                  <c:v>3.75E6</c:v>
                </c:pt>
                <c:pt idx="2">
                  <c:v>1.5E7</c:v>
                </c:pt>
                <c:pt idx="3">
                  <c:v>2.625E7</c:v>
                </c:pt>
                <c:pt idx="4">
                  <c:v>4.59375E7</c:v>
                </c:pt>
              </c:numCache>
            </c:numRef>
          </c:cat>
          <c:val>
            <c:numRef>
              <c:f>'5 - Exit Waterfall Distribution'!$D$103:$H$103</c:f>
              <c:numCache>
                <c:formatCode>_(* #,##0_);_(* \(#,##0\);_(* "-"??_);_(@_)</c:formatCode>
                <c:ptCount val="5"/>
                <c:pt idx="0">
                  <c:v>0.0</c:v>
                </c:pt>
                <c:pt idx="1">
                  <c:v>0.0</c:v>
                </c:pt>
                <c:pt idx="2">
                  <c:v>3.40488062170648E6</c:v>
                </c:pt>
                <c:pt idx="3">
                  <c:v>6.76028243615428E6</c:v>
                </c:pt>
                <c:pt idx="4">
                  <c:v>1.26322356114379E7</c:v>
                </c:pt>
              </c:numCache>
            </c:numRef>
          </c:val>
        </c:ser>
        <c:ser>
          <c:idx val="4"/>
          <c:order val="4"/>
          <c:tx>
            <c:strRef>
              <c:f>'5 - Exit Waterfall Distribution'!$B$104:$C$104</c:f>
              <c:strCache>
                <c:ptCount val="1"/>
                <c:pt idx="0">
                  <c:v> Co-Founder   #REF! </c:v>
                </c:pt>
              </c:strCache>
            </c:strRef>
          </c:tx>
          <c:cat>
            <c:numRef>
              <c:f>'5 - Exit Waterfall Distribution'!$D$40:$H$40</c:f>
              <c:numCache>
                <c:formatCode>_(* #,##0_);_(* \(#,##0\);_(* "-"??_);_(@_)</c:formatCode>
                <c:ptCount val="5"/>
                <c:pt idx="0">
                  <c:v>937500.0</c:v>
                </c:pt>
                <c:pt idx="1">
                  <c:v>3.75E6</c:v>
                </c:pt>
                <c:pt idx="2">
                  <c:v>1.5E7</c:v>
                </c:pt>
                <c:pt idx="3">
                  <c:v>2.625E7</c:v>
                </c:pt>
                <c:pt idx="4">
                  <c:v>4.59375E7</c:v>
                </c:pt>
              </c:numCache>
            </c:numRef>
          </c:cat>
          <c:val>
            <c:numRef>
              <c:f>'5 - Exit Waterfall Distribution'!$D$104:$H$104</c:f>
              <c:numCache>
                <c:formatCode>_(* #,##0_);_(* \(#,##0\);_(* "-"??_);_(@_)</c:formatCode>
                <c:ptCount val="5"/>
                <c:pt idx="0">
                  <c:v>0.0</c:v>
                </c:pt>
                <c:pt idx="1">
                  <c:v>0.0</c:v>
                </c:pt>
                <c:pt idx="2">
                  <c:v>1.70244031085324E6</c:v>
                </c:pt>
                <c:pt idx="3">
                  <c:v>3.38014121807714E6</c:v>
                </c:pt>
                <c:pt idx="4">
                  <c:v>6.31611780571896E6</c:v>
                </c:pt>
              </c:numCache>
            </c:numRef>
          </c:val>
        </c:ser>
        <c:ser>
          <c:idx val="5"/>
          <c:order val="5"/>
          <c:tx>
            <c:strRef>
              <c:f>'5 - Exit Waterfall Distribution'!$B$105:$C$105</c:f>
              <c:strCache>
                <c:ptCount val="1"/>
                <c:pt idx="0">
                  <c:v> Employee   #REF! </c:v>
                </c:pt>
              </c:strCache>
            </c:strRef>
          </c:tx>
          <c:spPr>
            <a:ln w="25400">
              <a:noFill/>
            </a:ln>
          </c:spPr>
          <c:cat>
            <c:numRef>
              <c:f>'5 - Exit Waterfall Distribution'!$D$40:$H$40</c:f>
              <c:numCache>
                <c:formatCode>_(* #,##0_);_(* \(#,##0\);_(* "-"??_);_(@_)</c:formatCode>
                <c:ptCount val="5"/>
                <c:pt idx="0">
                  <c:v>937500.0</c:v>
                </c:pt>
                <c:pt idx="1">
                  <c:v>3.75E6</c:v>
                </c:pt>
                <c:pt idx="2">
                  <c:v>1.5E7</c:v>
                </c:pt>
                <c:pt idx="3">
                  <c:v>2.625E7</c:v>
                </c:pt>
                <c:pt idx="4">
                  <c:v>4.59375E7</c:v>
                </c:pt>
              </c:numCache>
            </c:numRef>
          </c:cat>
          <c:val>
            <c:numRef>
              <c:f>'5 - Exit Waterfall Distribution'!$D$105:$H$105</c:f>
              <c:numCache>
                <c:formatCode>_(* #,##0_);_(* \(#,##0\);_(* "-"??_);_(@_)</c:formatCode>
                <c:ptCount val="5"/>
                <c:pt idx="0">
                  <c:v>0.0</c:v>
                </c:pt>
                <c:pt idx="1">
                  <c:v>0.0</c:v>
                </c:pt>
                <c:pt idx="2">
                  <c:v>397236.072532423</c:v>
                </c:pt>
                <c:pt idx="3">
                  <c:v>788699.6175513328</c:v>
                </c:pt>
                <c:pt idx="4">
                  <c:v>1.47376082133442E6</c:v>
                </c:pt>
              </c:numCache>
            </c:numRef>
          </c:val>
        </c:ser>
        <c:ser>
          <c:idx val="6"/>
          <c:order val="6"/>
          <c:tx>
            <c:strRef>
              <c:f>'5 - Exit Waterfall Distribution'!$B$106:$C$106</c:f>
              <c:strCache>
                <c:ptCount val="1"/>
                <c:pt idx="0">
                  <c:v> Employee   #REF! </c:v>
                </c:pt>
              </c:strCache>
            </c:strRef>
          </c:tx>
          <c:spPr>
            <a:ln w="25400">
              <a:noFill/>
            </a:ln>
          </c:spPr>
          <c:cat>
            <c:numRef>
              <c:f>'5 - Exit Waterfall Distribution'!$D$40:$H$40</c:f>
              <c:numCache>
                <c:formatCode>_(* #,##0_);_(* \(#,##0\);_(* "-"??_);_(@_)</c:formatCode>
                <c:ptCount val="5"/>
                <c:pt idx="0">
                  <c:v>937500.0</c:v>
                </c:pt>
                <c:pt idx="1">
                  <c:v>3.75E6</c:v>
                </c:pt>
                <c:pt idx="2">
                  <c:v>1.5E7</c:v>
                </c:pt>
                <c:pt idx="3">
                  <c:v>2.625E7</c:v>
                </c:pt>
                <c:pt idx="4">
                  <c:v>4.59375E7</c:v>
                </c:pt>
              </c:numCache>
            </c:numRef>
          </c:cat>
          <c:val>
            <c:numRef>
              <c:f>'5 - Exit Waterfall Distribution'!$D$106:$H$106</c:f>
              <c:numCache>
                <c:formatCode>_(* #,##0_);_(* \(#,##0\);_(* "-"??_);_(@_)</c:formatCode>
                <c:ptCount val="5"/>
                <c:pt idx="0">
                  <c:v>0.0</c:v>
                </c:pt>
                <c:pt idx="1">
                  <c:v>0.0</c:v>
                </c:pt>
                <c:pt idx="2">
                  <c:v>170244.0310853242</c:v>
                </c:pt>
                <c:pt idx="3">
                  <c:v>338014.121807714</c:v>
                </c:pt>
                <c:pt idx="4">
                  <c:v>631611.7805718962</c:v>
                </c:pt>
              </c:numCache>
            </c:numRef>
          </c:val>
        </c:ser>
        <c:ser>
          <c:idx val="7"/>
          <c:order val="7"/>
          <c:tx>
            <c:strRef>
              <c:f>'5 - Exit Waterfall Distribution'!$B$107:$C$107</c:f>
              <c:strCache>
                <c:ptCount val="1"/>
                <c:pt idx="0">
                  <c:v> Options Granted and Exercised   #REF! </c:v>
                </c:pt>
              </c:strCache>
            </c:strRef>
          </c:tx>
          <c:spPr>
            <a:ln w="25400">
              <a:noFill/>
            </a:ln>
          </c:spPr>
          <c:cat>
            <c:numRef>
              <c:f>'5 - Exit Waterfall Distribution'!$D$40:$H$40</c:f>
              <c:numCache>
                <c:formatCode>_(* #,##0_);_(* \(#,##0\);_(* "-"??_);_(@_)</c:formatCode>
                <c:ptCount val="5"/>
                <c:pt idx="0">
                  <c:v>937500.0</c:v>
                </c:pt>
                <c:pt idx="1">
                  <c:v>3.75E6</c:v>
                </c:pt>
                <c:pt idx="2">
                  <c:v>1.5E7</c:v>
                </c:pt>
                <c:pt idx="3">
                  <c:v>2.625E7</c:v>
                </c:pt>
                <c:pt idx="4">
                  <c:v>4.59375E7</c:v>
                </c:pt>
              </c:numCache>
            </c:numRef>
          </c:cat>
          <c:val>
            <c:numRef>
              <c:f>'5 - Exit Waterfall Distribution'!$D$107:$H$107</c:f>
              <c:numCache>
                <c:formatCode>_(* #,##0_);_(* \(#,##0\);_(* "-"??_);_(@_)</c:formatCode>
                <c:ptCount val="5"/>
                <c:pt idx="0">
                  <c:v>0.0</c:v>
                </c:pt>
                <c:pt idx="1">
                  <c:v>0.0</c:v>
                </c:pt>
                <c:pt idx="2">
                  <c:v>945800.1726962451</c:v>
                </c:pt>
                <c:pt idx="3">
                  <c:v>1.87785623226508E6</c:v>
                </c:pt>
                <c:pt idx="4">
                  <c:v>3.50895433651053E6</c:v>
                </c:pt>
              </c:numCache>
            </c:numRef>
          </c:val>
        </c:ser>
        <c:dLbls>
          <c:showLegendKey val="0"/>
          <c:showVal val="0"/>
          <c:showCatName val="0"/>
          <c:showSerName val="0"/>
          <c:showPercent val="0"/>
          <c:showBubbleSize val="0"/>
        </c:dLbls>
        <c:axId val="-2145642280"/>
        <c:axId val="-2072444168"/>
      </c:areaChart>
      <c:catAx>
        <c:axId val="-2145642280"/>
        <c:scaling>
          <c:orientation val="minMax"/>
        </c:scaling>
        <c:delete val="0"/>
        <c:axPos val="b"/>
        <c:numFmt formatCode="_(* #,##0_);_(* \(#,##0\);_(* &quot;-&quot;??_);_(@_)" sourceLinked="1"/>
        <c:majorTickMark val="none"/>
        <c:minorTickMark val="none"/>
        <c:tickLblPos val="nextTo"/>
        <c:crossAx val="-2072444168"/>
        <c:crosses val="autoZero"/>
        <c:auto val="1"/>
        <c:lblAlgn val="ctr"/>
        <c:lblOffset val="100"/>
        <c:noMultiLvlLbl val="0"/>
      </c:catAx>
      <c:valAx>
        <c:axId val="-2072444168"/>
        <c:scaling>
          <c:orientation val="minMax"/>
        </c:scaling>
        <c:delete val="0"/>
        <c:axPos val="l"/>
        <c:majorGridlines/>
        <c:numFmt formatCode="_(* #,##0_);_(* \(#,##0\);_(* &quot;-&quot;??_);_(@_)" sourceLinked="1"/>
        <c:majorTickMark val="none"/>
        <c:minorTickMark val="none"/>
        <c:tickLblPos val="nextTo"/>
        <c:crossAx val="-2145642280"/>
        <c:crosses val="autoZero"/>
        <c:crossBetween val="midCat"/>
      </c:valAx>
    </c:plotArea>
    <c:legend>
      <c:legendPos val="b"/>
      <c:overlay val="0"/>
    </c:legend>
    <c:plotVisOnly val="1"/>
    <c:dispBlanksAs val="zero"/>
    <c:showDLblsOverMax val="0"/>
  </c:chart>
  <c:spPr>
    <a:ln>
      <a:noFill/>
    </a:ln>
  </c:spPr>
  <c:printSettings>
    <c:headerFooter/>
    <c:pageMargins b="1.0" l="0.75" r="0.75" t="1.0" header="0.5" footer="0.5"/>
    <c:pageSetup/>
  </c:printSettings>
</c:chartSpace>
</file>

<file path=xl/drawings/_rels/drawing2.xml.rels><?xml version="1.0" encoding="UTF-8" standalone="yes"?>
<Relationships xmlns="http://schemas.openxmlformats.org/package/2006/relationships"><Relationship Id="rId3" Type="http://schemas.openxmlformats.org/officeDocument/2006/relationships/hyperlink" Target="https://foresight.is/learn/support" TargetMode="External"/><Relationship Id="rId4" Type="http://schemas.openxmlformats.org/officeDocument/2006/relationships/hyperlink" Target="https://foresight.is/learn" TargetMode="External"/><Relationship Id="rId1" Type="http://schemas.openxmlformats.org/officeDocument/2006/relationships/hyperlink" Target="https://foresight.is/services" TargetMode="External"/><Relationship Id="rId2"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 Id="rId2"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330200</xdr:colOff>
      <xdr:row>0</xdr:row>
      <xdr:rowOff>114300</xdr:rowOff>
    </xdr:from>
    <xdr:to>
      <xdr:col>1</xdr:col>
      <xdr:colOff>7073900</xdr:colOff>
      <xdr:row>13</xdr:row>
      <xdr:rowOff>114300</xdr:rowOff>
    </xdr:to>
    <xdr:sp macro="" textlink="">
      <xdr:nvSpPr>
        <xdr:cNvPr id="2" name="Rectangle 1"/>
        <xdr:cNvSpPr/>
      </xdr:nvSpPr>
      <xdr:spPr>
        <a:xfrm>
          <a:off x="330200" y="114300"/>
          <a:ext cx="7188200" cy="2628900"/>
        </a:xfrm>
        <a:prstGeom prst="rect">
          <a:avLst/>
        </a:prstGeom>
        <a:gradFill flip="none" rotWithShape="1">
          <a:gsLst>
            <a:gs pos="0">
              <a:schemeClr val="accent1">
                <a:tint val="100000"/>
                <a:shade val="100000"/>
                <a:satMod val="130000"/>
                <a:alpha val="8000"/>
              </a:schemeClr>
            </a:gs>
            <a:gs pos="100000">
              <a:schemeClr val="accent1">
                <a:tint val="50000"/>
                <a:shade val="100000"/>
                <a:satMod val="350000"/>
                <a:alpha val="8000"/>
              </a:schemeClr>
            </a:gs>
          </a:gsLst>
          <a:lin ang="16200000" scaled="0"/>
          <a:tileRect/>
        </a:gradFill>
        <a:ln>
          <a:solidFill>
            <a:schemeClr val="accent1">
              <a:shade val="95000"/>
              <a:satMod val="105000"/>
              <a:alpha val="16000"/>
            </a:schemeClr>
          </a:solidFill>
        </a:ln>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711200</xdr:colOff>
      <xdr:row>1</xdr:row>
      <xdr:rowOff>50800</xdr:rowOff>
    </xdr:from>
    <xdr:to>
      <xdr:col>8</xdr:col>
      <xdr:colOff>491661</xdr:colOff>
      <xdr:row>24</xdr:row>
      <xdr:rowOff>92870</xdr:rowOff>
    </xdr:to>
    <xdr:pic>
      <xdr:nvPicPr>
        <xdr:cNvPr id="2" name="Picture 1" descr="get started.png">
          <a:hlinkClick xmlns:r="http://schemas.openxmlformats.org/officeDocument/2006/relationships" r:id="rId1"/>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7874000" y="266700"/>
          <a:ext cx="12594761" cy="7141370"/>
        </a:xfrm>
        <a:prstGeom prst="rect">
          <a:avLst/>
        </a:prstGeom>
      </xdr:spPr>
    </xdr:pic>
    <xdr:clientData/>
  </xdr:twoCellAnchor>
  <xdr:twoCellAnchor>
    <xdr:from>
      <xdr:col>0</xdr:col>
      <xdr:colOff>635000</xdr:colOff>
      <xdr:row>1</xdr:row>
      <xdr:rowOff>60324</xdr:rowOff>
    </xdr:from>
    <xdr:to>
      <xdr:col>2</xdr:col>
      <xdr:colOff>177800</xdr:colOff>
      <xdr:row>8</xdr:row>
      <xdr:rowOff>190500</xdr:rowOff>
    </xdr:to>
    <xdr:sp macro="" textlink="">
      <xdr:nvSpPr>
        <xdr:cNvPr id="3" name="Rectangle 2">
          <a:hlinkClick xmlns:r="http://schemas.openxmlformats.org/officeDocument/2006/relationships" r:id="rId3"/>
        </xdr:cNvPr>
        <xdr:cNvSpPr/>
      </xdr:nvSpPr>
      <xdr:spPr>
        <a:xfrm>
          <a:off x="635000" y="276224"/>
          <a:ext cx="6705600" cy="2886076"/>
        </a:xfrm>
        <a:prstGeom prst="rect">
          <a:avLst/>
        </a:prstGeom>
        <a:gradFill flip="none" rotWithShape="1">
          <a:gsLst>
            <a:gs pos="0">
              <a:schemeClr val="accent1">
                <a:tint val="100000"/>
                <a:shade val="100000"/>
                <a:satMod val="130000"/>
                <a:alpha val="8000"/>
              </a:schemeClr>
            </a:gs>
            <a:gs pos="100000">
              <a:schemeClr val="accent1">
                <a:tint val="50000"/>
                <a:shade val="100000"/>
                <a:satMod val="350000"/>
                <a:alpha val="8000"/>
              </a:schemeClr>
            </a:gs>
          </a:gsLst>
          <a:lin ang="16200000" scaled="0"/>
          <a:tileRect/>
        </a:gradFill>
        <a:ln>
          <a:solidFill>
            <a:schemeClr val="accent1">
              <a:shade val="95000"/>
              <a:satMod val="105000"/>
              <a:alpha val="16000"/>
            </a:schemeClr>
          </a:solidFill>
        </a:ln>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660400</xdr:colOff>
      <xdr:row>10</xdr:row>
      <xdr:rowOff>60324</xdr:rowOff>
    </xdr:from>
    <xdr:to>
      <xdr:col>2</xdr:col>
      <xdr:colOff>228600</xdr:colOff>
      <xdr:row>18</xdr:row>
      <xdr:rowOff>0</xdr:rowOff>
    </xdr:to>
    <xdr:sp macro="" textlink="">
      <xdr:nvSpPr>
        <xdr:cNvPr id="4" name="Rectangle 3">
          <a:hlinkClick xmlns:r="http://schemas.openxmlformats.org/officeDocument/2006/relationships" r:id="rId4"/>
        </xdr:cNvPr>
        <xdr:cNvSpPr/>
      </xdr:nvSpPr>
      <xdr:spPr>
        <a:xfrm>
          <a:off x="660400" y="3463924"/>
          <a:ext cx="6731000" cy="2403476"/>
        </a:xfrm>
        <a:prstGeom prst="rect">
          <a:avLst/>
        </a:prstGeom>
        <a:gradFill flip="none" rotWithShape="1">
          <a:gsLst>
            <a:gs pos="0">
              <a:schemeClr val="accent1">
                <a:tint val="100000"/>
                <a:shade val="100000"/>
                <a:satMod val="130000"/>
                <a:alpha val="8000"/>
              </a:schemeClr>
            </a:gs>
            <a:gs pos="100000">
              <a:schemeClr val="accent1">
                <a:tint val="50000"/>
                <a:shade val="100000"/>
                <a:satMod val="350000"/>
                <a:alpha val="8000"/>
              </a:schemeClr>
            </a:gs>
          </a:gsLst>
          <a:lin ang="16200000" scaled="0"/>
          <a:tileRect/>
        </a:gradFill>
        <a:ln>
          <a:solidFill>
            <a:schemeClr val="accent1">
              <a:shade val="95000"/>
              <a:satMod val="105000"/>
              <a:alpha val="16000"/>
            </a:schemeClr>
          </a:solidFill>
        </a:ln>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673100</xdr:colOff>
      <xdr:row>19</xdr:row>
      <xdr:rowOff>50800</xdr:rowOff>
    </xdr:from>
    <xdr:to>
      <xdr:col>2</xdr:col>
      <xdr:colOff>241300</xdr:colOff>
      <xdr:row>26</xdr:row>
      <xdr:rowOff>0</xdr:rowOff>
    </xdr:to>
    <xdr:sp macro="" textlink="">
      <xdr:nvSpPr>
        <xdr:cNvPr id="5" name="Rectangle 4">
          <a:hlinkClick xmlns:r="http://schemas.openxmlformats.org/officeDocument/2006/relationships" r:id="rId1"/>
        </xdr:cNvPr>
        <xdr:cNvSpPr/>
      </xdr:nvSpPr>
      <xdr:spPr>
        <a:xfrm>
          <a:off x="673100" y="6134100"/>
          <a:ext cx="6731000" cy="2413000"/>
        </a:xfrm>
        <a:prstGeom prst="rect">
          <a:avLst/>
        </a:prstGeom>
        <a:gradFill flip="none" rotWithShape="1">
          <a:gsLst>
            <a:gs pos="0">
              <a:schemeClr val="accent1">
                <a:tint val="100000"/>
                <a:shade val="100000"/>
                <a:satMod val="130000"/>
                <a:alpha val="8000"/>
              </a:schemeClr>
            </a:gs>
            <a:gs pos="100000">
              <a:schemeClr val="accent1">
                <a:tint val="50000"/>
                <a:shade val="100000"/>
                <a:satMod val="350000"/>
                <a:alpha val="8000"/>
              </a:schemeClr>
            </a:gs>
          </a:gsLst>
          <a:lin ang="16200000" scaled="0"/>
          <a:tileRect/>
        </a:gradFill>
        <a:ln>
          <a:solidFill>
            <a:schemeClr val="accent1">
              <a:shade val="95000"/>
              <a:satMod val="105000"/>
              <a:alpha val="16000"/>
            </a:schemeClr>
          </a:solidFill>
        </a:ln>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762000</xdr:colOff>
      <xdr:row>210</xdr:row>
      <xdr:rowOff>0</xdr:rowOff>
    </xdr:from>
    <xdr:to>
      <xdr:col>11</xdr:col>
      <xdr:colOff>215900</xdr:colOff>
      <xdr:row>235</xdr:row>
      <xdr:rowOff>101600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1117600</xdr:colOff>
      <xdr:row>239</xdr:row>
      <xdr:rowOff>127000</xdr:rowOff>
    </xdr:from>
    <xdr:to>
      <xdr:col>11</xdr:col>
      <xdr:colOff>139700</xdr:colOff>
      <xdr:row>270</xdr:row>
      <xdr:rowOff>38100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311150</xdr:colOff>
      <xdr:row>123</xdr:row>
      <xdr:rowOff>63500</xdr:rowOff>
    </xdr:from>
    <xdr:to>
      <xdr:col>8</xdr:col>
      <xdr:colOff>50800</xdr:colOff>
      <xdr:row>149</xdr:row>
      <xdr:rowOff>127000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412750</xdr:colOff>
      <xdr:row>152</xdr:row>
      <xdr:rowOff>12700</xdr:rowOff>
    </xdr:from>
    <xdr:to>
      <xdr:col>8</xdr:col>
      <xdr:colOff>0</xdr:colOff>
      <xdr:row>182</xdr:row>
      <xdr:rowOff>139700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1181100</xdr:colOff>
      <xdr:row>40</xdr:row>
      <xdr:rowOff>114300</xdr:rowOff>
    </xdr:from>
    <xdr:to>
      <xdr:col>4</xdr:col>
      <xdr:colOff>254000</xdr:colOff>
      <xdr:row>40</xdr:row>
      <xdr:rowOff>114300</xdr:rowOff>
    </xdr:to>
    <xdr:cxnSp macro="">
      <xdr:nvCxnSpPr>
        <xdr:cNvPr id="7" name="Straight Connector 6">
          <a:extLst>
            <a:ext uri="{FF2B5EF4-FFF2-40B4-BE49-F238E27FC236}">
              <a16:creationId xmlns="" xmlns:a16="http://schemas.microsoft.com/office/drawing/2014/main" id="{00000000-0008-0000-0100-000019000000}"/>
            </a:ext>
          </a:extLst>
        </xdr:cNvPr>
        <xdr:cNvCxnSpPr/>
      </xdr:nvCxnSpPr>
      <xdr:spPr>
        <a:xfrm>
          <a:off x="6197600" y="8966200"/>
          <a:ext cx="444500" cy="0"/>
        </a:xfrm>
        <a:prstGeom prst="line">
          <a:avLst/>
        </a:prstGeom>
        <a:ln>
          <a:tailEnd type="triangle" w="lg"/>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4</xdr:col>
      <xdr:colOff>1181100</xdr:colOff>
      <xdr:row>40</xdr:row>
      <xdr:rowOff>114300</xdr:rowOff>
    </xdr:from>
    <xdr:to>
      <xdr:col>5</xdr:col>
      <xdr:colOff>254000</xdr:colOff>
      <xdr:row>40</xdr:row>
      <xdr:rowOff>114300</xdr:rowOff>
    </xdr:to>
    <xdr:cxnSp macro="">
      <xdr:nvCxnSpPr>
        <xdr:cNvPr id="10" name="Straight Connector 9">
          <a:extLst>
            <a:ext uri="{FF2B5EF4-FFF2-40B4-BE49-F238E27FC236}">
              <a16:creationId xmlns="" xmlns:a16="http://schemas.microsoft.com/office/drawing/2014/main" id="{00000000-0008-0000-0100-000019000000}"/>
            </a:ext>
          </a:extLst>
        </xdr:cNvPr>
        <xdr:cNvCxnSpPr/>
      </xdr:nvCxnSpPr>
      <xdr:spPr>
        <a:xfrm>
          <a:off x="7569200" y="8966200"/>
          <a:ext cx="444500" cy="0"/>
        </a:xfrm>
        <a:prstGeom prst="line">
          <a:avLst/>
        </a:prstGeom>
        <a:ln>
          <a:tailEnd type="triangle" w="lg"/>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5</xdr:col>
      <xdr:colOff>1168400</xdr:colOff>
      <xdr:row>40</xdr:row>
      <xdr:rowOff>101600</xdr:rowOff>
    </xdr:from>
    <xdr:to>
      <xdr:col>6</xdr:col>
      <xdr:colOff>241300</xdr:colOff>
      <xdr:row>40</xdr:row>
      <xdr:rowOff>101600</xdr:rowOff>
    </xdr:to>
    <xdr:cxnSp macro="">
      <xdr:nvCxnSpPr>
        <xdr:cNvPr id="11" name="Straight Connector 10">
          <a:extLst>
            <a:ext uri="{FF2B5EF4-FFF2-40B4-BE49-F238E27FC236}">
              <a16:creationId xmlns="" xmlns:a16="http://schemas.microsoft.com/office/drawing/2014/main" id="{00000000-0008-0000-0100-000019000000}"/>
            </a:ext>
          </a:extLst>
        </xdr:cNvPr>
        <xdr:cNvCxnSpPr/>
      </xdr:nvCxnSpPr>
      <xdr:spPr>
        <a:xfrm>
          <a:off x="8928100" y="8953500"/>
          <a:ext cx="444500" cy="0"/>
        </a:xfrm>
        <a:prstGeom prst="line">
          <a:avLst/>
        </a:prstGeom>
        <a:ln>
          <a:tailEnd type="triangle" w="lg"/>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6</xdr:col>
      <xdr:colOff>1181100</xdr:colOff>
      <xdr:row>40</xdr:row>
      <xdr:rowOff>114300</xdr:rowOff>
    </xdr:from>
    <xdr:to>
      <xdr:col>7</xdr:col>
      <xdr:colOff>241300</xdr:colOff>
      <xdr:row>40</xdr:row>
      <xdr:rowOff>114300</xdr:rowOff>
    </xdr:to>
    <xdr:cxnSp macro="">
      <xdr:nvCxnSpPr>
        <xdr:cNvPr id="12" name="Straight Connector 11">
          <a:extLst>
            <a:ext uri="{FF2B5EF4-FFF2-40B4-BE49-F238E27FC236}">
              <a16:creationId xmlns="" xmlns:a16="http://schemas.microsoft.com/office/drawing/2014/main" id="{00000000-0008-0000-0100-000019000000}"/>
            </a:ext>
          </a:extLst>
        </xdr:cNvPr>
        <xdr:cNvCxnSpPr/>
      </xdr:nvCxnSpPr>
      <xdr:spPr>
        <a:xfrm>
          <a:off x="10312400" y="8966200"/>
          <a:ext cx="444500" cy="0"/>
        </a:xfrm>
        <a:prstGeom prst="line">
          <a:avLst/>
        </a:prstGeom>
        <a:ln>
          <a:tailEnd type="triangle" w="lg"/>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7</xdr:col>
      <xdr:colOff>1193800</xdr:colOff>
      <xdr:row>40</xdr:row>
      <xdr:rowOff>101600</xdr:rowOff>
    </xdr:from>
    <xdr:to>
      <xdr:col>8</xdr:col>
      <xdr:colOff>254000</xdr:colOff>
      <xdr:row>40</xdr:row>
      <xdr:rowOff>101600</xdr:rowOff>
    </xdr:to>
    <xdr:cxnSp macro="">
      <xdr:nvCxnSpPr>
        <xdr:cNvPr id="13" name="Straight Connector 12">
          <a:extLst>
            <a:ext uri="{FF2B5EF4-FFF2-40B4-BE49-F238E27FC236}">
              <a16:creationId xmlns="" xmlns:a16="http://schemas.microsoft.com/office/drawing/2014/main" id="{00000000-0008-0000-0100-000019000000}"/>
            </a:ext>
          </a:extLst>
        </xdr:cNvPr>
        <xdr:cNvCxnSpPr/>
      </xdr:nvCxnSpPr>
      <xdr:spPr>
        <a:xfrm>
          <a:off x="11709400" y="8953500"/>
          <a:ext cx="444500" cy="0"/>
        </a:xfrm>
        <a:prstGeom prst="line">
          <a:avLst/>
        </a:prstGeom>
        <a:ln>
          <a:tailEnd type="triangle" w="lg"/>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381000</xdr:colOff>
      <xdr:row>39</xdr:row>
      <xdr:rowOff>38100</xdr:rowOff>
    </xdr:from>
    <xdr:to>
      <xdr:col>8</xdr:col>
      <xdr:colOff>1244600</xdr:colOff>
      <xdr:row>48</xdr:row>
      <xdr:rowOff>152400</xdr:rowOff>
    </xdr:to>
    <xdr:sp macro="" textlink="">
      <xdr:nvSpPr>
        <xdr:cNvPr id="2" name="Rectangle 1"/>
        <xdr:cNvSpPr/>
      </xdr:nvSpPr>
      <xdr:spPr>
        <a:xfrm>
          <a:off x="5003800" y="8458200"/>
          <a:ext cx="8140700" cy="2057400"/>
        </a:xfrm>
        <a:prstGeom prst="rect">
          <a:avLst/>
        </a:prstGeom>
        <a:gradFill flip="none" rotWithShape="1">
          <a:gsLst>
            <a:gs pos="0">
              <a:schemeClr val="accent1">
                <a:tint val="100000"/>
                <a:shade val="100000"/>
                <a:satMod val="130000"/>
                <a:alpha val="8000"/>
              </a:schemeClr>
            </a:gs>
            <a:gs pos="100000">
              <a:schemeClr val="accent1">
                <a:tint val="50000"/>
                <a:shade val="100000"/>
                <a:satMod val="350000"/>
                <a:alpha val="8000"/>
              </a:schemeClr>
            </a:gs>
          </a:gsLst>
          <a:lin ang="16200000" scaled="0"/>
          <a:tileRect/>
        </a:gradFill>
        <a:ln>
          <a:solidFill>
            <a:schemeClr val="accent1">
              <a:shade val="95000"/>
              <a:satMod val="105000"/>
              <a:alpha val="16000"/>
            </a:schemeClr>
          </a:solidFill>
        </a:ln>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foresight.is/privacy" TargetMode="External"/><Relationship Id="rId2" Type="http://schemas.openxmlformats.org/officeDocument/2006/relationships/drawing" Target="../drawings/drawing1.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B2:B135"/>
  <sheetViews>
    <sheetView showGridLines="0" tabSelected="1" workbookViewId="0">
      <selection activeCell="B1" sqref="B1"/>
    </sheetView>
  </sheetViews>
  <sheetFormatPr baseColWidth="10" defaultColWidth="10.83203125" defaultRowHeight="17" x14ac:dyDescent="0"/>
  <cols>
    <col min="1" max="1" width="5.83203125" style="22" customWidth="1"/>
    <col min="2" max="2" width="183" style="22" customWidth="1"/>
    <col min="3" max="16384" width="10.83203125" style="22"/>
  </cols>
  <sheetData>
    <row r="2" spans="2:2" ht="20">
      <c r="B2" s="21" t="s">
        <v>214</v>
      </c>
    </row>
    <row r="4" spans="2:2">
      <c r="B4" s="23" t="s">
        <v>13</v>
      </c>
    </row>
    <row r="5" spans="2:2">
      <c r="B5" s="269" t="s">
        <v>603</v>
      </c>
    </row>
    <row r="6" spans="2:2">
      <c r="B6" s="23" t="s">
        <v>41</v>
      </c>
    </row>
    <row r="7" spans="2:2">
      <c r="B7" s="269" t="s">
        <v>42</v>
      </c>
    </row>
    <row r="8" spans="2:2">
      <c r="B8" s="269"/>
    </row>
    <row r="9" spans="2:2">
      <c r="B9" s="270" t="s">
        <v>604</v>
      </c>
    </row>
    <row r="10" spans="2:2">
      <c r="B10" s="271" t="s">
        <v>607</v>
      </c>
    </row>
    <row r="11" spans="2:2">
      <c r="B11" s="271" t="s">
        <v>643</v>
      </c>
    </row>
    <row r="12" spans="2:2">
      <c r="B12" s="269" t="s">
        <v>605</v>
      </c>
    </row>
    <row r="13" spans="2:2">
      <c r="B13" s="272" t="s">
        <v>606</v>
      </c>
    </row>
    <row r="14" spans="2:2">
      <c r="B14" s="23"/>
    </row>
    <row r="15" spans="2:2">
      <c r="B15" s="23"/>
    </row>
    <row r="16" spans="2:2">
      <c r="B16" s="24" t="s">
        <v>43</v>
      </c>
    </row>
    <row r="17" spans="2:2" ht="34">
      <c r="B17" s="23" t="s">
        <v>602</v>
      </c>
    </row>
    <row r="18" spans="2:2" ht="85">
      <c r="B18" s="23" t="s">
        <v>246</v>
      </c>
    </row>
    <row r="19" spans="2:2">
      <c r="B19" s="23"/>
    </row>
    <row r="20" spans="2:2">
      <c r="B20" s="24" t="s">
        <v>44</v>
      </c>
    </row>
    <row r="21" spans="2:2" ht="51">
      <c r="B21" s="23" t="s">
        <v>215</v>
      </c>
    </row>
    <row r="22" spans="2:2">
      <c r="B22" s="23"/>
    </row>
    <row r="23" spans="2:2">
      <c r="B23" s="24" t="s">
        <v>45</v>
      </c>
    </row>
    <row r="24" spans="2:2">
      <c r="B24" s="23" t="s">
        <v>644</v>
      </c>
    </row>
    <row r="25" spans="2:2">
      <c r="B25" s="23"/>
    </row>
    <row r="26" spans="2:2">
      <c r="B26" s="24" t="s">
        <v>46</v>
      </c>
    </row>
    <row r="27" spans="2:2">
      <c r="B27" s="23" t="s">
        <v>216</v>
      </c>
    </row>
    <row r="28" spans="2:2" ht="34">
      <c r="B28" s="23" t="s">
        <v>217</v>
      </c>
    </row>
    <row r="29" spans="2:2">
      <c r="B29" s="23" t="s">
        <v>218</v>
      </c>
    </row>
    <row r="30" spans="2:2">
      <c r="B30" s="24" t="s">
        <v>47</v>
      </c>
    </row>
    <row r="31" spans="2:2">
      <c r="B31" s="23" t="s">
        <v>219</v>
      </c>
    </row>
    <row r="32" spans="2:2">
      <c r="B32" s="23" t="s">
        <v>375</v>
      </c>
    </row>
    <row r="33" spans="2:2" ht="68">
      <c r="B33" s="23" t="s">
        <v>238</v>
      </c>
    </row>
    <row r="34" spans="2:2">
      <c r="B34" s="23"/>
    </row>
    <row r="35" spans="2:2">
      <c r="B35" s="24" t="s">
        <v>88</v>
      </c>
    </row>
    <row r="36" spans="2:2" ht="34">
      <c r="B36" s="23" t="s">
        <v>244</v>
      </c>
    </row>
    <row r="37" spans="2:2">
      <c r="B37" s="23" t="s">
        <v>293</v>
      </c>
    </row>
    <row r="38" spans="2:2">
      <c r="B38" s="23" t="s">
        <v>220</v>
      </c>
    </row>
    <row r="39" spans="2:2">
      <c r="B39" s="23" t="s">
        <v>243</v>
      </c>
    </row>
    <row r="40" spans="2:2">
      <c r="B40" s="23" t="s">
        <v>234</v>
      </c>
    </row>
    <row r="41" spans="2:2">
      <c r="B41" s="23" t="s">
        <v>161</v>
      </c>
    </row>
    <row r="42" spans="2:2">
      <c r="B42" s="23" t="s">
        <v>235</v>
      </c>
    </row>
    <row r="43" spans="2:2">
      <c r="B43" s="23" t="s">
        <v>236</v>
      </c>
    </row>
    <row r="44" spans="2:2">
      <c r="B44" s="23" t="s">
        <v>237</v>
      </c>
    </row>
    <row r="45" spans="2:2">
      <c r="B45" s="23" t="s">
        <v>233</v>
      </c>
    </row>
    <row r="46" spans="2:2">
      <c r="B46" s="23" t="s">
        <v>232</v>
      </c>
    </row>
    <row r="47" spans="2:2">
      <c r="B47" s="23" t="s">
        <v>231</v>
      </c>
    </row>
    <row r="48" spans="2:2">
      <c r="B48" s="23" t="s">
        <v>230</v>
      </c>
    </row>
    <row r="49" spans="2:2">
      <c r="B49" s="23" t="s">
        <v>675</v>
      </c>
    </row>
    <row r="50" spans="2:2" ht="34">
      <c r="B50" s="23" t="s">
        <v>425</v>
      </c>
    </row>
    <row r="51" spans="2:2" ht="34">
      <c r="B51" s="23" t="s">
        <v>676</v>
      </c>
    </row>
    <row r="52" spans="2:2">
      <c r="B52" s="23"/>
    </row>
    <row r="53" spans="2:2">
      <c r="B53" s="24" t="s">
        <v>221</v>
      </c>
    </row>
    <row r="54" spans="2:2">
      <c r="B54" s="23" t="s">
        <v>222</v>
      </c>
    </row>
    <row r="55" spans="2:2" s="23" customFormat="1"/>
    <row r="56" spans="2:2" s="23" customFormat="1">
      <c r="B56" s="65" t="s">
        <v>10</v>
      </c>
    </row>
    <row r="57" spans="2:2" s="23" customFormat="1">
      <c r="B57" s="23" t="s">
        <v>223</v>
      </c>
    </row>
    <row r="58" spans="2:2" s="23" customFormat="1">
      <c r="B58" s="23" t="s">
        <v>12</v>
      </c>
    </row>
    <row r="59" spans="2:2" s="23" customFormat="1">
      <c r="B59" s="23" t="s">
        <v>2</v>
      </c>
    </row>
    <row r="60" spans="2:2" s="23" customFormat="1" ht="34">
      <c r="B60" s="23" t="s">
        <v>224</v>
      </c>
    </row>
    <row r="61" spans="2:2" s="23" customFormat="1">
      <c r="B61" s="23" t="s">
        <v>302</v>
      </c>
    </row>
    <row r="62" spans="2:2" s="23" customFormat="1">
      <c r="B62" s="23" t="s">
        <v>291</v>
      </c>
    </row>
    <row r="63" spans="2:2" s="23" customFormat="1"/>
    <row r="64" spans="2:2" s="23" customFormat="1">
      <c r="B64" s="65" t="s">
        <v>17</v>
      </c>
    </row>
    <row r="65" spans="2:2" s="23" customFormat="1">
      <c r="B65" s="23" t="s">
        <v>225</v>
      </c>
    </row>
    <row r="66" spans="2:2" s="23" customFormat="1">
      <c r="B66" s="23" t="s">
        <v>226</v>
      </c>
    </row>
    <row r="67" spans="2:2" s="23" customFormat="1">
      <c r="B67" s="23" t="s">
        <v>227</v>
      </c>
    </row>
    <row r="68" spans="2:2" s="23" customFormat="1"/>
    <row r="69" spans="2:2" s="23" customFormat="1">
      <c r="B69" s="65" t="s">
        <v>24</v>
      </c>
    </row>
    <row r="70" spans="2:2" s="23" customFormat="1">
      <c r="B70" s="23" t="s">
        <v>3</v>
      </c>
    </row>
    <row r="71" spans="2:2" s="23" customFormat="1">
      <c r="B71" s="23" t="s">
        <v>4</v>
      </c>
    </row>
    <row r="72" spans="2:2" s="23" customFormat="1">
      <c r="B72" s="23" t="s">
        <v>5</v>
      </c>
    </row>
    <row r="73" spans="2:2" s="23" customFormat="1">
      <c r="B73" s="23" t="s">
        <v>6</v>
      </c>
    </row>
    <row r="74" spans="2:2" s="23" customFormat="1">
      <c r="B74" s="23" t="s">
        <v>8</v>
      </c>
    </row>
    <row r="75" spans="2:2" s="23" customFormat="1"/>
    <row r="76" spans="2:2" s="23" customFormat="1">
      <c r="B76" s="65" t="s">
        <v>9</v>
      </c>
    </row>
    <row r="77" spans="2:2" s="23" customFormat="1">
      <c r="B77" s="23" t="s">
        <v>7</v>
      </c>
    </row>
    <row r="78" spans="2:2" s="23" customFormat="1">
      <c r="B78" s="23" t="s">
        <v>229</v>
      </c>
    </row>
    <row r="79" spans="2:2" s="23" customFormat="1">
      <c r="B79" s="66" t="s">
        <v>228</v>
      </c>
    </row>
    <row r="80" spans="2:2" s="23" customFormat="1">
      <c r="B80" s="23" t="s">
        <v>18</v>
      </c>
    </row>
    <row r="81" spans="2:2" s="23" customFormat="1">
      <c r="B81" s="23" t="s">
        <v>11</v>
      </c>
    </row>
    <row r="82" spans="2:2" s="23" customFormat="1"/>
    <row r="83" spans="2:2">
      <c r="B83" s="24" t="s">
        <v>16</v>
      </c>
    </row>
    <row r="84" spans="2:2">
      <c r="B84" s="23" t="s">
        <v>48</v>
      </c>
    </row>
    <row r="85" spans="2:2">
      <c r="B85" s="23"/>
    </row>
    <row r="86" spans="2:2">
      <c r="B86" s="273" t="s">
        <v>608</v>
      </c>
    </row>
    <row r="87" spans="2:2">
      <c r="B87" s="271" t="s">
        <v>609</v>
      </c>
    </row>
    <row r="88" spans="2:2">
      <c r="B88" s="271" t="s">
        <v>49</v>
      </c>
    </row>
    <row r="89" spans="2:2">
      <c r="B89" s="271" t="s">
        <v>610</v>
      </c>
    </row>
    <row r="90" spans="2:2">
      <c r="B90" s="271" t="s">
        <v>303</v>
      </c>
    </row>
    <row r="91" spans="2:2">
      <c r="B91" s="274"/>
    </row>
    <row r="92" spans="2:2">
      <c r="B92" s="275" t="s">
        <v>611</v>
      </c>
    </row>
    <row r="93" spans="2:2">
      <c r="B93" s="275"/>
    </row>
    <row r="94" spans="2:2">
      <c r="B94" s="273" t="s">
        <v>612</v>
      </c>
    </row>
    <row r="95" spans="2:2" ht="34">
      <c r="B95" s="271" t="s">
        <v>613</v>
      </c>
    </row>
    <row r="96" spans="2:2">
      <c r="B96" s="271"/>
    </row>
    <row r="97" spans="2:2">
      <c r="B97" s="273" t="s">
        <v>614</v>
      </c>
    </row>
    <row r="98" spans="2:2" ht="85">
      <c r="B98" s="271" t="s">
        <v>615</v>
      </c>
    </row>
    <row r="99" spans="2:2">
      <c r="B99" s="271"/>
    </row>
    <row r="100" spans="2:2">
      <c r="B100" s="273" t="s">
        <v>604</v>
      </c>
    </row>
    <row r="101" spans="2:2" ht="51">
      <c r="B101" s="271" t="s">
        <v>616</v>
      </c>
    </row>
    <row r="102" spans="2:2" ht="34">
      <c r="B102" s="271" t="s">
        <v>617</v>
      </c>
    </row>
    <row r="103" spans="2:2">
      <c r="B103" s="271"/>
    </row>
    <row r="104" spans="2:2">
      <c r="B104" s="273" t="s">
        <v>618</v>
      </c>
    </row>
    <row r="105" spans="2:2" ht="68">
      <c r="B105" s="271" t="s">
        <v>619</v>
      </c>
    </row>
    <row r="106" spans="2:2" ht="34">
      <c r="B106" s="271" t="s">
        <v>620</v>
      </c>
    </row>
    <row r="107" spans="2:2">
      <c r="B107" s="271"/>
    </row>
    <row r="108" spans="2:2">
      <c r="B108" s="273" t="s">
        <v>621</v>
      </c>
    </row>
    <row r="109" spans="2:2" ht="51">
      <c r="B109" s="271" t="s">
        <v>622</v>
      </c>
    </row>
    <row r="110" spans="2:2" ht="68">
      <c r="B110" s="271" t="s">
        <v>623</v>
      </c>
    </row>
    <row r="111" spans="2:2" ht="51">
      <c r="B111" s="271" t="s">
        <v>624</v>
      </c>
    </row>
    <row r="112" spans="2:2" ht="34">
      <c r="B112" s="271" t="s">
        <v>625</v>
      </c>
    </row>
    <row r="113" spans="2:2">
      <c r="B113" s="271"/>
    </row>
    <row r="114" spans="2:2">
      <c r="B114" s="273" t="s">
        <v>626</v>
      </c>
    </row>
    <row r="115" spans="2:2" ht="51">
      <c r="B115" s="271" t="s">
        <v>627</v>
      </c>
    </row>
    <row r="116" spans="2:2">
      <c r="B116" s="271"/>
    </row>
    <row r="117" spans="2:2">
      <c r="B117" s="273" t="s">
        <v>628</v>
      </c>
    </row>
    <row r="118" spans="2:2" ht="51">
      <c r="B118" s="271" t="s">
        <v>629</v>
      </c>
    </row>
    <row r="119" spans="2:2">
      <c r="B119" s="271"/>
    </row>
    <row r="120" spans="2:2">
      <c r="B120" s="273" t="s">
        <v>630</v>
      </c>
    </row>
    <row r="121" spans="2:2">
      <c r="B121" s="271" t="s">
        <v>631</v>
      </c>
    </row>
    <row r="122" spans="2:2">
      <c r="B122" s="271"/>
    </row>
    <row r="123" spans="2:2">
      <c r="B123" s="273" t="s">
        <v>632</v>
      </c>
    </row>
    <row r="124" spans="2:2">
      <c r="B124" s="271" t="s">
        <v>633</v>
      </c>
    </row>
    <row r="125" spans="2:2">
      <c r="B125" s="271" t="s">
        <v>634</v>
      </c>
    </row>
    <row r="126" spans="2:2">
      <c r="B126" s="271" t="s">
        <v>635</v>
      </c>
    </row>
    <row r="127" spans="2:2" ht="51">
      <c r="B127" s="271" t="s">
        <v>636</v>
      </c>
    </row>
    <row r="128" spans="2:2">
      <c r="B128" s="271"/>
    </row>
    <row r="129" spans="2:2">
      <c r="B129" s="273" t="s">
        <v>637</v>
      </c>
    </row>
    <row r="130" spans="2:2" ht="34">
      <c r="B130" s="271" t="s">
        <v>638</v>
      </c>
    </row>
    <row r="131" spans="2:2">
      <c r="B131" s="271"/>
    </row>
    <row r="132" spans="2:2">
      <c r="B132" s="273" t="s">
        <v>639</v>
      </c>
    </row>
    <row r="133" spans="2:2">
      <c r="B133" s="271" t="s">
        <v>640</v>
      </c>
    </row>
    <row r="134" spans="2:2" ht="34">
      <c r="B134" s="271" t="s">
        <v>641</v>
      </c>
    </row>
    <row r="135" spans="2:2" ht="34">
      <c r="B135" s="271" t="s">
        <v>642</v>
      </c>
    </row>
  </sheetData>
  <hyperlinks>
    <hyperlink ref="B121" r:id="rId1"/>
  </hyperlinks>
  <pageMargins left="0.75" right="0.75" top="1" bottom="1" header="0.5" footer="0.5"/>
  <pageSetup scale="63" orientation="landscape" horizontalDpi="4294967292" verticalDpi="4294967292"/>
  <drawing r:id="rId2"/>
  <extLst>
    <ext xmlns:mx="http://schemas.microsoft.com/office/mac/excel/2008/main" uri="{64002731-A6B0-56B0-2670-7721B7C09600}">
      <mx:PLV Mode="0" OnePage="0" WScale="10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L38"/>
  <sheetViews>
    <sheetView showGridLines="0" workbookViewId="0">
      <pane xSplit="2" topLeftCell="C1" activePane="topRight" state="frozen"/>
      <selection activeCell="B47" sqref="B47"/>
      <selection pane="topRight" activeCell="B47" sqref="B47"/>
    </sheetView>
  </sheetViews>
  <sheetFormatPr baseColWidth="10" defaultRowHeight="17" x14ac:dyDescent="0"/>
  <cols>
    <col min="1" max="1" width="5.33203125" style="2" customWidth="1"/>
    <col min="2" max="2" width="21.5" style="2" customWidth="1"/>
    <col min="3" max="3" width="18.6640625" style="2" customWidth="1"/>
    <col min="4" max="4" width="14.6640625" style="2" customWidth="1"/>
    <col min="5" max="5" width="9.83203125" style="2" customWidth="1"/>
    <col min="6" max="6" width="33" style="2" customWidth="1"/>
    <col min="7" max="11" width="18.6640625" style="2" customWidth="1"/>
    <col min="12" max="15" width="10.83203125" style="2"/>
    <col min="16" max="16" width="12.6640625" style="2" customWidth="1"/>
    <col min="17" max="16384" width="10.83203125" style="2"/>
  </cols>
  <sheetData>
    <row r="2" spans="2:12">
      <c r="B2" s="19" t="s">
        <v>175</v>
      </c>
    </row>
    <row r="3" spans="2:12">
      <c r="B3" s="34" t="s">
        <v>58</v>
      </c>
    </row>
    <row r="6" spans="2:12" ht="34">
      <c r="B6" s="28" t="s">
        <v>55</v>
      </c>
      <c r="C6" s="27" t="s">
        <v>414</v>
      </c>
      <c r="D6" s="27" t="s">
        <v>39</v>
      </c>
      <c r="F6" s="27" t="s">
        <v>61</v>
      </c>
      <c r="G6" s="27" t="s">
        <v>62</v>
      </c>
      <c r="H6" s="27" t="s">
        <v>117</v>
      </c>
      <c r="I6" s="27" t="s">
        <v>414</v>
      </c>
      <c r="J6" s="27" t="s">
        <v>39</v>
      </c>
      <c r="K6" s="27" t="s">
        <v>63</v>
      </c>
    </row>
    <row r="8" spans="2:12">
      <c r="B8" s="13" t="s">
        <v>57</v>
      </c>
      <c r="C8" s="14">
        <f>D8*C$19</f>
        <v>6000000</v>
      </c>
      <c r="D8" s="29">
        <v>0.6</v>
      </c>
      <c r="F8" s="13">
        <v>0</v>
      </c>
      <c r="G8" s="37">
        <f>G$27</f>
        <v>0.3</v>
      </c>
      <c r="H8" s="10">
        <f>IFERROR(F8/G8,0)</f>
        <v>0</v>
      </c>
      <c r="I8" s="6">
        <f>H8+C8</f>
        <v>6000000</v>
      </c>
      <c r="J8" s="35">
        <f>IFERROR(I8/I$19,0)</f>
        <v>0.38400000000000001</v>
      </c>
      <c r="K8" s="4">
        <f>I8*G$27</f>
        <v>1800000</v>
      </c>
    </row>
    <row r="9" spans="2:12">
      <c r="B9" s="13" t="s">
        <v>57</v>
      </c>
      <c r="C9" s="14">
        <f>D9*C$19</f>
        <v>3000000</v>
      </c>
      <c r="D9" s="29">
        <v>0.3</v>
      </c>
      <c r="F9" s="13">
        <v>0</v>
      </c>
      <c r="G9" s="37">
        <f>G$27</f>
        <v>0.3</v>
      </c>
      <c r="H9" s="10">
        <f>IFERROR(F9/G9,0)</f>
        <v>0</v>
      </c>
      <c r="I9" s="6">
        <f>H9+C9</f>
        <v>3000000</v>
      </c>
      <c r="J9" s="35">
        <f>IFERROR(I9/I$19,0)</f>
        <v>0.192</v>
      </c>
      <c r="K9" s="4">
        <f>I9*G$27</f>
        <v>900000</v>
      </c>
    </row>
    <row r="10" spans="2:12">
      <c r="B10" s="13" t="s">
        <v>59</v>
      </c>
      <c r="C10" s="14">
        <f>D10*C$19</f>
        <v>500000</v>
      </c>
      <c r="D10" s="29">
        <v>0.05</v>
      </c>
      <c r="F10" s="13">
        <v>0</v>
      </c>
      <c r="G10" s="37">
        <f>G$27</f>
        <v>0.3</v>
      </c>
      <c r="H10" s="10">
        <f>IFERROR(F10/G10,0)</f>
        <v>0</v>
      </c>
      <c r="I10" s="6">
        <f t="shared" ref="I10:I17" si="0">H10+C10</f>
        <v>500000</v>
      </c>
      <c r="J10" s="35">
        <f>IFERROR(I10/I$19,0)</f>
        <v>3.2000000000000001E-2</v>
      </c>
      <c r="K10" s="4">
        <f>I10*G$27</f>
        <v>150000</v>
      </c>
    </row>
    <row r="11" spans="2:12">
      <c r="B11" s="13" t="s">
        <v>59</v>
      </c>
      <c r="C11" s="14">
        <f>D11*C$19</f>
        <v>300000</v>
      </c>
      <c r="D11" s="29">
        <v>0.03</v>
      </c>
      <c r="F11" s="13">
        <v>0</v>
      </c>
      <c r="G11" s="37">
        <f>G$27</f>
        <v>0.3</v>
      </c>
      <c r="H11" s="10">
        <f>IFERROR(F11/G11,0)</f>
        <v>0</v>
      </c>
      <c r="I11" s="6">
        <f t="shared" si="0"/>
        <v>300000</v>
      </c>
      <c r="J11" s="35">
        <f>IFERROR(I11/I$19,0)</f>
        <v>1.9199999999999998E-2</v>
      </c>
      <c r="K11" s="4">
        <f>I11*G$27</f>
        <v>90000</v>
      </c>
    </row>
    <row r="12" spans="2:12">
      <c r="B12" s="13" t="s">
        <v>59</v>
      </c>
      <c r="C12" s="14">
        <f>D12*C$19</f>
        <v>200000</v>
      </c>
      <c r="D12" s="29">
        <v>0.02</v>
      </c>
      <c r="F12" s="13">
        <v>0</v>
      </c>
      <c r="G12" s="37">
        <f>G$27</f>
        <v>0.3</v>
      </c>
      <c r="H12" s="10">
        <f>IFERROR(F12/G12,0)</f>
        <v>0</v>
      </c>
      <c r="I12" s="6">
        <f t="shared" si="0"/>
        <v>200000</v>
      </c>
      <c r="J12" s="35">
        <f>IFERROR(I12/I$19,0)</f>
        <v>1.2800000000000001E-2</v>
      </c>
      <c r="K12" s="4">
        <f>I12*G$27</f>
        <v>60000</v>
      </c>
    </row>
    <row r="13" spans="2:12">
      <c r="D13" s="36"/>
    </row>
    <row r="14" spans="2:12">
      <c r="B14" s="13" t="s">
        <v>60</v>
      </c>
      <c r="C14" s="14">
        <f>D14*C$19</f>
        <v>0</v>
      </c>
      <c r="D14" s="29">
        <v>0</v>
      </c>
      <c r="F14" s="13">
        <v>500000</v>
      </c>
      <c r="G14" s="37">
        <f>G$27</f>
        <v>0.3</v>
      </c>
      <c r="H14" s="4">
        <f>IFERROR(F14/G14,0)</f>
        <v>1666666.6666666667</v>
      </c>
      <c r="I14" s="6">
        <f t="shared" si="0"/>
        <v>1666666.6666666667</v>
      </c>
      <c r="J14" s="35">
        <f>IFERROR(I14/I$19,0)</f>
        <v>0.10666666666666667</v>
      </c>
      <c r="K14" s="4">
        <f>I14*G$27</f>
        <v>500000</v>
      </c>
      <c r="L14" s="10" t="s">
        <v>82</v>
      </c>
    </row>
    <row r="15" spans="2:12">
      <c r="B15" s="13" t="s">
        <v>64</v>
      </c>
      <c r="C15" s="14">
        <f>D15*C$19</f>
        <v>0</v>
      </c>
      <c r="D15" s="29">
        <v>0</v>
      </c>
      <c r="F15" s="13">
        <v>250000</v>
      </c>
      <c r="G15" s="37">
        <f>G$27</f>
        <v>0.3</v>
      </c>
      <c r="H15" s="4">
        <f>IFERROR(F15/G15,0)</f>
        <v>833333.33333333337</v>
      </c>
      <c r="I15" s="6">
        <f t="shared" si="0"/>
        <v>833333.33333333337</v>
      </c>
      <c r="J15" s="35">
        <f>IFERROR(I15/I$19,0)</f>
        <v>5.3333333333333337E-2</v>
      </c>
      <c r="K15" s="4">
        <f>I15*G$27</f>
        <v>250000</v>
      </c>
    </row>
    <row r="16" spans="2:12">
      <c r="D16" s="36"/>
    </row>
    <row r="17" spans="2:11">
      <c r="B17" s="13" t="s">
        <v>29</v>
      </c>
      <c r="C17" s="14">
        <f>D17*C$19</f>
        <v>0</v>
      </c>
      <c r="D17" s="29">
        <v>0</v>
      </c>
      <c r="F17" s="13">
        <v>0</v>
      </c>
      <c r="G17" s="37">
        <f>G$27</f>
        <v>0.3</v>
      </c>
      <c r="H17" s="6">
        <f>G31</f>
        <v>3125000</v>
      </c>
      <c r="I17" s="6">
        <f t="shared" si="0"/>
        <v>3125000</v>
      </c>
      <c r="J17" s="35">
        <f>IFERROR(I17/I$19,0)</f>
        <v>0.2</v>
      </c>
      <c r="K17" s="4">
        <f>I17*G$27</f>
        <v>937500</v>
      </c>
    </row>
    <row r="18" spans="2:11">
      <c r="D18" s="36"/>
    </row>
    <row r="19" spans="2:11">
      <c r="B19" s="38" t="s">
        <v>20</v>
      </c>
      <c r="C19" s="12">
        <v>10000000</v>
      </c>
      <c r="D19" s="39">
        <f>SUM(D8:D12,D14:D15,D17)</f>
        <v>1</v>
      </c>
      <c r="F19" s="8">
        <f>SUM(F8:F12,F14:F15,F17)</f>
        <v>750000</v>
      </c>
      <c r="G19" s="38"/>
      <c r="H19" s="8">
        <f>SUM(H8:H12,H14:H15,H17)</f>
        <v>5625000</v>
      </c>
      <c r="I19" s="8">
        <f>SUM(I8:I12,I14:I15,I17)</f>
        <v>15625000</v>
      </c>
      <c r="J19" s="39">
        <f>SUM(J8:J12,J14:J15,J17)</f>
        <v>1.0000000000000002</v>
      </c>
      <c r="K19" s="8">
        <f>SUM(K8:K12,K14:K15,K17)</f>
        <v>4687500</v>
      </c>
    </row>
    <row r="22" spans="2:11">
      <c r="F22" s="34" t="s">
        <v>65</v>
      </c>
    </row>
    <row r="23" spans="2:11">
      <c r="F23" s="2" t="s">
        <v>67</v>
      </c>
      <c r="G23" s="6">
        <f>F19</f>
        <v>750000</v>
      </c>
    </row>
    <row r="24" spans="2:11">
      <c r="F24" s="2" t="s">
        <v>113</v>
      </c>
      <c r="G24" s="6">
        <f>G25</f>
        <v>3000000</v>
      </c>
      <c r="H24" s="10" t="s">
        <v>78</v>
      </c>
    </row>
    <row r="25" spans="2:11">
      <c r="F25" s="2" t="s">
        <v>66</v>
      </c>
      <c r="G25" s="13">
        <v>3000000</v>
      </c>
    </row>
    <row r="26" spans="2:11">
      <c r="F26" s="2" t="s">
        <v>103</v>
      </c>
      <c r="G26" s="6">
        <f>G25+G23</f>
        <v>3750000</v>
      </c>
    </row>
    <row r="27" spans="2:11">
      <c r="F27" s="2" t="s">
        <v>62</v>
      </c>
      <c r="G27" s="37">
        <f>G24/C19</f>
        <v>0.3</v>
      </c>
    </row>
    <row r="28" spans="2:11">
      <c r="F28" s="2" t="s">
        <v>94</v>
      </c>
      <c r="G28" s="5">
        <f>G23/G26</f>
        <v>0.2</v>
      </c>
    </row>
    <row r="30" spans="2:11">
      <c r="F30" s="2" t="s">
        <v>116</v>
      </c>
      <c r="G30" s="29">
        <v>0.2</v>
      </c>
    </row>
    <row r="31" spans="2:11">
      <c r="F31" s="2" t="s">
        <v>114</v>
      </c>
      <c r="G31" s="4">
        <f>G30*G26/(G27*(1-G30))</f>
        <v>3125000</v>
      </c>
      <c r="H31" s="10" t="s">
        <v>172</v>
      </c>
    </row>
    <row r="33" spans="2:2">
      <c r="B33" s="33" t="s">
        <v>54</v>
      </c>
    </row>
    <row r="34" spans="2:2">
      <c r="B34" s="33"/>
    </row>
    <row r="35" spans="2:2">
      <c r="B35" s="2" t="s">
        <v>124</v>
      </c>
    </row>
    <row r="36" spans="2:2">
      <c r="B36" s="2" t="s">
        <v>125</v>
      </c>
    </row>
    <row r="37" spans="2:2">
      <c r="B37" s="2" t="s">
        <v>171</v>
      </c>
    </row>
    <row r="38" spans="2:2">
      <c r="B38" s="2" t="s">
        <v>173</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S44"/>
  <sheetViews>
    <sheetView showGridLines="0" topLeftCell="A10" workbookViewId="0">
      <pane xSplit="2" topLeftCell="K1" activePane="topRight" state="frozen"/>
      <selection activeCell="B47" sqref="B47"/>
      <selection pane="topRight" activeCell="B47" sqref="B47"/>
    </sheetView>
  </sheetViews>
  <sheetFormatPr baseColWidth="10" defaultRowHeight="17" x14ac:dyDescent="0"/>
  <cols>
    <col min="1" max="1" width="5.33203125" style="2" customWidth="1"/>
    <col min="2" max="2" width="21.5" style="2" customWidth="1"/>
    <col min="3" max="3" width="18.6640625" style="2" customWidth="1"/>
    <col min="4" max="4" width="14.6640625" style="2" customWidth="1"/>
    <col min="5" max="5" width="9.83203125" style="2" customWidth="1"/>
    <col min="6" max="6" width="33" style="2" customWidth="1"/>
    <col min="7" max="11" width="18.6640625" style="2" customWidth="1"/>
    <col min="12" max="12" width="10.83203125" style="2"/>
    <col min="13" max="13" width="31.5" style="2" customWidth="1"/>
    <col min="14" max="18" width="18.1640625" style="2" customWidth="1"/>
    <col min="19" max="16384" width="10.83203125" style="2"/>
  </cols>
  <sheetData>
    <row r="2" spans="2:19">
      <c r="B2" s="19" t="s">
        <v>176</v>
      </c>
    </row>
    <row r="3" spans="2:19">
      <c r="B3" s="34" t="s">
        <v>58</v>
      </c>
    </row>
    <row r="6" spans="2:19" ht="34">
      <c r="B6" s="28" t="s">
        <v>55</v>
      </c>
      <c r="C6" s="27" t="s">
        <v>414</v>
      </c>
      <c r="D6" s="27" t="s">
        <v>39</v>
      </c>
      <c r="F6" s="27" t="s">
        <v>61</v>
      </c>
      <c r="G6" s="27" t="s">
        <v>62</v>
      </c>
      <c r="H6" s="27" t="s">
        <v>117</v>
      </c>
      <c r="I6" s="27" t="s">
        <v>414</v>
      </c>
      <c r="J6" s="27" t="s">
        <v>39</v>
      </c>
      <c r="K6" s="27" t="s">
        <v>63</v>
      </c>
      <c r="M6" s="27" t="s">
        <v>61</v>
      </c>
      <c r="N6" s="27" t="s">
        <v>62</v>
      </c>
      <c r="O6" s="27" t="s">
        <v>117</v>
      </c>
      <c r="P6" s="27" t="s">
        <v>414</v>
      </c>
      <c r="Q6" s="27" t="s">
        <v>39</v>
      </c>
      <c r="R6" s="27" t="s">
        <v>63</v>
      </c>
    </row>
    <row r="8" spans="2:19">
      <c r="B8" s="13" t="s">
        <v>57</v>
      </c>
      <c r="C8" s="14">
        <f>D8*C$21</f>
        <v>6000000</v>
      </c>
      <c r="D8" s="29">
        <v>0.6</v>
      </c>
      <c r="F8" s="13">
        <v>0</v>
      </c>
      <c r="G8" s="37">
        <f>G$29</f>
        <v>0.22500000000000001</v>
      </c>
      <c r="H8" s="10">
        <f>IFERROR(F8/G8,0)</f>
        <v>0</v>
      </c>
      <c r="I8" s="6">
        <f>H8+C8</f>
        <v>6000000</v>
      </c>
      <c r="J8" s="35">
        <f>IFERROR(I8/I$21,0)</f>
        <v>0.36000000000000004</v>
      </c>
      <c r="K8" s="4">
        <f>I8*G$29</f>
        <v>1350000</v>
      </c>
      <c r="M8" s="13">
        <v>0</v>
      </c>
      <c r="N8" s="37">
        <f>N$29</f>
        <v>0.72000000000000008</v>
      </c>
      <c r="O8" s="10">
        <f>IFERROR(M8/N8,0)</f>
        <v>0</v>
      </c>
      <c r="P8" s="6">
        <f>O8+I8</f>
        <v>6000000</v>
      </c>
      <c r="Q8" s="35">
        <f>IFERROR(P8/P$21,0)</f>
        <v>0.24789424857645101</v>
      </c>
      <c r="R8" s="4">
        <f>P8*N$29</f>
        <v>4320000.0000000009</v>
      </c>
    </row>
    <row r="9" spans="2:19">
      <c r="B9" s="13" t="s">
        <v>57</v>
      </c>
      <c r="C9" s="14">
        <f>D9*C$21</f>
        <v>3000000</v>
      </c>
      <c r="D9" s="29">
        <v>0.3</v>
      </c>
      <c r="F9" s="13">
        <v>0</v>
      </c>
      <c r="G9" s="37">
        <f>G$29</f>
        <v>0.22500000000000001</v>
      </c>
      <c r="H9" s="10">
        <f>IFERROR(F9/G9,0)</f>
        <v>0</v>
      </c>
      <c r="I9" s="6">
        <f>H9+C9</f>
        <v>3000000</v>
      </c>
      <c r="J9" s="35">
        <f>IFERROR(I9/I$21,0)</f>
        <v>0.18000000000000002</v>
      </c>
      <c r="K9" s="4">
        <f>I9*G$29</f>
        <v>675000</v>
      </c>
      <c r="M9" s="13">
        <v>0</v>
      </c>
      <c r="N9" s="37">
        <f>N$29</f>
        <v>0.72000000000000008</v>
      </c>
      <c r="O9" s="10">
        <f>IFERROR(M9/N9,0)</f>
        <v>0</v>
      </c>
      <c r="P9" s="6">
        <f>O9+I9</f>
        <v>3000000</v>
      </c>
      <c r="Q9" s="35">
        <f>IFERROR(P9/P$21,0)</f>
        <v>0.1239471242882255</v>
      </c>
      <c r="R9" s="4">
        <f>P9*N$29</f>
        <v>2160000.0000000005</v>
      </c>
    </row>
    <row r="10" spans="2:19">
      <c r="B10" s="13" t="s">
        <v>59</v>
      </c>
      <c r="C10" s="14">
        <f>D10*C$21</f>
        <v>700000.00000000012</v>
      </c>
      <c r="D10" s="29">
        <v>7.0000000000000007E-2</v>
      </c>
      <c r="F10" s="13">
        <v>0</v>
      </c>
      <c r="G10" s="37">
        <f>G$29</f>
        <v>0.22500000000000001</v>
      </c>
      <c r="H10" s="10">
        <f>IFERROR(F10/G10,0)</f>
        <v>0</v>
      </c>
      <c r="I10" s="6">
        <f t="shared" ref="I10:I15" si="0">H10+C10</f>
        <v>700000.00000000012</v>
      </c>
      <c r="J10" s="35">
        <f>IFERROR(I10/I$21,0)</f>
        <v>4.2000000000000016E-2</v>
      </c>
      <c r="K10" s="4">
        <f>I10*G$29</f>
        <v>157500.00000000003</v>
      </c>
      <c r="M10" s="13">
        <v>0</v>
      </c>
      <c r="N10" s="37">
        <f>N$29</f>
        <v>0.72000000000000008</v>
      </c>
      <c r="O10" s="10">
        <f>IFERROR(M10/N10,0)</f>
        <v>0</v>
      </c>
      <c r="P10" s="6">
        <f>O10+I10</f>
        <v>700000.00000000012</v>
      </c>
      <c r="Q10" s="35">
        <f>IFERROR(P10/P$21,0)</f>
        <v>2.8920995667252623E-2</v>
      </c>
      <c r="R10" s="4">
        <f>P10*N$29</f>
        <v>504000.00000000012</v>
      </c>
      <c r="S10" s="10"/>
    </row>
    <row r="11" spans="2:19">
      <c r="B11" s="13" t="s">
        <v>59</v>
      </c>
      <c r="C11" s="14">
        <f>D11*C$21</f>
        <v>300000</v>
      </c>
      <c r="D11" s="29">
        <v>0.03</v>
      </c>
      <c r="F11" s="13">
        <v>0</v>
      </c>
      <c r="G11" s="37">
        <f>G$29</f>
        <v>0.22500000000000001</v>
      </c>
      <c r="H11" s="10">
        <f>IFERROR(F11/G11,0)</f>
        <v>0</v>
      </c>
      <c r="I11" s="6">
        <f t="shared" si="0"/>
        <v>300000</v>
      </c>
      <c r="J11" s="35">
        <f>IFERROR(I11/I$21,0)</f>
        <v>1.8000000000000002E-2</v>
      </c>
      <c r="K11" s="4">
        <f>I11*G$29</f>
        <v>67500</v>
      </c>
      <c r="M11" s="13">
        <v>0</v>
      </c>
      <c r="N11" s="37">
        <f>N$29</f>
        <v>0.72000000000000008</v>
      </c>
      <c r="O11" s="10">
        <f>IFERROR(M11/N11,0)</f>
        <v>0</v>
      </c>
      <c r="P11" s="6">
        <f>O11+I11</f>
        <v>300000</v>
      </c>
      <c r="Q11" s="35">
        <f>IFERROR(P11/P$21,0)</f>
        <v>1.2394712428822551E-2</v>
      </c>
      <c r="R11" s="4">
        <f>P11*N$29</f>
        <v>216000.00000000003</v>
      </c>
      <c r="S11" s="10"/>
    </row>
    <row r="12" spans="2:19">
      <c r="B12" s="13" t="s">
        <v>64</v>
      </c>
      <c r="C12" s="14">
        <f>D12*C$21</f>
        <v>0</v>
      </c>
      <c r="D12" s="29">
        <v>0</v>
      </c>
      <c r="F12" s="13">
        <v>0</v>
      </c>
      <c r="G12" s="37">
        <f>G$29</f>
        <v>0.22500000000000001</v>
      </c>
      <c r="H12" s="10">
        <f>IFERROR(F12/G12,0)</f>
        <v>0</v>
      </c>
      <c r="I12" s="6">
        <f t="shared" si="0"/>
        <v>0</v>
      </c>
      <c r="J12" s="35">
        <f>IFERROR(I12/I$21,0)</f>
        <v>0</v>
      </c>
      <c r="K12" s="4">
        <f>I12*G$29</f>
        <v>0</v>
      </c>
      <c r="M12" s="13">
        <v>100000</v>
      </c>
      <c r="N12" s="37">
        <f>N$29</f>
        <v>0.72000000000000008</v>
      </c>
      <c r="O12" s="4">
        <f>IFERROR(M12/N12,0)</f>
        <v>138888.88888888888</v>
      </c>
      <c r="P12" s="6">
        <f>O12+I12</f>
        <v>138888.88888888888</v>
      </c>
      <c r="Q12" s="35">
        <f>IFERROR(P12/P$21,0)</f>
        <v>5.738292791121551E-3</v>
      </c>
      <c r="R12" s="4">
        <f>P12*N$29</f>
        <v>100000</v>
      </c>
      <c r="S12" s="10" t="s">
        <v>79</v>
      </c>
    </row>
    <row r="13" spans="2:19">
      <c r="D13" s="36"/>
      <c r="S13" s="10"/>
    </row>
    <row r="14" spans="2:19">
      <c r="B14" s="13" t="s">
        <v>60</v>
      </c>
      <c r="C14" s="14">
        <f>D14*C$21</f>
        <v>0</v>
      </c>
      <c r="D14" s="29">
        <v>0</v>
      </c>
      <c r="F14" s="13">
        <v>500000</v>
      </c>
      <c r="G14" s="37">
        <f>G$29</f>
        <v>0.22500000000000001</v>
      </c>
      <c r="H14" s="4">
        <f>IFERROR(F14/G14,0)</f>
        <v>2222222.222222222</v>
      </c>
      <c r="I14" s="6">
        <f t="shared" si="0"/>
        <v>2222222.222222222</v>
      </c>
      <c r="J14" s="35">
        <f>IFERROR(I14/I$21,0)</f>
        <v>0.13333333333333333</v>
      </c>
      <c r="K14" s="4">
        <f>I14*G$29</f>
        <v>499999.99999999994</v>
      </c>
      <c r="M14" s="13">
        <v>584107.32530946471</v>
      </c>
      <c r="N14" s="37">
        <f>N$29</f>
        <v>0.72000000000000008</v>
      </c>
      <c r="O14" s="4">
        <f>IFERROR(M14/N14,0)</f>
        <v>811260.17404092313</v>
      </c>
      <c r="P14" s="6">
        <f>O14+I14</f>
        <v>3033482.3962631449</v>
      </c>
      <c r="Q14" s="35">
        <f>IFERROR(P14/P$21,0)</f>
        <v>0.12533047319859072</v>
      </c>
      <c r="R14" s="4">
        <f>P14*N$29</f>
        <v>2184107.3253094647</v>
      </c>
      <c r="S14" s="10" t="s">
        <v>83</v>
      </c>
    </row>
    <row r="15" spans="2:19">
      <c r="B15" s="13" t="s">
        <v>64</v>
      </c>
      <c r="C15" s="14">
        <f>D15*C$21</f>
        <v>0</v>
      </c>
      <c r="D15" s="29">
        <v>0</v>
      </c>
      <c r="F15" s="13">
        <v>250000</v>
      </c>
      <c r="G15" s="37">
        <f>G$29</f>
        <v>0.22500000000000001</v>
      </c>
      <c r="H15" s="4">
        <f>IFERROR(F15/G15,0)</f>
        <v>1111111.111111111</v>
      </c>
      <c r="I15" s="6">
        <f t="shared" si="0"/>
        <v>1111111.111111111</v>
      </c>
      <c r="J15" s="35">
        <f>IFERROR(I15/I$21,0)</f>
        <v>6.6666666666666666E-2</v>
      </c>
      <c r="K15" s="4">
        <f>I15*G$29</f>
        <v>249999.99999999997</v>
      </c>
      <c r="M15" s="13">
        <v>0</v>
      </c>
      <c r="N15" s="37">
        <f>N$29</f>
        <v>0.72000000000000008</v>
      </c>
      <c r="O15" s="4">
        <f>IFERROR(M15/N15,0)</f>
        <v>0</v>
      </c>
      <c r="P15" s="6">
        <f>O15+I15</f>
        <v>1111111.111111111</v>
      </c>
      <c r="Q15" s="35">
        <f>IFERROR(P15/P$21,0)</f>
        <v>4.5906342328972408E-2</v>
      </c>
      <c r="R15" s="4">
        <f>P15*N$29</f>
        <v>800000</v>
      </c>
      <c r="S15" s="10"/>
    </row>
    <row r="16" spans="2:19">
      <c r="B16" s="13" t="s">
        <v>91</v>
      </c>
      <c r="C16" s="14">
        <f>D16*C$21</f>
        <v>0</v>
      </c>
      <c r="D16" s="29">
        <v>0</v>
      </c>
      <c r="F16" s="13">
        <v>0</v>
      </c>
      <c r="G16" s="37">
        <f>G$29</f>
        <v>0.22500000000000001</v>
      </c>
      <c r="H16" s="4">
        <f>IFERROR(F16/G16,0)</f>
        <v>0</v>
      </c>
      <c r="I16" s="6">
        <f t="shared" ref="I16" si="1">H16+C16</f>
        <v>0</v>
      </c>
      <c r="J16" s="35">
        <f>IFERROR(I16/I$21,0)</f>
        <v>0</v>
      </c>
      <c r="K16" s="4">
        <f>I16*G$29</f>
        <v>0</v>
      </c>
      <c r="M16" s="13">
        <v>3000000</v>
      </c>
      <c r="N16" s="37">
        <f>N$29</f>
        <v>0.72000000000000008</v>
      </c>
      <c r="O16" s="4">
        <f>IFERROR(M16/N16,0)</f>
        <v>4166666.666666666</v>
      </c>
      <c r="P16" s="6">
        <f>O16+I16</f>
        <v>4166666.666666666</v>
      </c>
      <c r="Q16" s="35">
        <f>IFERROR(P16/P$21,0)</f>
        <v>0.1721487837336465</v>
      </c>
      <c r="R16" s="4">
        <f>P16*N$29</f>
        <v>3000000</v>
      </c>
    </row>
    <row r="17" spans="2:18">
      <c r="D17" s="36"/>
    </row>
    <row r="18" spans="2:18">
      <c r="B18" s="10" t="s">
        <v>190</v>
      </c>
      <c r="C18" s="14">
        <f>D18*C$21</f>
        <v>0</v>
      </c>
      <c r="D18" s="29">
        <v>0</v>
      </c>
      <c r="F18" s="13">
        <v>0</v>
      </c>
      <c r="G18" s="37">
        <f>G$29</f>
        <v>0.22500000000000001</v>
      </c>
      <c r="H18" s="4">
        <f>G35*C19</f>
        <v>0</v>
      </c>
      <c r="I18" s="6">
        <f t="shared" ref="I18" si="2">H18+C18</f>
        <v>0</v>
      </c>
      <c r="J18" s="35">
        <f>IFERROR(I18/I$21,0)</f>
        <v>0</v>
      </c>
      <c r="K18" s="4">
        <f>I18*G$29</f>
        <v>0</v>
      </c>
      <c r="M18" s="13">
        <v>0</v>
      </c>
      <c r="N18" s="37">
        <f>N$29</f>
        <v>0.72000000000000008</v>
      </c>
      <c r="O18" s="4">
        <f>N35*I19</f>
        <v>1666666.6666666665</v>
      </c>
      <c r="P18" s="6">
        <f>O18+I18</f>
        <v>1666666.6666666665</v>
      </c>
      <c r="Q18" s="35">
        <f>IFERROR(P18/P$21,0)</f>
        <v>6.8859513493458605E-2</v>
      </c>
      <c r="R18" s="4">
        <f>P18*N$29</f>
        <v>1200000</v>
      </c>
    </row>
    <row r="19" spans="2:18">
      <c r="B19" s="13" t="s">
        <v>29</v>
      </c>
      <c r="C19" s="14">
        <f>D19*C$21</f>
        <v>0</v>
      </c>
      <c r="D19" s="29">
        <v>0</v>
      </c>
      <c r="F19" s="13">
        <v>0</v>
      </c>
      <c r="G19" s="37">
        <f>G29</f>
        <v>0.22500000000000001</v>
      </c>
      <c r="H19" s="6">
        <f>G34</f>
        <v>3333333.333333333</v>
      </c>
      <c r="I19" s="6">
        <f>H19+C19-H18</f>
        <v>3333333.333333333</v>
      </c>
      <c r="J19" s="35">
        <f>IFERROR(I19/I$21,0)</f>
        <v>0.2</v>
      </c>
      <c r="K19" s="4">
        <f>I19*G$29</f>
        <v>750000</v>
      </c>
      <c r="M19" s="13">
        <v>0</v>
      </c>
      <c r="N19" s="37">
        <f>N29</f>
        <v>0.72000000000000008</v>
      </c>
      <c r="O19" s="6">
        <f>N34</f>
        <v>2420386.9329181272</v>
      </c>
      <c r="P19" s="6">
        <f>O19+I19-O18</f>
        <v>4087053.5995847932</v>
      </c>
      <c r="Q19" s="35">
        <f>IFERROR(P19/P$21,0)</f>
        <v>0.1688595134934586</v>
      </c>
      <c r="R19" s="4">
        <f>P19*N$29</f>
        <v>2942678.5917010517</v>
      </c>
    </row>
    <row r="20" spans="2:18">
      <c r="D20" s="36"/>
    </row>
    <row r="21" spans="2:18">
      <c r="B21" s="38" t="s">
        <v>20</v>
      </c>
      <c r="C21" s="12">
        <v>10000000</v>
      </c>
      <c r="D21" s="7">
        <f>SUM(D8:D12,D14:D16,D18:D19)</f>
        <v>1</v>
      </c>
      <c r="F21" s="8">
        <f>SUM(F8:F12,F14:F16,F18:F19)</f>
        <v>750000</v>
      </c>
      <c r="G21" s="38"/>
      <c r="H21" s="8">
        <f>SUM(H8:H12,H14:H16,H18:H19)</f>
        <v>6666666.666666666</v>
      </c>
      <c r="I21" s="8">
        <f>SUM(I8:I12,I14:I16,I18:I19)</f>
        <v>16666666.666666664</v>
      </c>
      <c r="J21" s="7">
        <f>SUM(J8:J12,J14:J16,J18:J19)</f>
        <v>1</v>
      </c>
      <c r="K21" s="8">
        <f>SUM(K8:K12,K14:K16,K18:K19)</f>
        <v>3750000</v>
      </c>
      <c r="M21" s="8">
        <f>SUM(M8:M12,M14:M16,M18:M19)</f>
        <v>3684107.3253094647</v>
      </c>
      <c r="N21" s="38"/>
      <c r="O21" s="8">
        <f>SUM(O8:O12,O14:O16,O18:O19)</f>
        <v>9203869.3291812725</v>
      </c>
      <c r="P21" s="8">
        <f>SUM(P8:P12,P14:P16,P18:P19)</f>
        <v>24203869.329181269</v>
      </c>
      <c r="Q21" s="7">
        <f>SUM(Q8:Q12,Q14:Q16,Q18:Q19)</f>
        <v>1</v>
      </c>
      <c r="R21" s="8">
        <f>SUM(R8:R12,R14:R16,R18:R19)</f>
        <v>17426785.91701052</v>
      </c>
    </row>
    <row r="24" spans="2:18">
      <c r="F24" s="34" t="s">
        <v>65</v>
      </c>
      <c r="M24" s="34" t="s">
        <v>89</v>
      </c>
    </row>
    <row r="25" spans="2:18">
      <c r="F25" s="2" t="s">
        <v>67</v>
      </c>
      <c r="G25" s="6">
        <f>F21</f>
        <v>750000</v>
      </c>
      <c r="M25" s="2" t="s">
        <v>67</v>
      </c>
      <c r="N25" s="6">
        <f>M21</f>
        <v>3684107.3253094647</v>
      </c>
    </row>
    <row r="26" spans="2:18">
      <c r="F26" s="2" t="s">
        <v>113</v>
      </c>
      <c r="G26" s="6">
        <f>G27-G28*G32</f>
        <v>2250000</v>
      </c>
      <c r="M26" s="2" t="s">
        <v>113</v>
      </c>
      <c r="N26" s="6">
        <f>N27-N28*N32</f>
        <v>12000000</v>
      </c>
    </row>
    <row r="27" spans="2:18">
      <c r="F27" s="2" t="s">
        <v>66</v>
      </c>
      <c r="G27" s="13">
        <v>3000000</v>
      </c>
      <c r="M27" s="2" t="s">
        <v>66</v>
      </c>
      <c r="N27" s="13">
        <v>12000000</v>
      </c>
    </row>
    <row r="28" spans="2:18">
      <c r="F28" s="2" t="s">
        <v>103</v>
      </c>
      <c r="G28" s="6">
        <f>G27+G25</f>
        <v>3750000</v>
      </c>
      <c r="M28" s="2" t="s">
        <v>103</v>
      </c>
      <c r="N28" s="6">
        <f>N27+N25</f>
        <v>15684107.325309465</v>
      </c>
      <c r="P28" s="87"/>
    </row>
    <row r="29" spans="2:18">
      <c r="F29" s="2" t="s">
        <v>62</v>
      </c>
      <c r="G29" s="37">
        <f>G26/C21</f>
        <v>0.22500000000000001</v>
      </c>
      <c r="M29" s="2" t="s">
        <v>62</v>
      </c>
      <c r="N29" s="37">
        <f>N26/I21</f>
        <v>0.72000000000000008</v>
      </c>
    </row>
    <row r="30" spans="2:18">
      <c r="F30" s="2" t="s">
        <v>94</v>
      </c>
      <c r="G30" s="5">
        <f>G25/G28</f>
        <v>0.2</v>
      </c>
      <c r="M30" s="2" t="s">
        <v>94</v>
      </c>
      <c r="N30" s="5">
        <f>N25/N28</f>
        <v>0.23489429451712662</v>
      </c>
    </row>
    <row r="31" spans="2:18">
      <c r="H31" s="10"/>
      <c r="O31" s="10"/>
    </row>
    <row r="32" spans="2:18">
      <c r="F32" s="2" t="s">
        <v>115</v>
      </c>
      <c r="G32" s="29">
        <v>0.2</v>
      </c>
      <c r="H32" s="10" t="s">
        <v>78</v>
      </c>
      <c r="M32" s="2" t="s">
        <v>115</v>
      </c>
      <c r="N32" s="29">
        <v>0</v>
      </c>
      <c r="O32" s="10" t="s">
        <v>78</v>
      </c>
    </row>
    <row r="33" spans="2:15">
      <c r="F33" s="2" t="s">
        <v>116</v>
      </c>
      <c r="G33" s="29">
        <v>0</v>
      </c>
      <c r="H33" s="10" t="s">
        <v>78</v>
      </c>
      <c r="M33" s="2" t="s">
        <v>116</v>
      </c>
      <c r="N33" s="29">
        <v>0.1</v>
      </c>
      <c r="O33" s="10" t="s">
        <v>78</v>
      </c>
    </row>
    <row r="34" spans="2:15">
      <c r="F34" s="2" t="s">
        <v>114</v>
      </c>
      <c r="G34" s="4">
        <f>G33*G28/(G29*(1-G33))+G32*G28/G29</f>
        <v>3333333.333333333</v>
      </c>
      <c r="H34" s="10"/>
      <c r="M34" s="2" t="s">
        <v>114</v>
      </c>
      <c r="N34" s="4">
        <f>N33*N28/(N29*(1-N33))+N32*N28/N29</f>
        <v>2420386.9329181272</v>
      </c>
      <c r="O34" s="10"/>
    </row>
    <row r="35" spans="2:15">
      <c r="F35" s="2" t="s">
        <v>177</v>
      </c>
      <c r="G35" s="29">
        <v>0</v>
      </c>
      <c r="H35" s="10" t="s">
        <v>160</v>
      </c>
      <c r="M35" s="2" t="s">
        <v>177</v>
      </c>
      <c r="N35" s="29">
        <v>0.5</v>
      </c>
      <c r="O35" s="10" t="s">
        <v>160</v>
      </c>
    </row>
    <row r="36" spans="2:15">
      <c r="F36" s="2" t="s">
        <v>40</v>
      </c>
      <c r="G36" s="73">
        <f ca="1">EDATE(TODAY(),-18)</f>
        <v>42933</v>
      </c>
      <c r="H36" s="10" t="s">
        <v>182</v>
      </c>
      <c r="M36" s="2" t="s">
        <v>40</v>
      </c>
      <c r="N36" s="73">
        <f ca="1">TODAY()</f>
        <v>43482</v>
      </c>
      <c r="O36" s="10" t="s">
        <v>182</v>
      </c>
    </row>
    <row r="37" spans="2:15">
      <c r="O37" s="10"/>
    </row>
    <row r="38" spans="2:15">
      <c r="B38" s="33" t="s">
        <v>54</v>
      </c>
    </row>
    <row r="39" spans="2:15">
      <c r="B39" s="2" t="s">
        <v>174</v>
      </c>
    </row>
    <row r="40" spans="2:15">
      <c r="B40" s="2" t="s">
        <v>290</v>
      </c>
    </row>
    <row r="41" spans="2:15">
      <c r="B41" s="2" t="s">
        <v>179</v>
      </c>
    </row>
    <row r="42" spans="2:15">
      <c r="B42" s="2" t="s">
        <v>183</v>
      </c>
    </row>
    <row r="43" spans="2:15">
      <c r="B43" s="2" t="s">
        <v>186</v>
      </c>
    </row>
    <row r="44" spans="2:15">
      <c r="B44" s="2" t="s">
        <v>187</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P32"/>
  <sheetViews>
    <sheetView showGridLines="0" topLeftCell="A4" workbookViewId="0">
      <pane xSplit="2" topLeftCell="G1" activePane="topRight" state="frozen"/>
      <selection activeCell="B47" sqref="B47"/>
      <selection pane="topRight" activeCell="B47" sqref="B47"/>
    </sheetView>
  </sheetViews>
  <sheetFormatPr baseColWidth="10" defaultRowHeight="17" x14ac:dyDescent="0"/>
  <cols>
    <col min="1" max="1" width="5.33203125" style="2" customWidth="1"/>
    <col min="2" max="2" width="21.5" style="2" customWidth="1"/>
    <col min="3" max="3" width="18.6640625" style="2" customWidth="1"/>
    <col min="4" max="4" width="14.6640625" style="2" customWidth="1"/>
    <col min="5" max="5" width="9.83203125" style="2" customWidth="1"/>
    <col min="6" max="6" width="21.83203125" style="2" customWidth="1"/>
    <col min="7" max="8" width="18.6640625" style="2" customWidth="1"/>
    <col min="9" max="9" width="19.6640625" style="2" customWidth="1"/>
    <col min="10" max="12" width="16.83203125" style="2" customWidth="1"/>
    <col min="13" max="16" width="16.1640625" style="2" customWidth="1"/>
    <col min="17" max="16384" width="10.83203125" style="2"/>
  </cols>
  <sheetData>
    <row r="2" spans="2:16">
      <c r="B2" s="19" t="s">
        <v>97</v>
      </c>
    </row>
    <row r="3" spans="2:16">
      <c r="B3" s="34" t="s">
        <v>58</v>
      </c>
    </row>
    <row r="6" spans="2:16" s="43" customFormat="1" ht="34">
      <c r="B6" s="28" t="s">
        <v>55</v>
      </c>
      <c r="C6" s="27" t="s">
        <v>414</v>
      </c>
      <c r="D6" s="27" t="s">
        <v>39</v>
      </c>
      <c r="F6" s="27" t="s">
        <v>61</v>
      </c>
      <c r="G6" s="42" t="s">
        <v>15</v>
      </c>
      <c r="H6" s="42" t="s">
        <v>96</v>
      </c>
      <c r="I6" s="27" t="s">
        <v>128</v>
      </c>
      <c r="J6" s="27" t="s">
        <v>62</v>
      </c>
      <c r="K6" s="27" t="s">
        <v>117</v>
      </c>
      <c r="L6" s="27" t="s">
        <v>414</v>
      </c>
      <c r="M6" s="27" t="s">
        <v>39</v>
      </c>
      <c r="N6" s="27" t="s">
        <v>63</v>
      </c>
      <c r="O6" s="27" t="s">
        <v>650</v>
      </c>
      <c r="P6" s="27" t="s">
        <v>39</v>
      </c>
    </row>
    <row r="8" spans="2:16">
      <c r="B8" s="13" t="s">
        <v>57</v>
      </c>
      <c r="C8" s="14">
        <f>D8*C$17</f>
        <v>6000000</v>
      </c>
      <c r="D8" s="29">
        <v>0.6</v>
      </c>
      <c r="F8" s="13">
        <v>0</v>
      </c>
      <c r="G8" s="40">
        <v>0</v>
      </c>
      <c r="H8" s="13">
        <v>0</v>
      </c>
      <c r="I8" s="29">
        <v>0</v>
      </c>
      <c r="J8" s="37">
        <f>G$24</f>
        <v>0</v>
      </c>
      <c r="K8" s="10">
        <f>IFERROR(F8/J8,0)</f>
        <v>0</v>
      </c>
      <c r="L8" s="6">
        <f>K8+C8</f>
        <v>6000000</v>
      </c>
      <c r="M8" s="35">
        <f>IFERROR(L8/L$17,0)</f>
        <v>0.6</v>
      </c>
      <c r="N8" s="4">
        <f>L8*G$24</f>
        <v>0</v>
      </c>
      <c r="O8" s="4">
        <f>IFERROR(F8/(H8/C$17),0)+L8</f>
        <v>6000000</v>
      </c>
      <c r="P8" s="35">
        <f>IFERROR(O8/O$17,0)</f>
        <v>0.48</v>
      </c>
    </row>
    <row r="9" spans="2:16">
      <c r="B9" s="13" t="s">
        <v>57</v>
      </c>
      <c r="C9" s="14">
        <f>D9*C$17</f>
        <v>3000000</v>
      </c>
      <c r="D9" s="29">
        <v>0.3</v>
      </c>
      <c r="F9" s="13">
        <v>0</v>
      </c>
      <c r="G9" s="40">
        <v>0</v>
      </c>
      <c r="H9" s="13">
        <v>0</v>
      </c>
      <c r="I9" s="29">
        <v>0</v>
      </c>
      <c r="J9" s="37">
        <f>G$24</f>
        <v>0</v>
      </c>
      <c r="K9" s="10">
        <f>IFERROR(F9/J9,0)</f>
        <v>0</v>
      </c>
      <c r="L9" s="6">
        <f>K9+C9</f>
        <v>3000000</v>
      </c>
      <c r="M9" s="35">
        <f>IFERROR(L9/L$17,0)</f>
        <v>0.3</v>
      </c>
      <c r="N9" s="4">
        <f>L9*G$24</f>
        <v>0</v>
      </c>
      <c r="O9" s="4">
        <f>IFERROR(F9/(H9/C$17),0)+L9</f>
        <v>3000000</v>
      </c>
      <c r="P9" s="35">
        <f>IFERROR(O9/O$17,0)</f>
        <v>0.24</v>
      </c>
    </row>
    <row r="10" spans="2:16">
      <c r="B10" s="13" t="s">
        <v>59</v>
      </c>
      <c r="C10" s="14">
        <f>D10*C$17</f>
        <v>500000</v>
      </c>
      <c r="D10" s="29">
        <v>0.05</v>
      </c>
      <c r="F10" s="13">
        <v>0</v>
      </c>
      <c r="G10" s="40">
        <v>0</v>
      </c>
      <c r="H10" s="13">
        <v>0</v>
      </c>
      <c r="I10" s="29">
        <v>0</v>
      </c>
      <c r="J10" s="37">
        <f>G$24</f>
        <v>0</v>
      </c>
      <c r="K10" s="10">
        <f>IFERROR(F10/J10,0)</f>
        <v>0</v>
      </c>
      <c r="L10" s="6">
        <f>K10+C10</f>
        <v>500000</v>
      </c>
      <c r="M10" s="35">
        <f>IFERROR(L10/L$17,0)</f>
        <v>0.05</v>
      </c>
      <c r="N10" s="4">
        <f>L10*G$24</f>
        <v>0</v>
      </c>
      <c r="O10" s="4">
        <f>IFERROR(F10/(H10/C$17),0)+L10</f>
        <v>500000</v>
      </c>
      <c r="P10" s="35">
        <f>IFERROR(O10/O$17,0)</f>
        <v>0.04</v>
      </c>
    </row>
    <row r="11" spans="2:16">
      <c r="B11" s="13" t="s">
        <v>59</v>
      </c>
      <c r="C11" s="14">
        <f>D11*C$17</f>
        <v>300000</v>
      </c>
      <c r="D11" s="29">
        <v>0.03</v>
      </c>
      <c r="F11" s="13">
        <v>0</v>
      </c>
      <c r="G11" s="40">
        <v>0</v>
      </c>
      <c r="H11" s="13">
        <v>0</v>
      </c>
      <c r="I11" s="29">
        <v>0</v>
      </c>
      <c r="J11" s="37">
        <f>G$24</f>
        <v>0</v>
      </c>
      <c r="K11" s="10">
        <f>IFERROR(F11/J11,0)</f>
        <v>0</v>
      </c>
      <c r="L11" s="6">
        <f>K11+C11</f>
        <v>300000</v>
      </c>
      <c r="M11" s="35">
        <f>IFERROR(L11/L$17,0)</f>
        <v>0.03</v>
      </c>
      <c r="N11" s="4">
        <f>L11*G$24</f>
        <v>0</v>
      </c>
      <c r="O11" s="4">
        <f>IFERROR(F11/(H11/C$17),0)+L11</f>
        <v>300000</v>
      </c>
      <c r="P11" s="35">
        <f>IFERROR(O11/O$17,0)</f>
        <v>2.4E-2</v>
      </c>
    </row>
    <row r="12" spans="2:16">
      <c r="B12" s="13" t="s">
        <v>59</v>
      </c>
      <c r="C12" s="14">
        <f>D12*C$17</f>
        <v>200000</v>
      </c>
      <c r="D12" s="29">
        <v>0.02</v>
      </c>
      <c r="F12" s="13">
        <v>0</v>
      </c>
      <c r="G12" s="40">
        <v>0</v>
      </c>
      <c r="H12" s="13">
        <v>0</v>
      </c>
      <c r="I12" s="29">
        <v>0</v>
      </c>
      <c r="J12" s="37">
        <f>G$24</f>
        <v>0</v>
      </c>
      <c r="K12" s="10">
        <f>IFERROR(F12/J12,0)</f>
        <v>0</v>
      </c>
      <c r="L12" s="6">
        <f>K12+C12</f>
        <v>200000</v>
      </c>
      <c r="M12" s="35">
        <f>IFERROR(L12/L$17,0)</f>
        <v>0.02</v>
      </c>
      <c r="N12" s="4">
        <f>L12*G$24</f>
        <v>0</v>
      </c>
      <c r="O12" s="4">
        <f>IFERROR(F12/(H12/C$17),0)+L12</f>
        <v>200000</v>
      </c>
      <c r="P12" s="35">
        <f>IFERROR(O12/O$17,0)</f>
        <v>1.6E-2</v>
      </c>
    </row>
    <row r="13" spans="2:16">
      <c r="D13" s="36"/>
      <c r="G13" s="41"/>
    </row>
    <row r="14" spans="2:16">
      <c r="B14" s="13" t="s">
        <v>60</v>
      </c>
      <c r="C14" s="14">
        <f>D14*C$17</f>
        <v>0</v>
      </c>
      <c r="D14" s="29">
        <v>0</v>
      </c>
      <c r="F14" s="13">
        <v>500000</v>
      </c>
      <c r="G14" s="40">
        <v>0.2</v>
      </c>
      <c r="H14" s="13">
        <v>3000000</v>
      </c>
      <c r="I14" s="29">
        <v>0.08</v>
      </c>
      <c r="J14" s="37">
        <f>G$24</f>
        <v>0</v>
      </c>
      <c r="K14" s="4">
        <f>IFERROR(F14/J14,0)</f>
        <v>0</v>
      </c>
      <c r="L14" s="6">
        <f>K14+C14</f>
        <v>0</v>
      </c>
      <c r="M14" s="35">
        <f>IFERROR(L14/L$17,0)</f>
        <v>0</v>
      </c>
      <c r="N14" s="4">
        <f>L14*G$24</f>
        <v>0</v>
      </c>
      <c r="O14" s="4">
        <f>IFERROR(F14/(H14/C$17),0)+L14</f>
        <v>1666666.6666666667</v>
      </c>
      <c r="P14" s="35">
        <f>IFERROR(O14/O$17,0)</f>
        <v>0.13333333333333333</v>
      </c>
    </row>
    <row r="15" spans="2:16">
      <c r="B15" s="13" t="s">
        <v>64</v>
      </c>
      <c r="C15" s="14">
        <f>D15*C$17</f>
        <v>0</v>
      </c>
      <c r="D15" s="29">
        <v>0</v>
      </c>
      <c r="F15" s="13">
        <v>250000</v>
      </c>
      <c r="G15" s="40">
        <v>0.2</v>
      </c>
      <c r="H15" s="13">
        <v>3000000</v>
      </c>
      <c r="I15" s="29">
        <v>0.08</v>
      </c>
      <c r="J15" s="37">
        <f>G$24</f>
        <v>0</v>
      </c>
      <c r="K15" s="4">
        <f>IFERROR(F15/J15,0)</f>
        <v>0</v>
      </c>
      <c r="L15" s="6">
        <f>K15+C15</f>
        <v>0</v>
      </c>
      <c r="M15" s="35">
        <f>IFERROR(L15/L$17,0)</f>
        <v>0</v>
      </c>
      <c r="N15" s="4">
        <f>L15*G$24</f>
        <v>0</v>
      </c>
      <c r="O15" s="4">
        <f>IFERROR(F15/(H15/C$17),0)+L15</f>
        <v>833333.33333333337</v>
      </c>
      <c r="P15" s="35">
        <f>IFERROR(O15/O$17,0)</f>
        <v>6.6666666666666666E-2</v>
      </c>
    </row>
    <row r="16" spans="2:16">
      <c r="D16" s="36"/>
      <c r="O16" s="4"/>
      <c r="P16" s="35">
        <f>IFERROR(O16/O$17,0)</f>
        <v>0</v>
      </c>
    </row>
    <row r="17" spans="2:16">
      <c r="B17" s="38" t="s">
        <v>20</v>
      </c>
      <c r="C17" s="12">
        <v>10000000</v>
      </c>
      <c r="D17" s="39">
        <f>SUM(D8:D12,D14:D15)</f>
        <v>1</v>
      </c>
      <c r="F17" s="8">
        <f>SUM(F8:F12,F14:F15)</f>
        <v>750000</v>
      </c>
      <c r="G17" s="38"/>
      <c r="H17" s="38"/>
      <c r="I17" s="38"/>
      <c r="J17" s="38"/>
      <c r="K17" s="8">
        <f t="shared" ref="K17:P17" si="0">SUM(K8:K12,K14:K15)</f>
        <v>0</v>
      </c>
      <c r="L17" s="8">
        <f t="shared" si="0"/>
        <v>10000000</v>
      </c>
      <c r="M17" s="39">
        <f t="shared" si="0"/>
        <v>1</v>
      </c>
      <c r="N17" s="8">
        <f t="shared" si="0"/>
        <v>0</v>
      </c>
      <c r="O17" s="8">
        <f t="shared" si="0"/>
        <v>12500000</v>
      </c>
      <c r="P17" s="39">
        <f t="shared" si="0"/>
        <v>1</v>
      </c>
    </row>
    <row r="20" spans="2:16">
      <c r="F20" s="34" t="s">
        <v>65</v>
      </c>
    </row>
    <row r="21" spans="2:16">
      <c r="F21" s="2" t="s">
        <v>67</v>
      </c>
      <c r="G21" s="6">
        <f>F17</f>
        <v>750000</v>
      </c>
    </row>
    <row r="22" spans="2:16">
      <c r="F22" s="2" t="s">
        <v>66</v>
      </c>
      <c r="G22" s="13">
        <v>0</v>
      </c>
      <c r="H22" s="10" t="s">
        <v>78</v>
      </c>
    </row>
    <row r="23" spans="2:16">
      <c r="F23" s="2" t="s">
        <v>103</v>
      </c>
      <c r="G23" s="6">
        <f>IF(G22=0,0,G22+G21)</f>
        <v>0</v>
      </c>
    </row>
    <row r="24" spans="2:16">
      <c r="F24" s="2" t="s">
        <v>62</v>
      </c>
      <c r="G24" s="37">
        <f>G22/C17</f>
        <v>0</v>
      </c>
    </row>
    <row r="25" spans="2:16">
      <c r="F25" s="2" t="s">
        <v>94</v>
      </c>
      <c r="G25" s="5">
        <f>IFERROR(G21/G23,0)</f>
        <v>0</v>
      </c>
    </row>
    <row r="27" spans="2:16">
      <c r="B27" s="33" t="s">
        <v>54</v>
      </c>
    </row>
    <row r="29" spans="2:16">
      <c r="B29" s="2" t="s">
        <v>98</v>
      </c>
    </row>
    <row r="30" spans="2:16">
      <c r="B30" s="2" t="s">
        <v>99</v>
      </c>
    </row>
    <row r="31" spans="2:16">
      <c r="B31" s="2" t="s">
        <v>127</v>
      </c>
    </row>
    <row r="32" spans="2:16">
      <c r="B32" s="2" t="s">
        <v>651</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AD48"/>
  <sheetViews>
    <sheetView showGridLines="0" workbookViewId="0">
      <pane xSplit="2" topLeftCell="C1" activePane="topRight" state="frozen"/>
      <selection activeCell="B47" sqref="B47"/>
      <selection pane="topRight" activeCell="B47" sqref="B47"/>
    </sheetView>
  </sheetViews>
  <sheetFormatPr baseColWidth="10" defaultRowHeight="17" x14ac:dyDescent="0"/>
  <cols>
    <col min="1" max="1" width="5.33203125" style="2" customWidth="1"/>
    <col min="2" max="2" width="21.5" style="2" customWidth="1"/>
    <col min="3" max="3" width="18.6640625" style="2" customWidth="1"/>
    <col min="4" max="4" width="14.6640625" style="2" customWidth="1"/>
    <col min="5" max="5" width="9.83203125" style="2" customWidth="1"/>
    <col min="6" max="6" width="27.83203125" style="2" customWidth="1"/>
    <col min="7" max="9" width="18.6640625" style="2" customWidth="1"/>
    <col min="10" max="16" width="16.83203125" style="2" customWidth="1"/>
    <col min="17" max="17" width="10.83203125" style="2"/>
    <col min="18" max="18" width="29.1640625" style="2" customWidth="1"/>
    <col min="19" max="19" width="18.1640625" style="2" customWidth="1"/>
    <col min="20" max="35" width="16.83203125" style="2" customWidth="1"/>
    <col min="36" max="16384" width="10.83203125" style="2"/>
  </cols>
  <sheetData>
    <row r="2" spans="2:30">
      <c r="B2" s="19" t="s">
        <v>133</v>
      </c>
    </row>
    <row r="3" spans="2:30">
      <c r="B3" s="34" t="s">
        <v>58</v>
      </c>
    </row>
    <row r="6" spans="2:30" s="43" customFormat="1" ht="51">
      <c r="B6" s="28" t="s">
        <v>55</v>
      </c>
      <c r="C6" s="27" t="s">
        <v>414</v>
      </c>
      <c r="D6" s="27" t="s">
        <v>39</v>
      </c>
      <c r="F6" s="27" t="s">
        <v>61</v>
      </c>
      <c r="G6" s="42" t="s">
        <v>15</v>
      </c>
      <c r="H6" s="42" t="s">
        <v>96</v>
      </c>
      <c r="I6" s="27" t="s">
        <v>128</v>
      </c>
      <c r="J6" s="27" t="s">
        <v>62</v>
      </c>
      <c r="K6" s="27" t="s">
        <v>117</v>
      </c>
      <c r="L6" s="27" t="s">
        <v>414</v>
      </c>
      <c r="M6" s="27" t="s">
        <v>666</v>
      </c>
      <c r="N6" s="27" t="s">
        <v>63</v>
      </c>
      <c r="O6" s="27" t="s">
        <v>647</v>
      </c>
      <c r="P6" s="27" t="s">
        <v>665</v>
      </c>
      <c r="R6" s="27" t="s">
        <v>61</v>
      </c>
      <c r="S6" s="42" t="s">
        <v>100</v>
      </c>
      <c r="T6" s="42" t="s">
        <v>101</v>
      </c>
      <c r="U6" s="42" t="s">
        <v>102</v>
      </c>
      <c r="V6" s="42" t="s">
        <v>148</v>
      </c>
      <c r="W6" s="27" t="s">
        <v>143</v>
      </c>
      <c r="X6" s="27" t="s">
        <v>144</v>
      </c>
      <c r="Y6" s="27" t="s">
        <v>117</v>
      </c>
      <c r="Z6" s="27" t="s">
        <v>414</v>
      </c>
      <c r="AA6" s="27" t="s">
        <v>666</v>
      </c>
      <c r="AB6" s="27" t="s">
        <v>63</v>
      </c>
      <c r="AC6" s="27" t="s">
        <v>648</v>
      </c>
      <c r="AD6" s="27" t="s">
        <v>665</v>
      </c>
    </row>
    <row r="8" spans="2:30">
      <c r="B8" s="137" t="s">
        <v>57</v>
      </c>
      <c r="C8" s="14">
        <f>D8*C$18</f>
        <v>6000000</v>
      </c>
      <c r="D8" s="277">
        <v>0.6</v>
      </c>
      <c r="F8" s="137">
        <v>0</v>
      </c>
      <c r="G8" s="276">
        <v>0</v>
      </c>
      <c r="H8" s="137">
        <v>0</v>
      </c>
      <c r="I8" s="277">
        <v>0</v>
      </c>
      <c r="J8" s="37">
        <f>G$28</f>
        <v>0</v>
      </c>
      <c r="K8" s="10">
        <f>IFERROR(F8/J8,0)</f>
        <v>0</v>
      </c>
      <c r="L8" s="6">
        <f>K8+C8</f>
        <v>6000000</v>
      </c>
      <c r="M8" s="35">
        <f>IFERROR(L8/L$18,0)</f>
        <v>0.6</v>
      </c>
      <c r="N8" s="4">
        <f>L8*G$28</f>
        <v>0</v>
      </c>
      <c r="O8" s="4">
        <f>IFERROR(F8/(H8/C$18),0)+L8</f>
        <v>6000000</v>
      </c>
      <c r="P8" s="35">
        <f>IFERROR(O8/O$18,0)</f>
        <v>0.55491329479768781</v>
      </c>
      <c r="R8" s="137">
        <v>0</v>
      </c>
      <c r="S8" s="6">
        <f>F8</f>
        <v>0</v>
      </c>
      <c r="T8" s="4">
        <f ca="1">FV(I8/1,DATEDIF(G$29,S$29,"y"),0,-S8)-S8</f>
        <v>0</v>
      </c>
      <c r="U8" s="6">
        <f ca="1">T8+S8</f>
        <v>0</v>
      </c>
      <c r="V8" s="6">
        <f ca="1">IFERROR(U8/(1-(MAX(G8,(S$28-H8/L$18)/S$28))),0)</f>
        <v>0</v>
      </c>
      <c r="W8" s="37">
        <f>S$28</f>
        <v>1.2</v>
      </c>
      <c r="X8" s="37">
        <f ca="1">IF(U8=0,0,IF(H8&lt;&gt;0,MIN(W8*(1-G8),H8/L$18),W8*(1-G8)))</f>
        <v>0</v>
      </c>
      <c r="Y8" s="4">
        <f ca="1">IFERROR(R8/W8,0)+IFERROR(U8/X8,0)</f>
        <v>0</v>
      </c>
      <c r="Z8" s="6">
        <f ca="1">Y8+L8</f>
        <v>6000000</v>
      </c>
      <c r="AA8" s="35">
        <f ca="1">IFERROR(Z8/Z$18,0)</f>
        <v>0.44776119402985076</v>
      </c>
      <c r="AB8" s="4">
        <f ca="1">Z8*S$28</f>
        <v>7200000</v>
      </c>
      <c r="AC8" s="4">
        <f ca="1">Z8</f>
        <v>6000000</v>
      </c>
      <c r="AD8" s="35">
        <f ca="1">IFERROR(AC8/AC$18,0)</f>
        <v>0.44776119402985076</v>
      </c>
    </row>
    <row r="9" spans="2:30">
      <c r="B9" s="137" t="s">
        <v>57</v>
      </c>
      <c r="C9" s="14">
        <f>D9*C$18</f>
        <v>3000000</v>
      </c>
      <c r="D9" s="277">
        <v>0.3</v>
      </c>
      <c r="F9" s="137">
        <v>0</v>
      </c>
      <c r="G9" s="276">
        <v>0</v>
      </c>
      <c r="H9" s="137">
        <v>0</v>
      </c>
      <c r="I9" s="277">
        <v>0</v>
      </c>
      <c r="J9" s="37">
        <f>G$28</f>
        <v>0</v>
      </c>
      <c r="K9" s="10">
        <f>IFERROR(F9/J9,0)</f>
        <v>0</v>
      </c>
      <c r="L9" s="6">
        <f>K9+C9</f>
        <v>3000000</v>
      </c>
      <c r="M9" s="35">
        <f>IFERROR(L9/L$18,0)</f>
        <v>0.3</v>
      </c>
      <c r="N9" s="4">
        <f>L9*G$28</f>
        <v>0</v>
      </c>
      <c r="O9" s="4">
        <f>IFERROR(F9/(H9/C$18),0)+L9</f>
        <v>3000000</v>
      </c>
      <c r="P9" s="35">
        <f>IFERROR(O9/O$18,0)</f>
        <v>0.2774566473988439</v>
      </c>
      <c r="R9" s="137">
        <v>0</v>
      </c>
      <c r="S9" s="6">
        <f>F9</f>
        <v>0</v>
      </c>
      <c r="T9" s="4">
        <f ca="1">FV(I9/1,DATEDIF(G$29,S$29,"y"),0,-S9)-S9</f>
        <v>0</v>
      </c>
      <c r="U9" s="6">
        <f ca="1">T9+S9</f>
        <v>0</v>
      </c>
      <c r="V9" s="6">
        <f ca="1">IFERROR(U9/(1-(MAX(G9,(S$28-H9/L$18)/S$28))),0)</f>
        <v>0</v>
      </c>
      <c r="W9" s="37">
        <f>S$28</f>
        <v>1.2</v>
      </c>
      <c r="X9" s="37">
        <f ca="1">IF(U9=0,0,IF(H9&lt;&gt;0,MIN(W9*(1-G9),H9/L$18),W9*(1-G9)))</f>
        <v>0</v>
      </c>
      <c r="Y9" s="4">
        <f ca="1">IFERROR(R9/W9,0)+IFERROR(U9/X9,0)</f>
        <v>0</v>
      </c>
      <c r="Z9" s="6">
        <f ca="1">Y9+L9</f>
        <v>3000000</v>
      </c>
      <c r="AA9" s="35">
        <f ca="1">IFERROR(Z9/Z$18,0)</f>
        <v>0.22388059701492538</v>
      </c>
      <c r="AB9" s="4">
        <f ca="1">Z9*S$28</f>
        <v>3600000</v>
      </c>
      <c r="AC9" s="4">
        <f ca="1">Z9</f>
        <v>3000000</v>
      </c>
      <c r="AD9" s="35">
        <f ca="1">IFERROR(AC9/AC$18,0)</f>
        <v>0.22388059701492538</v>
      </c>
    </row>
    <row r="10" spans="2:30">
      <c r="B10" s="137" t="s">
        <v>59</v>
      </c>
      <c r="C10" s="14">
        <f>D10*C$18</f>
        <v>500000</v>
      </c>
      <c r="D10" s="277">
        <v>0.05</v>
      </c>
      <c r="F10" s="137">
        <v>0</v>
      </c>
      <c r="G10" s="276">
        <v>0</v>
      </c>
      <c r="H10" s="137">
        <v>0</v>
      </c>
      <c r="I10" s="277">
        <v>0</v>
      </c>
      <c r="J10" s="37">
        <f>G$28</f>
        <v>0</v>
      </c>
      <c r="K10" s="10">
        <f>IFERROR(F10/J10,0)</f>
        <v>0</v>
      </c>
      <c r="L10" s="6">
        <f>K10+C10</f>
        <v>500000</v>
      </c>
      <c r="M10" s="35">
        <f>IFERROR(L10/L$18,0)</f>
        <v>0.05</v>
      </c>
      <c r="N10" s="4">
        <f>L10*G$28</f>
        <v>0</v>
      </c>
      <c r="O10" s="4">
        <f>IFERROR(F10/(H10/C$18),0)+L10</f>
        <v>500000</v>
      </c>
      <c r="P10" s="35">
        <f>IFERROR(O10/O$18,0)</f>
        <v>4.6242774566473986E-2</v>
      </c>
      <c r="R10" s="137">
        <v>0</v>
      </c>
      <c r="S10" s="6">
        <f>F10</f>
        <v>0</v>
      </c>
      <c r="T10" s="4">
        <f ca="1">FV(I10/1,DATEDIF(G$29,S$29,"y"),0,-S10)-S10</f>
        <v>0</v>
      </c>
      <c r="U10" s="6">
        <f ca="1">T10+S10</f>
        <v>0</v>
      </c>
      <c r="V10" s="6">
        <f ca="1">IFERROR(U10/(1-(MAX(G10,(S$28-H10/L$18)/S$28))),0)</f>
        <v>0</v>
      </c>
      <c r="W10" s="37">
        <f>S$28</f>
        <v>1.2</v>
      </c>
      <c r="X10" s="37">
        <f ca="1">IF(U10=0,0,IF(H10&lt;&gt;0,MIN(W10*(1-G10),H10/L$18),W10*(1-G10)))</f>
        <v>0</v>
      </c>
      <c r="Y10" s="4">
        <f ca="1">IFERROR(R10/W10,0)+IFERROR(U10/X10,0)</f>
        <v>0</v>
      </c>
      <c r="Z10" s="6">
        <f ca="1">Y10+L10</f>
        <v>500000</v>
      </c>
      <c r="AA10" s="35">
        <f ca="1">IFERROR(Z10/Z$18,0)</f>
        <v>3.7313432835820892E-2</v>
      </c>
      <c r="AB10" s="4">
        <f ca="1">Z10*S$28</f>
        <v>600000</v>
      </c>
      <c r="AC10" s="4">
        <f ca="1">Z10</f>
        <v>500000</v>
      </c>
      <c r="AD10" s="35">
        <f ca="1">IFERROR(AC10/AC$18,0)</f>
        <v>3.7313432835820892E-2</v>
      </c>
    </row>
    <row r="11" spans="2:30">
      <c r="B11" s="137" t="s">
        <v>59</v>
      </c>
      <c r="C11" s="14">
        <f>D11*C$18</f>
        <v>300000</v>
      </c>
      <c r="D11" s="277">
        <v>0.03</v>
      </c>
      <c r="F11" s="137">
        <v>0</v>
      </c>
      <c r="G11" s="276">
        <v>0</v>
      </c>
      <c r="H11" s="137">
        <v>0</v>
      </c>
      <c r="I11" s="277">
        <v>0</v>
      </c>
      <c r="J11" s="37">
        <f>G$28</f>
        <v>0</v>
      </c>
      <c r="K11" s="10">
        <f>IFERROR(F11/J11,0)</f>
        <v>0</v>
      </c>
      <c r="L11" s="6">
        <f>K11+C11</f>
        <v>300000</v>
      </c>
      <c r="M11" s="35">
        <f>IFERROR(L11/L$18,0)</f>
        <v>0.03</v>
      </c>
      <c r="N11" s="4">
        <f>L11*G$28</f>
        <v>0</v>
      </c>
      <c r="O11" s="4">
        <f>IFERROR(F11/(H11/C$18),0)+L11</f>
        <v>300000</v>
      </c>
      <c r="P11" s="35">
        <f>IFERROR(O11/O$18,0)</f>
        <v>2.7745664739884393E-2</v>
      </c>
      <c r="R11" s="137">
        <v>0</v>
      </c>
      <c r="S11" s="6">
        <f>F11</f>
        <v>0</v>
      </c>
      <c r="T11" s="4">
        <f ca="1">FV(I11/1,DATEDIF(G$29,S$29,"y"),0,-S11)-S11</f>
        <v>0</v>
      </c>
      <c r="U11" s="6">
        <f ca="1">T11+S11</f>
        <v>0</v>
      </c>
      <c r="V11" s="6">
        <f ca="1">IFERROR(U11/(1-(MAX(G11,(S$28-H11/L$18)/S$28))),0)</f>
        <v>0</v>
      </c>
      <c r="W11" s="37">
        <f>S$28</f>
        <v>1.2</v>
      </c>
      <c r="X11" s="37">
        <f ca="1">IF(U11=0,0,IF(H11&lt;&gt;0,MIN(W11*(1-G11),H11/L$18),W11*(1-G11)))</f>
        <v>0</v>
      </c>
      <c r="Y11" s="4">
        <f ca="1">IFERROR(R11/W11,0)+IFERROR(U11/X11,0)</f>
        <v>0</v>
      </c>
      <c r="Z11" s="6">
        <f ca="1">Y11+L11</f>
        <v>300000</v>
      </c>
      <c r="AA11" s="35">
        <f ca="1">IFERROR(Z11/Z$18,0)</f>
        <v>2.2388059701492536E-2</v>
      </c>
      <c r="AB11" s="4">
        <f ca="1">Z11*S$28</f>
        <v>360000</v>
      </c>
      <c r="AC11" s="4">
        <f ca="1">Z11</f>
        <v>300000</v>
      </c>
      <c r="AD11" s="35">
        <f ca="1">IFERROR(AC11/AC$18,0)</f>
        <v>2.2388059701492536E-2</v>
      </c>
    </row>
    <row r="12" spans="2:30">
      <c r="B12" s="137" t="s">
        <v>59</v>
      </c>
      <c r="C12" s="14">
        <f>D12*C$18</f>
        <v>200000</v>
      </c>
      <c r="D12" s="277">
        <v>0.02</v>
      </c>
      <c r="F12" s="137">
        <v>0</v>
      </c>
      <c r="G12" s="276">
        <v>0</v>
      </c>
      <c r="H12" s="137">
        <v>0</v>
      </c>
      <c r="I12" s="277">
        <v>0</v>
      </c>
      <c r="J12" s="37">
        <f>G$28</f>
        <v>0</v>
      </c>
      <c r="K12" s="10">
        <f>IFERROR(F12/J12,0)</f>
        <v>0</v>
      </c>
      <c r="L12" s="6">
        <f>K12+C12</f>
        <v>200000</v>
      </c>
      <c r="M12" s="35">
        <f>IFERROR(L12/L$18,0)</f>
        <v>0.02</v>
      </c>
      <c r="N12" s="4">
        <f>L12*G$28</f>
        <v>0</v>
      </c>
      <c r="O12" s="4">
        <f>IFERROR(F12/(H12/C$18),0)+L12</f>
        <v>200000</v>
      </c>
      <c r="P12" s="35">
        <f>IFERROR(O12/O$18,0)</f>
        <v>1.8497109826589597E-2</v>
      </c>
      <c r="R12" s="137">
        <v>0</v>
      </c>
      <c r="S12" s="6">
        <f>F12</f>
        <v>0</v>
      </c>
      <c r="T12" s="4">
        <f ca="1">FV(I12/1,DATEDIF(G$29,S$29,"y"),0,-S12)-S12</f>
        <v>0</v>
      </c>
      <c r="U12" s="6">
        <f ca="1">T12+S12</f>
        <v>0</v>
      </c>
      <c r="V12" s="6">
        <f ca="1">IFERROR(U12/(1-(MAX(G12,(S$28-H12/L$18)/S$28))),0)</f>
        <v>0</v>
      </c>
      <c r="W12" s="37">
        <f>S$28</f>
        <v>1.2</v>
      </c>
      <c r="X12" s="37">
        <f ca="1">IF(U12=0,0,IF(H12&lt;&gt;0,MIN(W12*(1-G12),H12/L$18),W12*(1-G12)))</f>
        <v>0</v>
      </c>
      <c r="Y12" s="4">
        <f ca="1">IFERROR(R12/W12,0)+IFERROR(U12/X12,0)</f>
        <v>0</v>
      </c>
      <c r="Z12" s="6">
        <f ca="1">Y12+L12</f>
        <v>200000</v>
      </c>
      <c r="AA12" s="35">
        <f ca="1">IFERROR(Z12/Z$18,0)</f>
        <v>1.4925373134328358E-2</v>
      </c>
      <c r="AB12" s="4">
        <f ca="1">Z12*S$28</f>
        <v>240000</v>
      </c>
      <c r="AC12" s="4">
        <f ca="1">Z12</f>
        <v>200000</v>
      </c>
      <c r="AD12" s="35">
        <f ca="1">IFERROR(AC12/AC$18,0)</f>
        <v>1.4925373134328358E-2</v>
      </c>
    </row>
    <row r="13" spans="2:30">
      <c r="D13" s="36"/>
      <c r="G13" s="41"/>
    </row>
    <row r="14" spans="2:30">
      <c r="B14" s="137" t="s">
        <v>60</v>
      </c>
      <c r="C14" s="14">
        <f>D14*C$18</f>
        <v>0</v>
      </c>
      <c r="D14" s="277">
        <v>0</v>
      </c>
      <c r="F14" s="137">
        <v>500000</v>
      </c>
      <c r="G14" s="276">
        <v>0.2</v>
      </c>
      <c r="H14" s="137">
        <v>10000000</v>
      </c>
      <c r="I14" s="277">
        <v>0.08</v>
      </c>
      <c r="J14" s="37">
        <f>G$28</f>
        <v>0</v>
      </c>
      <c r="K14" s="4">
        <f>IFERROR(F14/J14,0)</f>
        <v>0</v>
      </c>
      <c r="L14" s="6">
        <f>K14+C14</f>
        <v>0</v>
      </c>
      <c r="M14" s="35">
        <f>IFERROR(L14/L$18,0)</f>
        <v>0</v>
      </c>
      <c r="N14" s="4">
        <f>L14*G$28</f>
        <v>0</v>
      </c>
      <c r="O14" s="4">
        <f>IFERROR(F14/(H14/C$18),0)+L14</f>
        <v>500000</v>
      </c>
      <c r="P14" s="35">
        <f>IFERROR(O14/O$18,0)</f>
        <v>4.6242774566473986E-2</v>
      </c>
      <c r="R14" s="137">
        <v>0</v>
      </c>
      <c r="S14" s="6">
        <f>F14</f>
        <v>500000</v>
      </c>
      <c r="T14" s="4">
        <f ca="1">FV(I14/1,DATEDIF(G$29,S$29,"y"),0,-S14)-S14</f>
        <v>40000</v>
      </c>
      <c r="U14" s="6">
        <f ca="1">T14+S14</f>
        <v>540000</v>
      </c>
      <c r="V14" s="6">
        <f ca="1">IFERROR(U14/(1-(MAX(G14,(S$28-H14/L$18)/S$28))),0)</f>
        <v>675000</v>
      </c>
      <c r="W14" s="37">
        <f>S$28</f>
        <v>1.2</v>
      </c>
      <c r="X14" s="37">
        <f ca="1">IF(U14=0,0,IF(H14&lt;&gt;0,MIN(W14*(1-G14),H14/L$18),W14*(1-G14)))</f>
        <v>0.96</v>
      </c>
      <c r="Y14" s="4">
        <f ca="1">IFERROR(R14/W14,0)+IFERROR(U14/X14,0)</f>
        <v>562500</v>
      </c>
      <c r="Z14" s="6">
        <f ca="1">Y14+L14</f>
        <v>562500</v>
      </c>
      <c r="AA14" s="35">
        <f ca="1">IFERROR(Z14/Z$18,0)</f>
        <v>4.1977611940298511E-2</v>
      </c>
      <c r="AB14" s="4">
        <f ca="1">Z14*S$28</f>
        <v>675000</v>
      </c>
      <c r="AC14" s="4">
        <f ca="1">Z14</f>
        <v>562500</v>
      </c>
      <c r="AD14" s="35">
        <f ca="1">IFERROR(AC14/AC$18,0)</f>
        <v>4.1977611940298511E-2</v>
      </c>
    </row>
    <row r="15" spans="2:30">
      <c r="B15" s="137" t="s">
        <v>64</v>
      </c>
      <c r="C15" s="14">
        <f>D15*C$18</f>
        <v>0</v>
      </c>
      <c r="D15" s="277">
        <v>0</v>
      </c>
      <c r="F15" s="137">
        <v>250000</v>
      </c>
      <c r="G15" s="276">
        <v>0.2</v>
      </c>
      <c r="H15" s="137">
        <v>8000000</v>
      </c>
      <c r="I15" s="277">
        <v>0.08</v>
      </c>
      <c r="J15" s="37">
        <f>G$28</f>
        <v>0</v>
      </c>
      <c r="K15" s="4">
        <f>IFERROR(F15/J15,0)</f>
        <v>0</v>
      </c>
      <c r="L15" s="6">
        <f>K15+C15</f>
        <v>0</v>
      </c>
      <c r="M15" s="35">
        <f>IFERROR(L15/L$18,0)</f>
        <v>0</v>
      </c>
      <c r="N15" s="4">
        <f>L15*G$28</f>
        <v>0</v>
      </c>
      <c r="O15" s="4">
        <f>IFERROR(F15/(H15/C$18),0)+L15</f>
        <v>312500</v>
      </c>
      <c r="P15" s="35">
        <f>IFERROR(O15/O$18,0)</f>
        <v>2.8901734104046242E-2</v>
      </c>
      <c r="R15" s="137">
        <v>0</v>
      </c>
      <c r="S15" s="6">
        <f>F15</f>
        <v>250000</v>
      </c>
      <c r="T15" s="4">
        <f ca="1">FV(I15/1,DATEDIF(G$29,S$29,"y"),0,-S15)-S15</f>
        <v>20000</v>
      </c>
      <c r="U15" s="6">
        <f ca="1">T15+S15</f>
        <v>270000</v>
      </c>
      <c r="V15" s="6">
        <f ca="1">IFERROR(U15/(1-(MAX(G15,(S$28-H15/L$18)/S$28))),0)</f>
        <v>404999.99999999994</v>
      </c>
      <c r="W15" s="37">
        <f>S$28</f>
        <v>1.2</v>
      </c>
      <c r="X15" s="37">
        <f ca="1">IF(U15=0,0,IF(H15&lt;&gt;0,MIN(W15*(1-G15),H15/L$18),W15*(1-G15)))</f>
        <v>0.8</v>
      </c>
      <c r="Y15" s="4">
        <f ca="1">IFERROR(R15/W15,0)+IFERROR(U15/X15,0)</f>
        <v>337500</v>
      </c>
      <c r="Z15" s="6">
        <f ca="1">Y15+L15</f>
        <v>337500</v>
      </c>
      <c r="AA15" s="35">
        <f ca="1">IFERROR(Z15/Z$18,0)</f>
        <v>2.5186567164179104E-2</v>
      </c>
      <c r="AB15" s="4">
        <f ca="1">Z15*S$28</f>
        <v>405000</v>
      </c>
      <c r="AC15" s="4">
        <f ca="1">Z15</f>
        <v>337500</v>
      </c>
      <c r="AD15" s="35">
        <f ca="1">IFERROR(AC15/AC$18,0)</f>
        <v>2.5186567164179104E-2</v>
      </c>
    </row>
    <row r="16" spans="2:30">
      <c r="B16" s="137" t="s">
        <v>91</v>
      </c>
      <c r="C16" s="14">
        <f>D16*C$18</f>
        <v>0</v>
      </c>
      <c r="D16" s="277">
        <v>0</v>
      </c>
      <c r="F16" s="137">
        <v>0</v>
      </c>
      <c r="G16" s="276">
        <v>0</v>
      </c>
      <c r="H16" s="137">
        <v>0</v>
      </c>
      <c r="I16" s="277">
        <v>0</v>
      </c>
      <c r="J16" s="37">
        <f>G$28</f>
        <v>0</v>
      </c>
      <c r="K16" s="4">
        <f>IFERROR(F16/J16,0)</f>
        <v>0</v>
      </c>
      <c r="L16" s="6">
        <f>K16+C16</f>
        <v>0</v>
      </c>
      <c r="M16" s="35">
        <f>IFERROR(L16/L$18,0)</f>
        <v>0</v>
      </c>
      <c r="N16" s="4">
        <f>L16*G$28</f>
        <v>0</v>
      </c>
      <c r="O16" s="4">
        <f>IFERROR(F16/(H16/C$18),0)+L16</f>
        <v>0</v>
      </c>
      <c r="P16" s="35">
        <f>IFERROR(O16/O$18,0)</f>
        <v>0</v>
      </c>
      <c r="R16" s="137">
        <v>3000000</v>
      </c>
      <c r="S16" s="6">
        <f>F16</f>
        <v>0</v>
      </c>
      <c r="T16" s="4">
        <f ca="1">FV(I16/1,DATEDIF(G$29,S$29,"y"),0,-S16)-S16</f>
        <v>0</v>
      </c>
      <c r="U16" s="6">
        <f ca="1">T16+S16</f>
        <v>0</v>
      </c>
      <c r="V16" s="6">
        <f ca="1">IFERROR(U16/(1-(MAX(G16,(S$28-H16/L$18)/S$28))),0)</f>
        <v>0</v>
      </c>
      <c r="W16" s="37">
        <f>S$28</f>
        <v>1.2</v>
      </c>
      <c r="X16" s="37">
        <f ca="1">IF(U16=0,0,IF(H16&lt;&gt;0,MIN(W16*(1-G16),H16/L$18),W16*(1-G16)))</f>
        <v>0</v>
      </c>
      <c r="Y16" s="4">
        <f ca="1">IFERROR(R16/W16,0)+IFERROR(U16/X16,0)</f>
        <v>2500000</v>
      </c>
      <c r="Z16" s="6">
        <f ca="1">Y16+L16</f>
        <v>2500000</v>
      </c>
      <c r="AA16" s="35">
        <f ca="1">IFERROR(Z16/Z$18,0)</f>
        <v>0.18656716417910449</v>
      </c>
      <c r="AB16" s="4">
        <f ca="1">Z16*S$28</f>
        <v>3000000</v>
      </c>
      <c r="AC16" s="4">
        <f ca="1">Z16</f>
        <v>2500000</v>
      </c>
      <c r="AD16" s="35">
        <f ca="1">IFERROR(AC16/AC$18,0)</f>
        <v>0.18656716417910449</v>
      </c>
    </row>
    <row r="17" spans="2:30">
      <c r="D17" s="36"/>
    </row>
    <row r="18" spans="2:30">
      <c r="B18" s="38" t="s">
        <v>20</v>
      </c>
      <c r="C18" s="278">
        <v>10000000</v>
      </c>
      <c r="D18" s="39">
        <f>SUM(D8:D12,D14:D16)</f>
        <v>1</v>
      </c>
      <c r="F18" s="8">
        <f>SUM(F8:F12,F14:F16)</f>
        <v>750000</v>
      </c>
      <c r="G18" s="38"/>
      <c r="H18" s="38"/>
      <c r="I18" s="38"/>
      <c r="J18" s="38"/>
      <c r="K18" s="8">
        <f>SUM(K8:K12,K14:K15)</f>
        <v>0</v>
      </c>
      <c r="L18" s="8">
        <f>SUM(L8:L12,L14:L16)</f>
        <v>10000000</v>
      </c>
      <c r="M18" s="39">
        <f>SUM(M8:M12,M14:M16)</f>
        <v>1</v>
      </c>
      <c r="N18" s="8">
        <f>SUM(N8:N12,N14:N16)</f>
        <v>0</v>
      </c>
      <c r="O18" s="8">
        <f>SUM(O8:O12,O14:O16)</f>
        <v>10812500</v>
      </c>
      <c r="P18" s="39">
        <f>SUM(P8:P12,P14:P16)</f>
        <v>0.99999999999999989</v>
      </c>
      <c r="R18" s="8">
        <f>SUM(R8:R12,R14:R16)</f>
        <v>3000000</v>
      </c>
      <c r="S18" s="8">
        <f>SUM(S8:S12,S14:S16)</f>
        <v>750000</v>
      </c>
      <c r="T18" s="8">
        <f ca="1">SUM(T8:T12,T14:T16)</f>
        <v>60000</v>
      </c>
      <c r="U18" s="8">
        <f ca="1">SUM(U8:U12,U14:U16)</f>
        <v>810000</v>
      </c>
      <c r="V18" s="8">
        <f ca="1">SUM(V8:V12,V14:V16)</f>
        <v>1080000</v>
      </c>
      <c r="W18" s="45"/>
      <c r="X18" s="45" t="s">
        <v>145</v>
      </c>
      <c r="Y18" s="8">
        <f t="shared" ref="Y18:AD18" ca="1" si="0">SUM(Y8:Y12,Y14:Y16)</f>
        <v>3400000</v>
      </c>
      <c r="Z18" s="8">
        <f t="shared" ca="1" si="0"/>
        <v>13400000</v>
      </c>
      <c r="AA18" s="39">
        <f t="shared" ca="1" si="0"/>
        <v>1</v>
      </c>
      <c r="AB18" s="8">
        <f t="shared" ca="1" si="0"/>
        <v>16080000</v>
      </c>
      <c r="AC18" s="8">
        <f t="shared" ca="1" si="0"/>
        <v>13400000</v>
      </c>
      <c r="AD18" s="39">
        <f t="shared" ca="1" si="0"/>
        <v>1</v>
      </c>
    </row>
    <row r="19" spans="2:30">
      <c r="V19" s="46" t="s">
        <v>151</v>
      </c>
    </row>
    <row r="21" spans="2:30">
      <c r="F21" s="34" t="s">
        <v>65</v>
      </c>
      <c r="R21" s="34" t="s">
        <v>89</v>
      </c>
    </row>
    <row r="22" spans="2:30">
      <c r="F22" s="2" t="s">
        <v>67</v>
      </c>
      <c r="G22" s="6">
        <f>F18</f>
        <v>750000</v>
      </c>
      <c r="R22" s="2" t="s">
        <v>67</v>
      </c>
      <c r="S22" s="6">
        <f>R18</f>
        <v>3000000</v>
      </c>
      <c r="T22" s="10"/>
    </row>
    <row r="23" spans="2:30">
      <c r="F23" s="2" t="s">
        <v>100</v>
      </c>
      <c r="G23" s="6">
        <v>0</v>
      </c>
      <c r="R23" s="2" t="s">
        <v>100</v>
      </c>
      <c r="S23" s="6">
        <f ca="1">U18</f>
        <v>810000</v>
      </c>
      <c r="T23" s="10" t="s">
        <v>135</v>
      </c>
    </row>
    <row r="24" spans="2:30">
      <c r="F24" s="2" t="s">
        <v>148</v>
      </c>
      <c r="G24" s="6">
        <v>0</v>
      </c>
      <c r="R24" s="2" t="s">
        <v>148</v>
      </c>
      <c r="S24" s="6">
        <f ca="1">V18</f>
        <v>1080000</v>
      </c>
      <c r="T24" s="10" t="s">
        <v>151</v>
      </c>
    </row>
    <row r="25" spans="2:30">
      <c r="F25" s="2" t="s">
        <v>66</v>
      </c>
      <c r="G25" s="137">
        <v>0</v>
      </c>
      <c r="H25" s="10"/>
      <c r="R25" s="2" t="s">
        <v>66</v>
      </c>
      <c r="S25" s="137">
        <v>12000000</v>
      </c>
    </row>
    <row r="26" spans="2:30">
      <c r="F26" s="2" t="s">
        <v>103</v>
      </c>
      <c r="G26" s="14">
        <f>IF(G25=0,0,G25+G22)</f>
        <v>0</v>
      </c>
      <c r="H26" s="10"/>
      <c r="R26" s="2" t="s">
        <v>103</v>
      </c>
      <c r="S26" s="6">
        <f ca="1">S25+S22+S23</f>
        <v>15810000</v>
      </c>
      <c r="T26" s="10" t="s">
        <v>79</v>
      </c>
    </row>
    <row r="27" spans="2:30">
      <c r="F27" s="2" t="s">
        <v>152</v>
      </c>
      <c r="G27" s="6">
        <f>G26</f>
        <v>0</v>
      </c>
      <c r="R27" s="2" t="s">
        <v>152</v>
      </c>
      <c r="S27" s="6">
        <f ca="1">S25+S22+S24</f>
        <v>16080000</v>
      </c>
      <c r="T27" s="10"/>
    </row>
    <row r="28" spans="2:30">
      <c r="F28" s="2" t="s">
        <v>62</v>
      </c>
      <c r="G28" s="37">
        <f>G25/C18</f>
        <v>0</v>
      </c>
      <c r="R28" s="2" t="s">
        <v>62</v>
      </c>
      <c r="S28" s="37">
        <f>S25/L18</f>
        <v>1.2</v>
      </c>
      <c r="T28" s="10" t="s">
        <v>146</v>
      </c>
    </row>
    <row r="29" spans="2:30">
      <c r="F29" s="2" t="s">
        <v>40</v>
      </c>
      <c r="G29" s="25">
        <f ca="1">EDATE(TODAY(),-18)</f>
        <v>42933</v>
      </c>
      <c r="H29" s="10" t="s">
        <v>134</v>
      </c>
      <c r="R29" s="2" t="s">
        <v>40</v>
      </c>
      <c r="S29" s="25">
        <f ca="1">TODAY()</f>
        <v>43482</v>
      </c>
      <c r="T29" s="10" t="s">
        <v>134</v>
      </c>
    </row>
    <row r="31" spans="2:30">
      <c r="B31" s="33" t="s">
        <v>54</v>
      </c>
    </row>
    <row r="33" spans="2:2">
      <c r="B33" s="2" t="s">
        <v>129</v>
      </c>
    </row>
    <row r="34" spans="2:2">
      <c r="B34" s="2" t="s">
        <v>130</v>
      </c>
    </row>
    <row r="35" spans="2:2">
      <c r="B35" s="2" t="s">
        <v>131</v>
      </c>
    </row>
    <row r="36" spans="2:2">
      <c r="B36" s="2" t="s">
        <v>132</v>
      </c>
    </row>
    <row r="37" spans="2:2">
      <c r="B37" s="2" t="s">
        <v>136</v>
      </c>
    </row>
    <row r="38" spans="2:2">
      <c r="B38" s="2" t="s">
        <v>137</v>
      </c>
    </row>
    <row r="39" spans="2:2">
      <c r="B39" s="44" t="s">
        <v>138</v>
      </c>
    </row>
    <row r="40" spans="2:2">
      <c r="B40" s="44" t="s">
        <v>140</v>
      </c>
    </row>
    <row r="41" spans="2:2">
      <c r="B41" s="2" t="s">
        <v>141</v>
      </c>
    </row>
    <row r="42" spans="2:2">
      <c r="B42" s="2" t="s">
        <v>142</v>
      </c>
    </row>
    <row r="43" spans="2:2">
      <c r="B43" s="2" t="s">
        <v>242</v>
      </c>
    </row>
    <row r="44" spans="2:2">
      <c r="B44" s="2" t="s">
        <v>147</v>
      </c>
    </row>
    <row r="45" spans="2:2">
      <c r="B45" s="2" t="s">
        <v>150</v>
      </c>
    </row>
    <row r="46" spans="2:2">
      <c r="B46" s="2" t="s">
        <v>139</v>
      </c>
    </row>
    <row r="47" spans="2:2">
      <c r="B47" s="2" t="s">
        <v>646</v>
      </c>
    </row>
    <row r="48" spans="2:2">
      <c r="B48" s="2" t="s">
        <v>649</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AD37"/>
  <sheetViews>
    <sheetView showGridLines="0" workbookViewId="0">
      <pane xSplit="2" topLeftCell="C1" activePane="topRight" state="frozen"/>
      <selection activeCell="B47" sqref="B47"/>
      <selection pane="topRight" activeCell="B2" sqref="B2"/>
    </sheetView>
  </sheetViews>
  <sheetFormatPr baseColWidth="10" defaultRowHeight="17" x14ac:dyDescent="0"/>
  <cols>
    <col min="1" max="1" width="5.33203125" style="2" customWidth="1"/>
    <col min="2" max="2" width="21.5" style="2" customWidth="1"/>
    <col min="3" max="3" width="18.6640625" style="2" customWidth="1"/>
    <col min="4" max="4" width="14.6640625" style="2" customWidth="1"/>
    <col min="5" max="5" width="9.83203125" style="2" customWidth="1"/>
    <col min="6" max="6" width="20.6640625" style="2" customWidth="1"/>
    <col min="7" max="9" width="18.6640625" style="2" customWidth="1"/>
    <col min="10" max="16" width="16.83203125" style="2" customWidth="1"/>
    <col min="17" max="17" width="10.83203125" style="2"/>
    <col min="18" max="18" width="23.83203125" style="2" customWidth="1"/>
    <col min="19" max="19" width="18.1640625" style="2" customWidth="1"/>
    <col min="20" max="33" width="16.83203125" style="2" customWidth="1"/>
    <col min="34" max="16384" width="10.83203125" style="2"/>
  </cols>
  <sheetData>
    <row r="2" spans="2:30">
      <c r="B2" s="19" t="s">
        <v>149</v>
      </c>
    </row>
    <row r="3" spans="2:30">
      <c r="B3" s="34" t="s">
        <v>58</v>
      </c>
    </row>
    <row r="6" spans="2:30" s="43" customFormat="1" ht="51">
      <c r="B6" s="28" t="s">
        <v>55</v>
      </c>
      <c r="C6" s="27" t="s">
        <v>414</v>
      </c>
      <c r="D6" s="27" t="s">
        <v>39</v>
      </c>
      <c r="F6" s="27" t="s">
        <v>61</v>
      </c>
      <c r="G6" s="42" t="s">
        <v>15</v>
      </c>
      <c r="H6" s="42" t="s">
        <v>96</v>
      </c>
      <c r="I6" s="27" t="s">
        <v>128</v>
      </c>
      <c r="J6" s="27" t="s">
        <v>62</v>
      </c>
      <c r="K6" s="27" t="s">
        <v>117</v>
      </c>
      <c r="L6" s="27" t="s">
        <v>414</v>
      </c>
      <c r="M6" s="27" t="s">
        <v>666</v>
      </c>
      <c r="N6" s="27" t="s">
        <v>63</v>
      </c>
      <c r="O6" s="27" t="s">
        <v>655</v>
      </c>
      <c r="P6" s="27" t="s">
        <v>665</v>
      </c>
      <c r="R6" s="27" t="s">
        <v>61</v>
      </c>
      <c r="S6" s="42" t="s">
        <v>100</v>
      </c>
      <c r="T6" s="42" t="s">
        <v>101</v>
      </c>
      <c r="U6" s="42" t="s">
        <v>102</v>
      </c>
      <c r="V6" s="42" t="s">
        <v>148</v>
      </c>
      <c r="W6" s="27" t="s">
        <v>143</v>
      </c>
      <c r="X6" s="27" t="s">
        <v>144</v>
      </c>
      <c r="Y6" s="27" t="s">
        <v>117</v>
      </c>
      <c r="Z6" s="27" t="s">
        <v>414</v>
      </c>
      <c r="AA6" s="27" t="s">
        <v>666</v>
      </c>
      <c r="AB6" s="27" t="s">
        <v>63</v>
      </c>
      <c r="AC6" s="27" t="s">
        <v>656</v>
      </c>
      <c r="AD6" s="27" t="s">
        <v>665</v>
      </c>
    </row>
    <row r="8" spans="2:30">
      <c r="B8" s="137" t="s">
        <v>57</v>
      </c>
      <c r="C8" s="14">
        <f>D8*C$18</f>
        <v>6000000</v>
      </c>
      <c r="D8" s="277">
        <v>0.6</v>
      </c>
      <c r="F8" s="137">
        <v>0</v>
      </c>
      <c r="G8" s="276">
        <v>0</v>
      </c>
      <c r="H8" s="137">
        <v>0</v>
      </c>
      <c r="I8" s="277">
        <v>0</v>
      </c>
      <c r="J8" s="37">
        <f>G$28</f>
        <v>0</v>
      </c>
      <c r="K8" s="10">
        <f>IFERROR(F8/J8,0)</f>
        <v>0</v>
      </c>
      <c r="L8" s="6">
        <f>K8+C8</f>
        <v>6000000</v>
      </c>
      <c r="M8" s="35">
        <f>IFERROR(L8/L$18,0)</f>
        <v>0.6</v>
      </c>
      <c r="N8" s="4">
        <f>L8*G$28</f>
        <v>0</v>
      </c>
      <c r="O8" s="4">
        <f>IFERROR(F8/(H8/C$18),0)+L8</f>
        <v>6000000</v>
      </c>
      <c r="P8" s="35">
        <f>IFERROR(O8/O$18,0)</f>
        <v>0.55491329479768781</v>
      </c>
      <c r="R8" s="137">
        <v>0</v>
      </c>
      <c r="S8" s="6">
        <f>F8</f>
        <v>0</v>
      </c>
      <c r="T8" s="4">
        <f ca="1">FV(I8/1,DATEDIF(G$29,S$29,"y"),0,-S8)-S8</f>
        <v>0</v>
      </c>
      <c r="U8" s="6">
        <f ca="1">T8+S8</f>
        <v>0</v>
      </c>
      <c r="V8" s="6">
        <f ca="1">IF(S$30="no",IFERROR(U8/(1-G8),0),IFERROR(U8/(1-(MAX(G8,(S$28-H8/L$18)/S$28))),0))</f>
        <v>0</v>
      </c>
      <c r="W8" s="37">
        <f ca="1">S$28</f>
        <v>1.0987499999999999</v>
      </c>
      <c r="X8" s="37">
        <f ca="1">IF(U8=0,0,IF(H8&lt;&gt;0,MIN(W8*(1-G8),H8/L$18),W8*(1-G8)))</f>
        <v>0</v>
      </c>
      <c r="Y8" s="4">
        <f ca="1">IFERROR(R8/W8,0)+IFERROR(U8/X8,0)</f>
        <v>0</v>
      </c>
      <c r="Z8" s="6">
        <f ca="1">Y8+L8</f>
        <v>6000000</v>
      </c>
      <c r="AA8" s="35">
        <f ca="1">IFERROR(Z8/Z$18,0)</f>
        <v>0.43852565081958522</v>
      </c>
      <c r="AB8" s="4">
        <f ca="1">Z8*S$28</f>
        <v>6592499.9999999991</v>
      </c>
      <c r="AC8" s="4">
        <f ca="1">Z8</f>
        <v>6000000</v>
      </c>
      <c r="AD8" s="35">
        <f ca="1">IFERROR(AC8/AC$18,0)</f>
        <v>0.43852565081958522</v>
      </c>
    </row>
    <row r="9" spans="2:30">
      <c r="B9" s="137" t="s">
        <v>57</v>
      </c>
      <c r="C9" s="14">
        <f>D9*C$18</f>
        <v>3000000</v>
      </c>
      <c r="D9" s="277">
        <v>0.3</v>
      </c>
      <c r="F9" s="137">
        <v>0</v>
      </c>
      <c r="G9" s="276">
        <v>0</v>
      </c>
      <c r="H9" s="137">
        <v>0</v>
      </c>
      <c r="I9" s="277">
        <v>0</v>
      </c>
      <c r="J9" s="37">
        <f>G$28</f>
        <v>0</v>
      </c>
      <c r="K9" s="10">
        <f>IFERROR(F9/J9,0)</f>
        <v>0</v>
      </c>
      <c r="L9" s="6">
        <f>K9+C9</f>
        <v>3000000</v>
      </c>
      <c r="M9" s="35">
        <f>IFERROR(L9/L$18,0)</f>
        <v>0.3</v>
      </c>
      <c r="N9" s="4">
        <f>L9*G$28</f>
        <v>0</v>
      </c>
      <c r="O9" s="4">
        <f t="shared" ref="O9:O16" si="0">IFERROR(F9/(H9/C$18),0)+L9</f>
        <v>3000000</v>
      </c>
      <c r="P9" s="35">
        <f>IFERROR(O9/O$18,0)</f>
        <v>0.2774566473988439</v>
      </c>
      <c r="R9" s="137">
        <v>0</v>
      </c>
      <c r="S9" s="6">
        <f>F9</f>
        <v>0</v>
      </c>
      <c r="T9" s="4">
        <f ca="1">FV(I9/1,DATEDIF(G$29,S$29,"y"),0,-S9)-S9</f>
        <v>0</v>
      </c>
      <c r="U9" s="6">
        <f ca="1">T9+S9</f>
        <v>0</v>
      </c>
      <c r="V9" s="6">
        <f ca="1">IF(S$30="no",IFERROR(U9/(1-G9),0),IFERROR(U9/(1-(MAX(G9,(S$28-H9/L$18)/S$28))),0))</f>
        <v>0</v>
      </c>
      <c r="W9" s="37">
        <f ca="1">S$28</f>
        <v>1.0987499999999999</v>
      </c>
      <c r="X9" s="37">
        <f ca="1">IF(U9=0,0,IF(H9&lt;&gt;0,MIN(W9*(1-G9),H9/L$18),W9*(1-G9)))</f>
        <v>0</v>
      </c>
      <c r="Y9" s="4">
        <f ca="1">IFERROR(R9/W9,0)+IFERROR(U9/X9,0)</f>
        <v>0</v>
      </c>
      <c r="Z9" s="6">
        <f ca="1">Y9+L9</f>
        <v>3000000</v>
      </c>
      <c r="AA9" s="35">
        <f ca="1">IFERROR(Z9/Z$18,0)</f>
        <v>0.21926282540979261</v>
      </c>
      <c r="AB9" s="4">
        <f ca="1">Z9*S$28</f>
        <v>3296249.9999999995</v>
      </c>
      <c r="AC9" s="4">
        <f ca="1">Z9</f>
        <v>3000000</v>
      </c>
      <c r="AD9" s="35">
        <f ca="1">IFERROR(AC9/AC$18,0)</f>
        <v>0.21926282540979261</v>
      </c>
    </row>
    <row r="10" spans="2:30">
      <c r="B10" s="137" t="s">
        <v>59</v>
      </c>
      <c r="C10" s="14">
        <f>D10*C$18</f>
        <v>500000</v>
      </c>
      <c r="D10" s="277">
        <v>0.05</v>
      </c>
      <c r="F10" s="137">
        <v>0</v>
      </c>
      <c r="G10" s="276">
        <v>0</v>
      </c>
      <c r="H10" s="137">
        <v>0</v>
      </c>
      <c r="I10" s="277">
        <v>0</v>
      </c>
      <c r="J10" s="37">
        <f>G$28</f>
        <v>0</v>
      </c>
      <c r="K10" s="10">
        <f>IFERROR(F10/J10,0)</f>
        <v>0</v>
      </c>
      <c r="L10" s="6">
        <f>K10+C10</f>
        <v>500000</v>
      </c>
      <c r="M10" s="35">
        <f>IFERROR(L10/L$18,0)</f>
        <v>0.05</v>
      </c>
      <c r="N10" s="4">
        <f>L10*G$28</f>
        <v>0</v>
      </c>
      <c r="O10" s="4">
        <f t="shared" si="0"/>
        <v>500000</v>
      </c>
      <c r="P10" s="35">
        <f>IFERROR(O10/O$18,0)</f>
        <v>4.6242774566473986E-2</v>
      </c>
      <c r="R10" s="137">
        <v>0</v>
      </c>
      <c r="S10" s="6">
        <f>F10</f>
        <v>0</v>
      </c>
      <c r="T10" s="4">
        <f ca="1">FV(I10/1,DATEDIF(G$29,S$29,"y"),0,-S10)-S10</f>
        <v>0</v>
      </c>
      <c r="U10" s="6">
        <f ca="1">T10+S10</f>
        <v>0</v>
      </c>
      <c r="V10" s="6">
        <f ca="1">IF(S$30="no",IFERROR(U10/(1-G10),0),IFERROR(U10/(1-(MAX(G10,(S$28-H10/L$18)/S$28))),0))</f>
        <v>0</v>
      </c>
      <c r="W10" s="37">
        <f ca="1">S$28</f>
        <v>1.0987499999999999</v>
      </c>
      <c r="X10" s="37">
        <f ca="1">IF(U10=0,0,IF(H10&lt;&gt;0,MIN(W10*(1-G10),H10/L$18),W10*(1-G10)))</f>
        <v>0</v>
      </c>
      <c r="Y10" s="4">
        <f ca="1">IFERROR(R10/W10,0)+IFERROR(U10/X10,0)</f>
        <v>0</v>
      </c>
      <c r="Z10" s="6">
        <f ca="1">Y10+L10</f>
        <v>500000</v>
      </c>
      <c r="AA10" s="35">
        <f ca="1">IFERROR(Z10/Z$18,0)</f>
        <v>3.6543804234965435E-2</v>
      </c>
      <c r="AB10" s="4">
        <f ca="1">Z10*S$28</f>
        <v>549375</v>
      </c>
      <c r="AC10" s="4">
        <f ca="1">Z10</f>
        <v>500000</v>
      </c>
      <c r="AD10" s="35">
        <f ca="1">IFERROR(AC10/AC$18,0)</f>
        <v>3.6543804234965435E-2</v>
      </c>
    </row>
    <row r="11" spans="2:30">
      <c r="B11" s="137" t="s">
        <v>59</v>
      </c>
      <c r="C11" s="14">
        <f>D11*C$18</f>
        <v>300000</v>
      </c>
      <c r="D11" s="277">
        <v>0.03</v>
      </c>
      <c r="F11" s="137">
        <v>0</v>
      </c>
      <c r="G11" s="276">
        <v>0</v>
      </c>
      <c r="H11" s="137">
        <v>0</v>
      </c>
      <c r="I11" s="277">
        <v>0</v>
      </c>
      <c r="J11" s="37">
        <f>G$28</f>
        <v>0</v>
      </c>
      <c r="K11" s="10">
        <f>IFERROR(F11/J11,0)</f>
        <v>0</v>
      </c>
      <c r="L11" s="6">
        <f>K11+C11</f>
        <v>300000</v>
      </c>
      <c r="M11" s="35">
        <f>IFERROR(L11/L$18,0)</f>
        <v>0.03</v>
      </c>
      <c r="N11" s="4">
        <f>L11*G$28</f>
        <v>0</v>
      </c>
      <c r="O11" s="4">
        <f t="shared" si="0"/>
        <v>300000</v>
      </c>
      <c r="P11" s="35">
        <f>IFERROR(O11/O$18,0)</f>
        <v>2.7745664739884393E-2</v>
      </c>
      <c r="R11" s="137">
        <v>0</v>
      </c>
      <c r="S11" s="6">
        <f>F11</f>
        <v>0</v>
      </c>
      <c r="T11" s="4">
        <f ca="1">FV(I11/1,DATEDIF(G$29,S$29,"y"),0,-S11)-S11</f>
        <v>0</v>
      </c>
      <c r="U11" s="6">
        <f ca="1">T11+S11</f>
        <v>0</v>
      </c>
      <c r="V11" s="6">
        <f ca="1">IF(S$30="no",IFERROR(U11/(1-G11),0),IFERROR(U11/(1-(MAX(G11,(S$28-H11/L$18)/S$28))),0))</f>
        <v>0</v>
      </c>
      <c r="W11" s="37">
        <f ca="1">S$28</f>
        <v>1.0987499999999999</v>
      </c>
      <c r="X11" s="37">
        <f ca="1">IF(U11=0,0,IF(H11&lt;&gt;0,MIN(W11*(1-G11),H11/L$18),W11*(1-G11)))</f>
        <v>0</v>
      </c>
      <c r="Y11" s="4">
        <f ca="1">IFERROR(R11/W11,0)+IFERROR(U11/X11,0)</f>
        <v>0</v>
      </c>
      <c r="Z11" s="6">
        <f ca="1">Y11+L11</f>
        <v>300000</v>
      </c>
      <c r="AA11" s="35">
        <f ca="1">IFERROR(Z11/Z$18,0)</f>
        <v>2.1926282540979263E-2</v>
      </c>
      <c r="AB11" s="4">
        <f ca="1">Z11*S$28</f>
        <v>329624.99999999994</v>
      </c>
      <c r="AC11" s="4">
        <f ca="1">Z11</f>
        <v>300000</v>
      </c>
      <c r="AD11" s="35">
        <f ca="1">IFERROR(AC11/AC$18,0)</f>
        <v>2.1926282540979263E-2</v>
      </c>
    </row>
    <row r="12" spans="2:30">
      <c r="B12" s="137" t="s">
        <v>59</v>
      </c>
      <c r="C12" s="14">
        <f>D12*C$18</f>
        <v>200000</v>
      </c>
      <c r="D12" s="277">
        <v>0.02</v>
      </c>
      <c r="F12" s="137">
        <v>0</v>
      </c>
      <c r="G12" s="276">
        <v>0</v>
      </c>
      <c r="H12" s="137">
        <v>0</v>
      </c>
      <c r="I12" s="277">
        <v>0</v>
      </c>
      <c r="J12" s="37">
        <f>G$28</f>
        <v>0</v>
      </c>
      <c r="K12" s="10">
        <f>IFERROR(F12/J12,0)</f>
        <v>0</v>
      </c>
      <c r="L12" s="6">
        <f>K12+C12</f>
        <v>200000</v>
      </c>
      <c r="M12" s="35">
        <f>IFERROR(L12/L$18,0)</f>
        <v>0.02</v>
      </c>
      <c r="N12" s="4">
        <f>L12*G$28</f>
        <v>0</v>
      </c>
      <c r="O12" s="4">
        <f t="shared" si="0"/>
        <v>200000</v>
      </c>
      <c r="P12" s="35">
        <f>IFERROR(O12/O$18,0)</f>
        <v>1.8497109826589597E-2</v>
      </c>
      <c r="R12" s="137">
        <v>0</v>
      </c>
      <c r="S12" s="6">
        <f>F12</f>
        <v>0</v>
      </c>
      <c r="T12" s="4">
        <f ca="1">FV(I12/1,DATEDIF(G$29,S$29,"y"),0,-S12)-S12</f>
        <v>0</v>
      </c>
      <c r="U12" s="6">
        <f ca="1">T12+S12</f>
        <v>0</v>
      </c>
      <c r="V12" s="6">
        <f ca="1">IF(S$30="no",IFERROR(U12/(1-G12),0),IFERROR(U12/(1-(MAX(G12,(S$28-H12/L$18)/S$28))),0))</f>
        <v>0</v>
      </c>
      <c r="W12" s="37">
        <f ca="1">S$28</f>
        <v>1.0987499999999999</v>
      </c>
      <c r="X12" s="37">
        <f ca="1">IF(U12=0,0,IF(H12&lt;&gt;0,MIN(W12*(1-G12),H12/L$18),W12*(1-G12)))</f>
        <v>0</v>
      </c>
      <c r="Y12" s="4">
        <f ca="1">IFERROR(R12/W12,0)+IFERROR(U12/X12,0)</f>
        <v>0</v>
      </c>
      <c r="Z12" s="6">
        <f ca="1">Y12+L12</f>
        <v>200000</v>
      </c>
      <c r="AA12" s="35">
        <f ca="1">IFERROR(Z12/Z$18,0)</f>
        <v>1.4617521693986174E-2</v>
      </c>
      <c r="AB12" s="4">
        <f ca="1">Z12*S$28</f>
        <v>219749.99999999997</v>
      </c>
      <c r="AC12" s="4">
        <f ca="1">Z12</f>
        <v>200000</v>
      </c>
      <c r="AD12" s="35">
        <f ca="1">IFERROR(AC12/AC$18,0)</f>
        <v>1.4617521693986174E-2</v>
      </c>
    </row>
    <row r="14" spans="2:30">
      <c r="B14" s="137" t="s">
        <v>60</v>
      </c>
      <c r="C14" s="14">
        <f>D14*C$18</f>
        <v>0</v>
      </c>
      <c r="D14" s="277">
        <v>0</v>
      </c>
      <c r="F14" s="137">
        <v>500000</v>
      </c>
      <c r="G14" s="276">
        <v>0.2</v>
      </c>
      <c r="H14" s="137">
        <v>10000000</v>
      </c>
      <c r="I14" s="277">
        <v>0.08</v>
      </c>
      <c r="J14" s="37">
        <f>G$28</f>
        <v>0</v>
      </c>
      <c r="K14" s="4">
        <f>IFERROR(F14/J14,0)</f>
        <v>0</v>
      </c>
      <c r="L14" s="6">
        <f>K14+C14</f>
        <v>0</v>
      </c>
      <c r="M14" s="35">
        <f>IFERROR(L14/L$18,0)</f>
        <v>0</v>
      </c>
      <c r="N14" s="4">
        <f>L14*G$28</f>
        <v>0</v>
      </c>
      <c r="O14" s="4">
        <f t="shared" si="0"/>
        <v>500000</v>
      </c>
      <c r="P14" s="35">
        <f>IFERROR(O14/O$18,0)</f>
        <v>4.6242774566473986E-2</v>
      </c>
      <c r="R14" s="137">
        <v>0</v>
      </c>
      <c r="S14" s="6">
        <f>F14</f>
        <v>500000</v>
      </c>
      <c r="T14" s="4">
        <f ca="1">FV(I14/1,DATEDIF(G$29,S$29,"y"),0,-S14)-S14</f>
        <v>40000</v>
      </c>
      <c r="U14" s="6">
        <f ca="1">T14+S14</f>
        <v>540000</v>
      </c>
      <c r="V14" s="6">
        <f ca="1">IF(S$30="no",IFERROR(U14/(1-G14),0),IFERROR(U14/(1-(MAX(G14,(S$28-H14/L$18)/S$28))),0))</f>
        <v>675000</v>
      </c>
      <c r="W14" s="37">
        <f ca="1">S$28</f>
        <v>1.0987499999999999</v>
      </c>
      <c r="X14" s="37">
        <f ca="1">IF(U14=0,0,IF(H14&lt;&gt;0,MIN(W14*(1-G14),H14/L$18),W14*(1-G14)))</f>
        <v>0.879</v>
      </c>
      <c r="Y14" s="4">
        <f ca="1">IFERROR(R14/W14,0)+IFERROR(U14/X14,0)</f>
        <v>614334.47098976106</v>
      </c>
      <c r="Z14" s="6">
        <f ca="1">Y14+L14</f>
        <v>614334.47098976106</v>
      </c>
      <c r="AA14" s="35">
        <f ca="1">IFERROR(Z14/Z$18,0)</f>
        <v>4.4900237285281759E-2</v>
      </c>
      <c r="AB14" s="4">
        <f ca="1">Z14*S$28</f>
        <v>674999.99999999988</v>
      </c>
      <c r="AC14" s="4">
        <f ca="1">Z14</f>
        <v>614334.47098976106</v>
      </c>
      <c r="AD14" s="35">
        <f ca="1">IFERROR(AC14/AC$18,0)</f>
        <v>4.4900237285281759E-2</v>
      </c>
    </row>
    <row r="15" spans="2:30">
      <c r="B15" s="137" t="s">
        <v>64</v>
      </c>
      <c r="C15" s="14">
        <f>D15*C$18</f>
        <v>0</v>
      </c>
      <c r="D15" s="277">
        <v>0</v>
      </c>
      <c r="F15" s="137">
        <v>250000</v>
      </c>
      <c r="G15" s="276">
        <v>0.2</v>
      </c>
      <c r="H15" s="137">
        <v>8000000</v>
      </c>
      <c r="I15" s="277">
        <v>0.08</v>
      </c>
      <c r="J15" s="37">
        <f>G$28</f>
        <v>0</v>
      </c>
      <c r="K15" s="4">
        <f>IFERROR(F15/J15,0)</f>
        <v>0</v>
      </c>
      <c r="L15" s="6">
        <f>K15+C15</f>
        <v>0</v>
      </c>
      <c r="M15" s="35">
        <f>IFERROR(L15/L$18,0)</f>
        <v>0</v>
      </c>
      <c r="N15" s="4">
        <f>L15*G$28</f>
        <v>0</v>
      </c>
      <c r="O15" s="4">
        <f t="shared" si="0"/>
        <v>312500</v>
      </c>
      <c r="P15" s="35">
        <f>IFERROR(O15/O$18,0)</f>
        <v>2.8901734104046242E-2</v>
      </c>
      <c r="R15" s="137">
        <v>0</v>
      </c>
      <c r="S15" s="6">
        <f>F15</f>
        <v>250000</v>
      </c>
      <c r="T15" s="4">
        <f ca="1">FV(I15/1,DATEDIF(G$29,S$29,"y"),0,-S15)-S15</f>
        <v>20000</v>
      </c>
      <c r="U15" s="6">
        <f ca="1">T15+S15</f>
        <v>270000</v>
      </c>
      <c r="V15" s="6">
        <f ca="1">IF(S$30="no",IFERROR(U15/(1-G15),0),IFERROR(U15/(1-(MAX(G15,(S$28-H15/L$18)/S$28))),0))</f>
        <v>337500</v>
      </c>
      <c r="W15" s="37">
        <f ca="1">S$28</f>
        <v>1.0987499999999999</v>
      </c>
      <c r="X15" s="37">
        <f ca="1">IF(U15=0,0,IF(H15&lt;&gt;0,MIN(W15*(1-G15),H15/L$18),W15*(1-G15)))</f>
        <v>0.8</v>
      </c>
      <c r="Y15" s="4">
        <f ca="1">IFERROR(R15/W15,0)+IFERROR(U15/X15,0)</f>
        <v>337500</v>
      </c>
      <c r="Z15" s="6">
        <f ca="1">Y15+L15</f>
        <v>337500</v>
      </c>
      <c r="AA15" s="35">
        <f ca="1">IFERROR(Z15/Z$18,0)</f>
        <v>2.466706785860167E-2</v>
      </c>
      <c r="AB15" s="4">
        <f ca="1">Z15*S$28</f>
        <v>370828.12499999994</v>
      </c>
      <c r="AC15" s="4">
        <f ca="1">Z15</f>
        <v>337500</v>
      </c>
      <c r="AD15" s="35">
        <f ca="1">IFERROR(AC15/AC$18,0)</f>
        <v>2.466706785860167E-2</v>
      </c>
    </row>
    <row r="16" spans="2:30">
      <c r="B16" s="137" t="s">
        <v>91</v>
      </c>
      <c r="C16" s="14">
        <f>D16*C$18</f>
        <v>0</v>
      </c>
      <c r="D16" s="277">
        <v>0</v>
      </c>
      <c r="F16" s="137">
        <v>0</v>
      </c>
      <c r="G16" s="276">
        <v>0</v>
      </c>
      <c r="H16" s="137">
        <v>0</v>
      </c>
      <c r="I16" s="277">
        <v>0</v>
      </c>
      <c r="J16" s="37">
        <f>G$28</f>
        <v>0</v>
      </c>
      <c r="K16" s="4">
        <f>IFERROR(F16/J16,0)</f>
        <v>0</v>
      </c>
      <c r="L16" s="6">
        <f>K16+C16</f>
        <v>0</v>
      </c>
      <c r="M16" s="35">
        <f>IFERROR(L16/L$18,0)</f>
        <v>0</v>
      </c>
      <c r="N16" s="4">
        <f>L16*G$28</f>
        <v>0</v>
      </c>
      <c r="O16" s="4">
        <f t="shared" si="0"/>
        <v>0</v>
      </c>
      <c r="P16" s="35">
        <f>IFERROR(O16/O$18,0)</f>
        <v>0</v>
      </c>
      <c r="R16" s="137">
        <v>3000000</v>
      </c>
      <c r="S16" s="6">
        <f>F16</f>
        <v>0</v>
      </c>
      <c r="T16" s="4">
        <f ca="1">FV(I16/1,DATEDIF(G$29,S$29,"y"),0,-S16)-S16</f>
        <v>0</v>
      </c>
      <c r="U16" s="6">
        <f ca="1">T16+S16</f>
        <v>0</v>
      </c>
      <c r="V16" s="6">
        <f ca="1">IF(S$30="no",IFERROR(U16/(1-G16),0),IFERROR(U16/(1-(MAX(G16,(S$28-H16/L$18)/S$28))),0))</f>
        <v>0</v>
      </c>
      <c r="W16" s="37">
        <f ca="1">S$28</f>
        <v>1.0987499999999999</v>
      </c>
      <c r="X16" s="37">
        <f ca="1">IF(U16=0,0,IF(H16&lt;&gt;0,MIN(W16*(1-G16),H16/L$18),W16*(1-G16)))</f>
        <v>0</v>
      </c>
      <c r="Y16" s="4">
        <f ca="1">IFERROR(R16/W16,0)+IFERROR(U16/X16,0)</f>
        <v>2730375.4266211605</v>
      </c>
      <c r="Z16" s="6">
        <f ca="1">Y16+L16</f>
        <v>2730375.4266211605</v>
      </c>
      <c r="AA16" s="35">
        <f ca="1">IFERROR(Z16/Z$18,0)</f>
        <v>0.19955661015680784</v>
      </c>
      <c r="AB16" s="4">
        <f ca="1">Z16*S$28</f>
        <v>3000000</v>
      </c>
      <c r="AC16" s="4">
        <f ca="1">Z16</f>
        <v>2730375.4266211605</v>
      </c>
      <c r="AD16" s="35">
        <f ca="1">IFERROR(AC16/AC$18,0)</f>
        <v>0.19955661015680784</v>
      </c>
    </row>
    <row r="17" spans="2:30">
      <c r="D17" s="36"/>
    </row>
    <row r="18" spans="2:30">
      <c r="B18" s="38" t="s">
        <v>20</v>
      </c>
      <c r="C18" s="278">
        <v>10000000</v>
      </c>
      <c r="D18" s="39">
        <f>SUM(D8:D12,D14:D16)</f>
        <v>1</v>
      </c>
      <c r="F18" s="8">
        <f>SUM(F8:F12,F14:F16)</f>
        <v>750000</v>
      </c>
      <c r="G18" s="38"/>
      <c r="H18" s="38"/>
      <c r="I18" s="38"/>
      <c r="J18" s="38"/>
      <c r="K18" s="8">
        <f>SUM(K8:K12,K14:K15)</f>
        <v>0</v>
      </c>
      <c r="L18" s="8">
        <f>SUM(L8:L12,L14:L16)</f>
        <v>10000000</v>
      </c>
      <c r="M18" s="39">
        <f>SUM(M8:M12,M14:M16)</f>
        <v>1</v>
      </c>
      <c r="N18" s="8">
        <f>SUM(N8:N12,N14:N16)</f>
        <v>0</v>
      </c>
      <c r="O18" s="8">
        <f>SUM(O8:O12,O14:O16)</f>
        <v>10812500</v>
      </c>
      <c r="P18" s="39">
        <f>SUM(P8:P12,P14:P16)</f>
        <v>0.99999999999999989</v>
      </c>
      <c r="R18" s="8">
        <f>SUM(R8:R12,R14:R16)</f>
        <v>3000000</v>
      </c>
      <c r="S18" s="8">
        <f>SUM(S8:S12,S14:S16)</f>
        <v>750000</v>
      </c>
      <c r="T18" s="8">
        <f ca="1">SUM(T8:T12,T14:T16)</f>
        <v>60000</v>
      </c>
      <c r="U18" s="8">
        <f ca="1">SUM(U8:U12,U14:U16)</f>
        <v>810000</v>
      </c>
      <c r="V18" s="8">
        <f ca="1">SUM(V8:V12,V14:V16)</f>
        <v>1012500</v>
      </c>
      <c r="W18" s="45"/>
      <c r="X18" s="45"/>
      <c r="Y18" s="8">
        <f t="shared" ref="Y18:AD18" ca="1" si="1">SUM(Y8:Y12,Y14:Y16)</f>
        <v>3682209.8976109214</v>
      </c>
      <c r="Z18" s="8">
        <f t="shared" ca="1" si="1"/>
        <v>13682209.897610921</v>
      </c>
      <c r="AA18" s="39">
        <f t="shared" ca="1" si="1"/>
        <v>1</v>
      </c>
      <c r="AB18" s="8">
        <f t="shared" ca="1" si="1"/>
        <v>15033328.124999998</v>
      </c>
      <c r="AC18" s="8">
        <f t="shared" ca="1" si="1"/>
        <v>13682209.897610921</v>
      </c>
      <c r="AD18" s="39">
        <f t="shared" ca="1" si="1"/>
        <v>1</v>
      </c>
    </row>
    <row r="19" spans="2:30">
      <c r="AA19" s="49" t="s">
        <v>81</v>
      </c>
    </row>
    <row r="21" spans="2:30">
      <c r="F21" s="34" t="s">
        <v>65</v>
      </c>
      <c r="R21" s="34" t="s">
        <v>89</v>
      </c>
    </row>
    <row r="22" spans="2:30">
      <c r="F22" s="2" t="s">
        <v>67</v>
      </c>
      <c r="G22" s="6">
        <f>F18</f>
        <v>750000</v>
      </c>
      <c r="R22" s="2" t="s">
        <v>67</v>
      </c>
      <c r="S22" s="6">
        <f>R18</f>
        <v>3000000</v>
      </c>
    </row>
    <row r="23" spans="2:30">
      <c r="F23" s="2" t="s">
        <v>100</v>
      </c>
      <c r="G23" s="6">
        <v>0</v>
      </c>
      <c r="R23" s="2" t="s">
        <v>100</v>
      </c>
      <c r="S23" s="6">
        <f ca="1">U18</f>
        <v>810000</v>
      </c>
    </row>
    <row r="24" spans="2:30">
      <c r="F24" s="2" t="s">
        <v>148</v>
      </c>
      <c r="G24" s="6">
        <v>0</v>
      </c>
      <c r="R24" s="2" t="s">
        <v>148</v>
      </c>
      <c r="S24" s="6">
        <f ca="1">V18</f>
        <v>1012500</v>
      </c>
      <c r="T24" s="130"/>
    </row>
    <row r="25" spans="2:30">
      <c r="F25" s="2" t="s">
        <v>66</v>
      </c>
      <c r="G25" s="13">
        <v>0</v>
      </c>
      <c r="H25" s="10"/>
      <c r="R25" s="2" t="s">
        <v>66</v>
      </c>
      <c r="S25" s="6">
        <f ca="1">S26-S24-S22</f>
        <v>10987500</v>
      </c>
      <c r="T25" s="10" t="s">
        <v>82</v>
      </c>
    </row>
    <row r="26" spans="2:30">
      <c r="F26" s="2" t="s">
        <v>103</v>
      </c>
      <c r="G26" s="6">
        <f>IF(G25=0,0,G25+G22)</f>
        <v>0</v>
      </c>
      <c r="R26" s="2" t="s">
        <v>103</v>
      </c>
      <c r="S26" s="137">
        <v>15000000</v>
      </c>
      <c r="T26" s="10" t="s">
        <v>78</v>
      </c>
    </row>
    <row r="27" spans="2:30">
      <c r="F27" s="2" t="s">
        <v>152</v>
      </c>
      <c r="G27" s="6">
        <f>G26</f>
        <v>0</v>
      </c>
      <c r="R27" s="2" t="s">
        <v>152</v>
      </c>
      <c r="S27" s="6">
        <f>S26</f>
        <v>15000000</v>
      </c>
      <c r="T27" s="10"/>
    </row>
    <row r="28" spans="2:30">
      <c r="F28" s="2" t="s">
        <v>62</v>
      </c>
      <c r="G28" s="37">
        <f>G25/C18</f>
        <v>0</v>
      </c>
      <c r="R28" s="2" t="s">
        <v>62</v>
      </c>
      <c r="S28" s="37">
        <f ca="1">S25/L18</f>
        <v>1.0987499999999999</v>
      </c>
      <c r="T28" s="10"/>
    </row>
    <row r="29" spans="2:30">
      <c r="F29" s="2" t="s">
        <v>40</v>
      </c>
      <c r="G29" s="25">
        <f ca="1">EDATE(TODAY(),-18)</f>
        <v>42933</v>
      </c>
      <c r="R29" s="2" t="s">
        <v>40</v>
      </c>
      <c r="S29" s="25">
        <f ca="1">TODAY()</f>
        <v>43482</v>
      </c>
      <c r="T29" s="10"/>
    </row>
    <row r="30" spans="2:30">
      <c r="R30" s="2" t="s">
        <v>210</v>
      </c>
      <c r="S30" s="55" t="s">
        <v>211</v>
      </c>
      <c r="T30" s="10" t="s">
        <v>80</v>
      </c>
    </row>
    <row r="31" spans="2:30">
      <c r="B31" s="33" t="s">
        <v>54</v>
      </c>
    </row>
    <row r="32" spans="2:30">
      <c r="B32" s="2" t="s">
        <v>153</v>
      </c>
    </row>
    <row r="33" spans="2:2">
      <c r="B33" s="2" t="s">
        <v>154</v>
      </c>
    </row>
    <row r="34" spans="2:2">
      <c r="B34" s="2" t="s">
        <v>155</v>
      </c>
    </row>
    <row r="35" spans="2:2">
      <c r="B35" s="2" t="s">
        <v>212</v>
      </c>
    </row>
    <row r="36" spans="2:2">
      <c r="B36" s="2" t="s">
        <v>657</v>
      </c>
    </row>
    <row r="37" spans="2:2">
      <c r="B37" s="2" t="s">
        <v>658</v>
      </c>
    </row>
  </sheetData>
  <dataValidations count="1">
    <dataValidation type="list" allowBlank="1" showInputMessage="1" showErrorMessage="1" sqref="S30">
      <formula1>"no,yes"</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AD39"/>
  <sheetViews>
    <sheetView showGridLines="0" workbookViewId="0">
      <pane xSplit="2" topLeftCell="C1" activePane="topRight" state="frozen"/>
      <selection activeCell="B47" sqref="B47"/>
      <selection pane="topRight" activeCell="B2" sqref="B2"/>
    </sheetView>
  </sheetViews>
  <sheetFormatPr baseColWidth="10" defaultRowHeight="17" x14ac:dyDescent="0"/>
  <cols>
    <col min="1" max="1" width="5.33203125" style="2" customWidth="1"/>
    <col min="2" max="2" width="21.5" style="2" customWidth="1"/>
    <col min="3" max="3" width="18.6640625" style="2" customWidth="1"/>
    <col min="4" max="4" width="14.6640625" style="2" customWidth="1"/>
    <col min="5" max="5" width="9.83203125" style="2" customWidth="1"/>
    <col min="6" max="6" width="28.33203125" style="2" customWidth="1"/>
    <col min="7" max="9" width="18.6640625" style="2" customWidth="1"/>
    <col min="10" max="16" width="16.83203125" style="2" customWidth="1"/>
    <col min="17" max="17" width="10.83203125" style="2"/>
    <col min="18" max="18" width="28.6640625" style="2" customWidth="1"/>
    <col min="19" max="19" width="18.1640625" style="2" customWidth="1"/>
    <col min="20" max="33" width="16.83203125" style="2" customWidth="1"/>
    <col min="34" max="16384" width="10.83203125" style="2"/>
  </cols>
  <sheetData>
    <row r="2" spans="2:30">
      <c r="B2" s="19" t="s">
        <v>415</v>
      </c>
    </row>
    <row r="3" spans="2:30">
      <c r="B3" s="34" t="s">
        <v>58</v>
      </c>
    </row>
    <row r="6" spans="2:30" s="43" customFormat="1" ht="51">
      <c r="B6" s="28" t="s">
        <v>55</v>
      </c>
      <c r="C6" s="27" t="s">
        <v>414</v>
      </c>
      <c r="D6" s="27" t="s">
        <v>39</v>
      </c>
      <c r="F6" s="27" t="s">
        <v>61</v>
      </c>
      <c r="G6" s="42" t="s">
        <v>15</v>
      </c>
      <c r="H6" s="42" t="s">
        <v>96</v>
      </c>
      <c r="I6" s="27" t="s">
        <v>128</v>
      </c>
      <c r="J6" s="27" t="s">
        <v>62</v>
      </c>
      <c r="K6" s="27" t="s">
        <v>117</v>
      </c>
      <c r="L6" s="27" t="s">
        <v>414</v>
      </c>
      <c r="M6" s="27" t="s">
        <v>666</v>
      </c>
      <c r="N6" s="27" t="s">
        <v>63</v>
      </c>
      <c r="O6" s="27" t="s">
        <v>655</v>
      </c>
      <c r="P6" s="27" t="s">
        <v>665</v>
      </c>
      <c r="R6" s="27" t="s">
        <v>61</v>
      </c>
      <c r="S6" s="42" t="s">
        <v>100</v>
      </c>
      <c r="T6" s="42" t="s">
        <v>101</v>
      </c>
      <c r="U6" s="42" t="s">
        <v>102</v>
      </c>
      <c r="V6" s="42" t="s">
        <v>148</v>
      </c>
      <c r="W6" s="27" t="s">
        <v>143</v>
      </c>
      <c r="X6" s="27" t="s">
        <v>144</v>
      </c>
      <c r="Y6" s="27" t="s">
        <v>117</v>
      </c>
      <c r="Z6" s="27" t="s">
        <v>414</v>
      </c>
      <c r="AA6" s="27" t="s">
        <v>666</v>
      </c>
      <c r="AB6" s="27" t="s">
        <v>63</v>
      </c>
      <c r="AC6" s="27" t="s">
        <v>656</v>
      </c>
      <c r="AD6" s="27" t="s">
        <v>665</v>
      </c>
    </row>
    <row r="8" spans="2:30">
      <c r="B8" s="13" t="s">
        <v>57</v>
      </c>
      <c r="C8" s="14">
        <f>D8*C$18</f>
        <v>6000000</v>
      </c>
      <c r="D8" s="29">
        <v>0.6</v>
      </c>
      <c r="F8" s="13">
        <v>0</v>
      </c>
      <c r="G8" s="40">
        <v>0</v>
      </c>
      <c r="H8" s="13">
        <v>0</v>
      </c>
      <c r="I8" s="29">
        <v>0</v>
      </c>
      <c r="J8" s="37">
        <f>G$29</f>
        <v>0</v>
      </c>
      <c r="K8" s="10">
        <f>IFERROR(F8/J8,0)</f>
        <v>0</v>
      </c>
      <c r="L8" s="6">
        <f>K8+C8</f>
        <v>6000000</v>
      </c>
      <c r="M8" s="35">
        <f>IFERROR(L8/L$18,0)</f>
        <v>0.6</v>
      </c>
      <c r="N8" s="4">
        <f>L8*G$29</f>
        <v>0</v>
      </c>
      <c r="O8" s="4">
        <f>IFERROR(F8/(H8/C$18),0)+L8</f>
        <v>6000000</v>
      </c>
      <c r="P8" s="35">
        <f>IFERROR(O8/O$18,0)</f>
        <v>0.55491329479768781</v>
      </c>
      <c r="R8" s="13">
        <v>0</v>
      </c>
      <c r="S8" s="6">
        <f>F8</f>
        <v>0</v>
      </c>
      <c r="T8" s="4">
        <f ca="1">FV(I8/1,DATEDIF(G$30,S$30,"y"),0,-S8)-S8</f>
        <v>0</v>
      </c>
      <c r="U8" s="6">
        <f ca="1">T8+S8</f>
        <v>0</v>
      </c>
      <c r="V8" s="6">
        <f ca="1">IF(S$31="no",IFERROR(U8/(1-G8),0),IFERROR(U8/(1-(MAX(G8,(S$29-H8/L$18)/S$29))),0))</f>
        <v>0</v>
      </c>
      <c r="W8" s="37">
        <f ca="1">S$29</f>
        <v>1.1797500000000001</v>
      </c>
      <c r="X8" s="37">
        <f ca="1">IF(U8=0,0,IF(H8&lt;&gt;0,MIN(W8*(1-G8),H8/L$18),W8*(1-G8)))</f>
        <v>0</v>
      </c>
      <c r="Y8" s="4">
        <f ca="1">IFERROR(R8/W8,0)+IFERROR(U8/X8,0)</f>
        <v>0</v>
      </c>
      <c r="Z8" s="6">
        <f ca="1">Y8+L8</f>
        <v>6000000</v>
      </c>
      <c r="AA8" s="35">
        <f ca="1">IFERROR(Z8/Z$18,0)</f>
        <v>0.44601153897727586</v>
      </c>
      <c r="AB8" s="4">
        <f ca="1">Z8*S$29</f>
        <v>7078500</v>
      </c>
      <c r="AC8" s="4">
        <f ca="1">Z8</f>
        <v>6000000</v>
      </c>
      <c r="AD8" s="35">
        <f ca="1">IFERROR(AC8/AC$18,0)</f>
        <v>0.44601153897727586</v>
      </c>
    </row>
    <row r="9" spans="2:30">
      <c r="B9" s="13" t="s">
        <v>57</v>
      </c>
      <c r="C9" s="14">
        <f>D9*C$18</f>
        <v>3000000</v>
      </c>
      <c r="D9" s="29">
        <v>0.3</v>
      </c>
      <c r="F9" s="13">
        <v>0</v>
      </c>
      <c r="G9" s="40">
        <v>0</v>
      </c>
      <c r="H9" s="13">
        <v>0</v>
      </c>
      <c r="I9" s="29">
        <v>0</v>
      </c>
      <c r="J9" s="37">
        <f>G$29</f>
        <v>0</v>
      </c>
      <c r="K9" s="10">
        <f>IFERROR(F9/J9,0)</f>
        <v>0</v>
      </c>
      <c r="L9" s="6">
        <f>K9+C9</f>
        <v>3000000</v>
      </c>
      <c r="M9" s="35">
        <f>IFERROR(L9/L$18,0)</f>
        <v>0.3</v>
      </c>
      <c r="N9" s="4">
        <f>L9*G$29</f>
        <v>0</v>
      </c>
      <c r="O9" s="4">
        <f t="shared" ref="O9:O16" si="0">IFERROR(F9/(H9/C$18),0)+L9</f>
        <v>3000000</v>
      </c>
      <c r="P9" s="35">
        <f>IFERROR(O9/O$18,0)</f>
        <v>0.2774566473988439</v>
      </c>
      <c r="R9" s="13">
        <v>0</v>
      </c>
      <c r="S9" s="6">
        <f>F9</f>
        <v>0</v>
      </c>
      <c r="T9" s="4">
        <f ca="1">FV(I9/1,DATEDIF(G$30,S$30,"y"),0,-S9)-S9</f>
        <v>0</v>
      </c>
      <c r="U9" s="6">
        <f ca="1">T9+S9</f>
        <v>0</v>
      </c>
      <c r="V9" s="6">
        <f ca="1">IF(S$31="no",IFERROR(U9/(1-G9),0),IFERROR(U9/(1-(MAX(G9,(S$29-H9/L$18)/S$29))),0))</f>
        <v>0</v>
      </c>
      <c r="W9" s="37">
        <f ca="1">S$29</f>
        <v>1.1797500000000001</v>
      </c>
      <c r="X9" s="37">
        <f ca="1">IF(U9=0,0,IF(H9&lt;&gt;0,MIN(W9*(1-G9),H9/L$18),W9*(1-G9)))</f>
        <v>0</v>
      </c>
      <c r="Y9" s="4">
        <f ca="1">IFERROR(R9/W9,0)+IFERROR(U9/X9,0)</f>
        <v>0</v>
      </c>
      <c r="Z9" s="6">
        <f ca="1">Y9+L9</f>
        <v>3000000</v>
      </c>
      <c r="AA9" s="35">
        <f ca="1">IFERROR(Z9/Z$18,0)</f>
        <v>0.22300576948863793</v>
      </c>
      <c r="AB9" s="4">
        <f ca="1">Z9*S$29</f>
        <v>3539250</v>
      </c>
      <c r="AC9" s="4">
        <f ca="1">Z9</f>
        <v>3000000</v>
      </c>
      <c r="AD9" s="35">
        <f ca="1">IFERROR(AC9/AC$18,0)</f>
        <v>0.22300576948863793</v>
      </c>
    </row>
    <row r="10" spans="2:30">
      <c r="B10" s="13" t="s">
        <v>59</v>
      </c>
      <c r="C10" s="14">
        <f>D10*C$18</f>
        <v>500000</v>
      </c>
      <c r="D10" s="29">
        <v>0.05</v>
      </c>
      <c r="F10" s="13">
        <v>0</v>
      </c>
      <c r="G10" s="40">
        <v>0</v>
      </c>
      <c r="H10" s="13">
        <v>0</v>
      </c>
      <c r="I10" s="29">
        <v>0</v>
      </c>
      <c r="J10" s="37">
        <f>G$29</f>
        <v>0</v>
      </c>
      <c r="K10" s="10">
        <f>IFERROR(F10/J10,0)</f>
        <v>0</v>
      </c>
      <c r="L10" s="6">
        <f>K10+C10</f>
        <v>500000</v>
      </c>
      <c r="M10" s="35">
        <f>IFERROR(L10/L$18,0)</f>
        <v>0.05</v>
      </c>
      <c r="N10" s="4">
        <f>L10*G$29</f>
        <v>0</v>
      </c>
      <c r="O10" s="4">
        <f t="shared" si="0"/>
        <v>500000</v>
      </c>
      <c r="P10" s="35">
        <f>IFERROR(O10/O$18,0)</f>
        <v>4.6242774566473986E-2</v>
      </c>
      <c r="R10" s="13">
        <v>0</v>
      </c>
      <c r="S10" s="6">
        <f>F10</f>
        <v>0</v>
      </c>
      <c r="T10" s="4">
        <f ca="1">FV(I10/1,DATEDIF(G$30,S$30,"y"),0,-S10)-S10</f>
        <v>0</v>
      </c>
      <c r="U10" s="6">
        <f ca="1">T10+S10</f>
        <v>0</v>
      </c>
      <c r="V10" s="6">
        <f ca="1">IF(S$31="no",IFERROR(U10/(1-G10),0),IFERROR(U10/(1-(MAX(G10,(S$29-H10/L$18)/S$29))),0))</f>
        <v>0</v>
      </c>
      <c r="W10" s="37">
        <f ca="1">S$29</f>
        <v>1.1797500000000001</v>
      </c>
      <c r="X10" s="37">
        <f ca="1">IF(U10=0,0,IF(H10&lt;&gt;0,MIN(W10*(1-G10),H10/L$18),W10*(1-G10)))</f>
        <v>0</v>
      </c>
      <c r="Y10" s="4">
        <f ca="1">IFERROR(R10/W10,0)+IFERROR(U10/X10,0)</f>
        <v>0</v>
      </c>
      <c r="Z10" s="6">
        <f ca="1">Y10+L10</f>
        <v>500000</v>
      </c>
      <c r="AA10" s="35">
        <f ca="1">IFERROR(Z10/Z$18,0)</f>
        <v>3.7167628248106321E-2</v>
      </c>
      <c r="AB10" s="4">
        <f ca="1">Z10*S$29</f>
        <v>589875</v>
      </c>
      <c r="AC10" s="4">
        <f ca="1">Z10</f>
        <v>500000</v>
      </c>
      <c r="AD10" s="35">
        <f ca="1">IFERROR(AC10/AC$18,0)</f>
        <v>3.7167628248106321E-2</v>
      </c>
    </row>
    <row r="11" spans="2:30">
      <c r="B11" s="13" t="s">
        <v>59</v>
      </c>
      <c r="C11" s="14">
        <f>D11*C$18</f>
        <v>300000</v>
      </c>
      <c r="D11" s="29">
        <v>0.03</v>
      </c>
      <c r="F11" s="13">
        <v>0</v>
      </c>
      <c r="G11" s="40">
        <v>0</v>
      </c>
      <c r="H11" s="13">
        <v>0</v>
      </c>
      <c r="I11" s="29">
        <v>0</v>
      </c>
      <c r="J11" s="37">
        <f>G$29</f>
        <v>0</v>
      </c>
      <c r="K11" s="10">
        <f>IFERROR(F11/J11,0)</f>
        <v>0</v>
      </c>
      <c r="L11" s="6">
        <f>K11+C11</f>
        <v>300000</v>
      </c>
      <c r="M11" s="35">
        <f>IFERROR(L11/L$18,0)</f>
        <v>0.03</v>
      </c>
      <c r="N11" s="4">
        <f>L11*G$29</f>
        <v>0</v>
      </c>
      <c r="O11" s="4">
        <f t="shared" si="0"/>
        <v>300000</v>
      </c>
      <c r="P11" s="35">
        <f>IFERROR(O11/O$18,0)</f>
        <v>2.7745664739884393E-2</v>
      </c>
      <c r="R11" s="13">
        <v>0</v>
      </c>
      <c r="S11" s="6">
        <f>F11</f>
        <v>0</v>
      </c>
      <c r="T11" s="4">
        <f ca="1">FV(I11/1,DATEDIF(G$30,S$30,"y"),0,-S11)-S11</f>
        <v>0</v>
      </c>
      <c r="U11" s="6">
        <f ca="1">T11+S11</f>
        <v>0</v>
      </c>
      <c r="V11" s="6">
        <f ca="1">IF(S$31="no",IFERROR(U11/(1-G11),0),IFERROR(U11/(1-(MAX(G11,(S$29-H11/L$18)/S$29))),0))</f>
        <v>0</v>
      </c>
      <c r="W11" s="37">
        <f ca="1">S$29</f>
        <v>1.1797500000000001</v>
      </c>
      <c r="X11" s="37">
        <f ca="1">IF(U11=0,0,IF(H11&lt;&gt;0,MIN(W11*(1-G11),H11/L$18),W11*(1-G11)))</f>
        <v>0</v>
      </c>
      <c r="Y11" s="4">
        <f ca="1">IFERROR(R11/W11,0)+IFERROR(U11/X11,0)</f>
        <v>0</v>
      </c>
      <c r="Z11" s="6">
        <f ca="1">Y11+L11</f>
        <v>300000</v>
      </c>
      <c r="AA11" s="35">
        <f ca="1">IFERROR(Z11/Z$18,0)</f>
        <v>2.2300576948863792E-2</v>
      </c>
      <c r="AB11" s="4">
        <f ca="1">Z11*S$29</f>
        <v>353925</v>
      </c>
      <c r="AC11" s="4">
        <f ca="1">Z11</f>
        <v>300000</v>
      </c>
      <c r="AD11" s="35">
        <f ca="1">IFERROR(AC11/AC$18,0)</f>
        <v>2.2300576948863792E-2</v>
      </c>
    </row>
    <row r="12" spans="2:30">
      <c r="B12" s="13" t="s">
        <v>59</v>
      </c>
      <c r="C12" s="14">
        <f>D12*C$18</f>
        <v>200000</v>
      </c>
      <c r="D12" s="29">
        <v>0.02</v>
      </c>
      <c r="F12" s="13">
        <v>0</v>
      </c>
      <c r="G12" s="40">
        <v>0</v>
      </c>
      <c r="H12" s="13">
        <v>0</v>
      </c>
      <c r="I12" s="29">
        <v>0</v>
      </c>
      <c r="J12" s="37">
        <f>G$29</f>
        <v>0</v>
      </c>
      <c r="K12" s="10">
        <f>IFERROR(F12/J12,0)</f>
        <v>0</v>
      </c>
      <c r="L12" s="6">
        <f>K12+C12</f>
        <v>200000</v>
      </c>
      <c r="M12" s="35">
        <f>IFERROR(L12/L$18,0)</f>
        <v>0.02</v>
      </c>
      <c r="N12" s="4">
        <f>L12*G$29</f>
        <v>0</v>
      </c>
      <c r="O12" s="4">
        <f t="shared" si="0"/>
        <v>200000</v>
      </c>
      <c r="P12" s="35">
        <f>IFERROR(O12/O$18,0)</f>
        <v>1.8497109826589597E-2</v>
      </c>
      <c r="R12" s="13">
        <v>0</v>
      </c>
      <c r="S12" s="6">
        <f>F12</f>
        <v>0</v>
      </c>
      <c r="T12" s="4">
        <f ca="1">FV(I12/1,DATEDIF(G$30,S$30,"y"),0,-S12)-S12</f>
        <v>0</v>
      </c>
      <c r="U12" s="6">
        <f ca="1">T12+S12</f>
        <v>0</v>
      </c>
      <c r="V12" s="6">
        <f ca="1">IF(S$31="no",IFERROR(U12/(1-G12),0),IFERROR(U12/(1-(MAX(G12,(S$29-H12/L$18)/S$29))),0))</f>
        <v>0</v>
      </c>
      <c r="W12" s="37">
        <f ca="1">S$29</f>
        <v>1.1797500000000001</v>
      </c>
      <c r="X12" s="37">
        <f ca="1">IF(U12=0,0,IF(H12&lt;&gt;0,MIN(W12*(1-G12),H12/L$18),W12*(1-G12)))</f>
        <v>0</v>
      </c>
      <c r="Y12" s="4">
        <f ca="1">IFERROR(R12/W12,0)+IFERROR(U12/X12,0)</f>
        <v>0</v>
      </c>
      <c r="Z12" s="6">
        <f ca="1">Y12+L12</f>
        <v>200000</v>
      </c>
      <c r="AA12" s="35">
        <f ca="1">IFERROR(Z12/Z$18,0)</f>
        <v>1.4867051299242529E-2</v>
      </c>
      <c r="AB12" s="4">
        <f ca="1">Z12*S$29</f>
        <v>235950.00000000003</v>
      </c>
      <c r="AC12" s="4">
        <f ca="1">Z12</f>
        <v>200000</v>
      </c>
      <c r="AD12" s="35">
        <f ca="1">IFERROR(AC12/AC$18,0)</f>
        <v>1.4867051299242529E-2</v>
      </c>
    </row>
    <row r="13" spans="2:30">
      <c r="D13" s="36"/>
      <c r="G13" s="41"/>
    </row>
    <row r="14" spans="2:30">
      <c r="B14" s="13" t="s">
        <v>60</v>
      </c>
      <c r="C14" s="14">
        <f>D14*C$18</f>
        <v>0</v>
      </c>
      <c r="D14" s="29">
        <v>0</v>
      </c>
      <c r="F14" s="13">
        <v>500000</v>
      </c>
      <c r="G14" s="40">
        <v>0.2</v>
      </c>
      <c r="H14" s="13">
        <v>10000000</v>
      </c>
      <c r="I14" s="29">
        <v>0.08</v>
      </c>
      <c r="J14" s="37">
        <f>G$29</f>
        <v>0</v>
      </c>
      <c r="K14" s="4">
        <f>IFERROR(F14/J14,0)</f>
        <v>0</v>
      </c>
      <c r="L14" s="6">
        <f>K14+C14</f>
        <v>0</v>
      </c>
      <c r="M14" s="35">
        <f>IFERROR(L14/L$18,0)</f>
        <v>0</v>
      </c>
      <c r="N14" s="4">
        <f>L14*G$29</f>
        <v>0</v>
      </c>
      <c r="O14" s="4">
        <f t="shared" si="0"/>
        <v>500000</v>
      </c>
      <c r="P14" s="35">
        <f>IFERROR(O14/O$18,0)</f>
        <v>4.6242774566473986E-2</v>
      </c>
      <c r="R14" s="13">
        <v>0</v>
      </c>
      <c r="S14" s="6">
        <f>F14</f>
        <v>500000</v>
      </c>
      <c r="T14" s="4">
        <f ca="1">FV(I14/1,DATEDIF(G$30,S$30,"y"),0,-S14)-S14</f>
        <v>40000</v>
      </c>
      <c r="U14" s="6">
        <f ca="1">T14+S14</f>
        <v>540000</v>
      </c>
      <c r="V14" s="6">
        <f ca="1">IF(S$31="no",IFERROR(U14/(1-G14),0),IFERROR(U14/(1-(MAX(G14,(S$29-H14/L$18)/S$29))),0))</f>
        <v>675000</v>
      </c>
      <c r="W14" s="37">
        <f ca="1">S$29</f>
        <v>1.1797500000000001</v>
      </c>
      <c r="X14" s="37">
        <f ca="1">IF(U14=0,0,IF(H14&lt;&gt;0,MIN(W14*(1-G14),H14/L$18),W14*(1-G14)))</f>
        <v>0.94380000000000008</v>
      </c>
      <c r="Y14" s="4">
        <f ca="1">IFERROR(R14/W14,0)+IFERROR(U14/X14,0)</f>
        <v>572155.11760966305</v>
      </c>
      <c r="Z14" s="6">
        <f ca="1">Y14+L14</f>
        <v>572155.11760966305</v>
      </c>
      <c r="AA14" s="35">
        <f ca="1">IFERROR(Z14/Z$18,0)</f>
        <v>4.2531297423135016E-2</v>
      </c>
      <c r="AB14" s="4">
        <f ca="1">Z14*S$29</f>
        <v>675000</v>
      </c>
      <c r="AC14" s="4">
        <f ca="1">Z14</f>
        <v>572155.11760966305</v>
      </c>
      <c r="AD14" s="35">
        <f ca="1">IFERROR(AC14/AC$18,0)</f>
        <v>4.2531297423135016E-2</v>
      </c>
    </row>
    <row r="15" spans="2:30">
      <c r="B15" s="13" t="s">
        <v>64</v>
      </c>
      <c r="C15" s="14">
        <f>D15*C$18</f>
        <v>0</v>
      </c>
      <c r="D15" s="29">
        <v>0</v>
      </c>
      <c r="F15" s="13">
        <v>250000</v>
      </c>
      <c r="G15" s="40">
        <v>0.2</v>
      </c>
      <c r="H15" s="13">
        <v>8000000</v>
      </c>
      <c r="I15" s="29">
        <v>0.08</v>
      </c>
      <c r="J15" s="37">
        <f>G$29</f>
        <v>0</v>
      </c>
      <c r="K15" s="4">
        <f>IFERROR(F15/J15,0)</f>
        <v>0</v>
      </c>
      <c r="L15" s="6">
        <f>K15+C15</f>
        <v>0</v>
      </c>
      <c r="M15" s="35">
        <f>IFERROR(L15/L$18,0)</f>
        <v>0</v>
      </c>
      <c r="N15" s="4">
        <f>L15*G$29</f>
        <v>0</v>
      </c>
      <c r="O15" s="4">
        <f t="shared" si="0"/>
        <v>312500</v>
      </c>
      <c r="P15" s="35">
        <f>IFERROR(O15/O$18,0)</f>
        <v>2.8901734104046242E-2</v>
      </c>
      <c r="R15" s="13">
        <v>0</v>
      </c>
      <c r="S15" s="6">
        <f>F15</f>
        <v>250000</v>
      </c>
      <c r="T15" s="4">
        <f ca="1">FV(I15/1,DATEDIF(G$30,S$30,"y"),0,-S15)-S15</f>
        <v>20000</v>
      </c>
      <c r="U15" s="6">
        <f ca="1">T15+S15</f>
        <v>270000</v>
      </c>
      <c r="V15" s="6">
        <f ca="1">IF(S$31="no",IFERROR(U15/(1-G15),0),IFERROR(U15/(1-(MAX(G15,(S$29-H15/L$18)/S$29))),0))</f>
        <v>337500</v>
      </c>
      <c r="W15" s="37">
        <f ca="1">S$29</f>
        <v>1.1797500000000001</v>
      </c>
      <c r="X15" s="37">
        <f ca="1">IF(U15=0,0,IF(H15&lt;&gt;0,MIN(W15*(1-G15),H15/L$18),W15*(1-G15)))</f>
        <v>0.8</v>
      </c>
      <c r="Y15" s="4">
        <f ca="1">IFERROR(R15/W15,0)+IFERROR(U15/X15,0)</f>
        <v>337500</v>
      </c>
      <c r="Z15" s="6">
        <f ca="1">Y15+L15</f>
        <v>337500</v>
      </c>
      <c r="AA15" s="35">
        <f ca="1">IFERROR(Z15/Z$18,0)</f>
        <v>2.5088149067471768E-2</v>
      </c>
      <c r="AB15" s="4">
        <f ca="1">Z15*S$29</f>
        <v>398165.625</v>
      </c>
      <c r="AC15" s="4">
        <f ca="1">Z15</f>
        <v>337500</v>
      </c>
      <c r="AD15" s="35">
        <f ca="1">IFERROR(AC15/AC$18,0)</f>
        <v>2.5088149067471768E-2</v>
      </c>
    </row>
    <row r="16" spans="2:30">
      <c r="B16" s="13" t="s">
        <v>91</v>
      </c>
      <c r="C16" s="14">
        <f>D16*C$18</f>
        <v>0</v>
      </c>
      <c r="D16" s="29">
        <v>0</v>
      </c>
      <c r="F16" s="13">
        <v>0</v>
      </c>
      <c r="G16" s="40">
        <v>0</v>
      </c>
      <c r="H16" s="13">
        <v>0</v>
      </c>
      <c r="I16" s="29">
        <v>0</v>
      </c>
      <c r="J16" s="37">
        <f>G$29</f>
        <v>0</v>
      </c>
      <c r="K16" s="4">
        <f>IFERROR(F16/J16,0)</f>
        <v>0</v>
      </c>
      <c r="L16" s="6">
        <f>K16+C16</f>
        <v>0</v>
      </c>
      <c r="M16" s="35">
        <f>IFERROR(L16/L$18,0)</f>
        <v>0</v>
      </c>
      <c r="N16" s="4">
        <f>L16*G$29</f>
        <v>0</v>
      </c>
      <c r="O16" s="4">
        <f t="shared" si="0"/>
        <v>0</v>
      </c>
      <c r="P16" s="35">
        <f>IFERROR(O16/O$18,0)</f>
        <v>0</v>
      </c>
      <c r="R16" s="13">
        <v>3000000</v>
      </c>
      <c r="S16" s="6">
        <f>F16</f>
        <v>0</v>
      </c>
      <c r="T16" s="4">
        <f ca="1">FV(I16/1,DATEDIF(G$30,S$30,"y"),0,-S16)-S16</f>
        <v>0</v>
      </c>
      <c r="U16" s="6">
        <f ca="1">T16+S16</f>
        <v>0</v>
      </c>
      <c r="V16" s="6">
        <f ca="1">IF(S$31="no",IFERROR(U16/(1-G16),0),IFERROR(U16/(1-(MAX(G16,(S$29-H16/L$18)/S$29))),0))</f>
        <v>0</v>
      </c>
      <c r="W16" s="37">
        <f ca="1">S$29</f>
        <v>1.1797500000000001</v>
      </c>
      <c r="X16" s="37">
        <f ca="1">IF(U16=0,0,IF(H16&lt;&gt;0,MIN(W16*(1-G16),H16/L$18),W16*(1-G16)))</f>
        <v>0</v>
      </c>
      <c r="Y16" s="4">
        <f ca="1">IFERROR(R16/W16,0)+IFERROR(U16/X16,0)</f>
        <v>2542911.6338207247</v>
      </c>
      <c r="Z16" s="6">
        <f ca="1">Y16+L16</f>
        <v>2542911.6338207247</v>
      </c>
      <c r="AA16" s="35">
        <f ca="1">IFERROR(Z16/Z$18,0)</f>
        <v>0.18902798854726674</v>
      </c>
      <c r="AB16" s="4">
        <f ca="1">Z16*S$29</f>
        <v>3000000</v>
      </c>
      <c r="AC16" s="4">
        <f ca="1">Z16</f>
        <v>2542911.6338207247</v>
      </c>
      <c r="AD16" s="35">
        <f ca="1">IFERROR(AC16/AC$18,0)</f>
        <v>0.18902798854726674</v>
      </c>
    </row>
    <row r="17" spans="2:30">
      <c r="D17" s="36"/>
    </row>
    <row r="18" spans="2:30">
      <c r="B18" s="38" t="s">
        <v>20</v>
      </c>
      <c r="C18" s="12">
        <v>10000000</v>
      </c>
      <c r="D18" s="39">
        <f>SUM(D8:D12,D14:D16)</f>
        <v>1</v>
      </c>
      <c r="F18" s="8">
        <f>SUM(F8:F12,F14:F16)</f>
        <v>750000</v>
      </c>
      <c r="G18" s="38"/>
      <c r="H18" s="38"/>
      <c r="I18" s="38"/>
      <c r="J18" s="38"/>
      <c r="K18" s="8">
        <f>SUM(K8:K12,K14:K15)</f>
        <v>0</v>
      </c>
      <c r="L18" s="8">
        <f>SUM(L8:L12,L14:L16)</f>
        <v>10000000</v>
      </c>
      <c r="M18" s="39">
        <f>SUM(M8:M12,M14:M16)</f>
        <v>1</v>
      </c>
      <c r="N18" s="8">
        <f>SUM(N8:N12,N14:N16)</f>
        <v>0</v>
      </c>
      <c r="O18" s="8">
        <f>SUM(O8:O12,O14:O16)</f>
        <v>10812500</v>
      </c>
      <c r="P18" s="39">
        <f>SUM(P8:P12,P14:P16)</f>
        <v>0.99999999999999989</v>
      </c>
      <c r="R18" s="8">
        <f>SUM(R8:R12,R14:R16)</f>
        <v>3000000</v>
      </c>
      <c r="S18" s="8">
        <f>SUM(S8:S12,S14:S16)</f>
        <v>750000</v>
      </c>
      <c r="T18" s="8">
        <f ca="1">SUM(T8:T12,T14:T16)</f>
        <v>60000</v>
      </c>
      <c r="U18" s="8">
        <f ca="1">SUM(U8:U12,U14:U16)</f>
        <v>810000</v>
      </c>
      <c r="V18" s="8">
        <f ca="1">SUM(V8:V12,V14:V16)</f>
        <v>1012500</v>
      </c>
      <c r="W18" s="45"/>
      <c r="X18" s="45"/>
      <c r="Y18" s="8">
        <f t="shared" ref="Y18:AD18" ca="1" si="1">SUM(Y8:Y12,Y14:Y16)</f>
        <v>3452566.7514303876</v>
      </c>
      <c r="Z18" s="8">
        <f t="shared" ca="1" si="1"/>
        <v>13452566.751430389</v>
      </c>
      <c r="AA18" s="39">
        <f t="shared" ca="1" si="1"/>
        <v>0.99999999999999989</v>
      </c>
      <c r="AB18" s="8">
        <f t="shared" ca="1" si="1"/>
        <v>15870665.625</v>
      </c>
      <c r="AC18" s="8">
        <f t="shared" ca="1" si="1"/>
        <v>13452566.751430389</v>
      </c>
      <c r="AD18" s="39">
        <f t="shared" ca="1" si="1"/>
        <v>0.99999999999999989</v>
      </c>
    </row>
    <row r="19" spans="2:30">
      <c r="X19" s="2">
        <f ca="1">(W15-X15)/W15</f>
        <v>0.32189023098114006</v>
      </c>
    </row>
    <row r="21" spans="2:30">
      <c r="F21" s="34" t="s">
        <v>65</v>
      </c>
      <c r="J21" s="5"/>
      <c r="R21" s="34" t="s">
        <v>89</v>
      </c>
    </row>
    <row r="22" spans="2:30">
      <c r="F22" s="2" t="s">
        <v>67</v>
      </c>
      <c r="G22" s="6">
        <f>F18</f>
        <v>750000</v>
      </c>
      <c r="R22" s="2" t="s">
        <v>67</v>
      </c>
      <c r="S22" s="6">
        <f>R18</f>
        <v>3000000</v>
      </c>
    </row>
    <row r="23" spans="2:30">
      <c r="F23" s="2" t="s">
        <v>100</v>
      </c>
      <c r="G23" s="6">
        <v>0</v>
      </c>
      <c r="R23" s="2" t="s">
        <v>100</v>
      </c>
      <c r="S23" s="6">
        <f ca="1">U18</f>
        <v>810000</v>
      </c>
    </row>
    <row r="24" spans="2:30">
      <c r="F24" s="2" t="s">
        <v>148</v>
      </c>
      <c r="G24" s="6">
        <v>0</v>
      </c>
      <c r="R24" s="2" t="s">
        <v>148</v>
      </c>
      <c r="S24" s="6">
        <f ca="1">V18</f>
        <v>1012500</v>
      </c>
      <c r="V24" s="53"/>
    </row>
    <row r="25" spans="2:30">
      <c r="F25" s="2" t="s">
        <v>113</v>
      </c>
      <c r="G25" s="6">
        <v>0</v>
      </c>
      <c r="R25" s="2" t="s">
        <v>113</v>
      </c>
      <c r="S25" s="6">
        <f ca="1">S26-(S24-S23)</f>
        <v>11797500</v>
      </c>
      <c r="T25" s="10" t="s">
        <v>160</v>
      </c>
    </row>
    <row r="26" spans="2:30">
      <c r="F26" s="2" t="s">
        <v>66</v>
      </c>
      <c r="G26" s="13">
        <v>0</v>
      </c>
      <c r="R26" s="2" t="s">
        <v>66</v>
      </c>
      <c r="S26" s="13">
        <v>12000000</v>
      </c>
      <c r="T26" s="10" t="s">
        <v>78</v>
      </c>
    </row>
    <row r="27" spans="2:30">
      <c r="F27" s="2" t="s">
        <v>103</v>
      </c>
      <c r="G27" s="6">
        <f>IF(G26=0,0,G26+G22)</f>
        <v>0</v>
      </c>
      <c r="R27" s="2" t="s">
        <v>103</v>
      </c>
      <c r="S27" s="6">
        <f ca="1">S26+S22+S23</f>
        <v>15810000</v>
      </c>
      <c r="T27" s="10" t="s">
        <v>78</v>
      </c>
    </row>
    <row r="28" spans="2:30">
      <c r="F28" s="2" t="s">
        <v>152</v>
      </c>
      <c r="G28" s="6">
        <f>G27</f>
        <v>0</v>
      </c>
      <c r="R28" s="2" t="s">
        <v>152</v>
      </c>
      <c r="S28" s="6">
        <f ca="1">S26+S22+S23</f>
        <v>15810000</v>
      </c>
      <c r="T28" s="10"/>
    </row>
    <row r="29" spans="2:30">
      <c r="F29" s="2" t="s">
        <v>62</v>
      </c>
      <c r="G29" s="54">
        <f>G26/C18</f>
        <v>0</v>
      </c>
      <c r="R29" s="2" t="s">
        <v>62</v>
      </c>
      <c r="S29" s="3">
        <f ca="1">S25/L18</f>
        <v>1.1797500000000001</v>
      </c>
    </row>
    <row r="30" spans="2:30">
      <c r="F30" s="2" t="s">
        <v>40</v>
      </c>
      <c r="G30" s="25">
        <f ca="1">EDATE(TODAY(),-18)</f>
        <v>42933</v>
      </c>
      <c r="R30" s="2" t="s">
        <v>40</v>
      </c>
      <c r="S30" s="25">
        <f ca="1">TODAY()</f>
        <v>43482</v>
      </c>
    </row>
    <row r="31" spans="2:30">
      <c r="R31" s="2" t="s">
        <v>210</v>
      </c>
      <c r="S31" s="55" t="s">
        <v>211</v>
      </c>
      <c r="T31" s="10" t="s">
        <v>80</v>
      </c>
    </row>
    <row r="32" spans="2:30">
      <c r="S32" s="10"/>
      <c r="T32" s="10"/>
    </row>
    <row r="33" spans="2:6">
      <c r="B33" s="33" t="s">
        <v>54</v>
      </c>
    </row>
    <row r="34" spans="2:6">
      <c r="B34" s="11" t="s">
        <v>157</v>
      </c>
      <c r="C34" s="11"/>
      <c r="D34" s="11"/>
      <c r="E34" s="11"/>
      <c r="F34" s="11"/>
    </row>
    <row r="35" spans="2:6">
      <c r="B35" s="2" t="s">
        <v>158</v>
      </c>
    </row>
    <row r="36" spans="2:6">
      <c r="B36" s="2" t="s">
        <v>159</v>
      </c>
    </row>
    <row r="37" spans="2:6">
      <c r="B37" s="2" t="s">
        <v>256</v>
      </c>
    </row>
    <row r="38" spans="2:6">
      <c r="B38" s="2" t="s">
        <v>657</v>
      </c>
    </row>
    <row r="39" spans="2:6">
      <c r="B39" s="2" t="s">
        <v>658</v>
      </c>
    </row>
  </sheetData>
  <dataValidations count="1">
    <dataValidation type="list" allowBlank="1" showInputMessage="1" showErrorMessage="1" sqref="S31">
      <formula1>"no,yes"</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AE57"/>
  <sheetViews>
    <sheetView showGridLines="0" workbookViewId="0">
      <pane xSplit="2" topLeftCell="C1" activePane="topRight" state="frozen"/>
      <selection activeCell="I52" sqref="I52"/>
      <selection pane="topRight" activeCell="B4" sqref="B4"/>
    </sheetView>
  </sheetViews>
  <sheetFormatPr baseColWidth="10" defaultRowHeight="17" x14ac:dyDescent="0"/>
  <cols>
    <col min="1" max="1" width="5.33203125" style="2" customWidth="1"/>
    <col min="2" max="2" width="21.5" style="2" customWidth="1"/>
    <col min="3" max="3" width="18.6640625" style="2" customWidth="1"/>
    <col min="4" max="4" width="14.6640625" style="2" customWidth="1"/>
    <col min="5" max="5" width="9.83203125" style="2" customWidth="1"/>
    <col min="6" max="8" width="18.1640625" style="2" customWidth="1"/>
    <col min="9" max="10" width="18.33203125" style="2" customWidth="1"/>
    <col min="11" max="16" width="18.6640625" style="2" customWidth="1"/>
    <col min="17" max="17" width="10.83203125" style="2"/>
    <col min="18" max="25" width="18" style="2" customWidth="1"/>
    <col min="26" max="30" width="17.33203125" style="2" customWidth="1"/>
    <col min="31" max="16384" width="10.83203125" style="2"/>
  </cols>
  <sheetData>
    <row r="2" spans="2:31">
      <c r="B2" s="19" t="s">
        <v>664</v>
      </c>
    </row>
    <row r="3" spans="2:31">
      <c r="B3" s="34" t="s">
        <v>58</v>
      </c>
    </row>
    <row r="4" spans="2:31">
      <c r="B4" s="19"/>
    </row>
    <row r="6" spans="2:31" ht="51">
      <c r="B6" s="28" t="s">
        <v>55</v>
      </c>
      <c r="C6" s="27" t="s">
        <v>414</v>
      </c>
      <c r="D6" s="27" t="s">
        <v>39</v>
      </c>
      <c r="F6" s="27" t="s">
        <v>61</v>
      </c>
      <c r="G6" s="42" t="s">
        <v>15</v>
      </c>
      <c r="H6" s="42" t="s">
        <v>96</v>
      </c>
      <c r="I6" s="27" t="s">
        <v>128</v>
      </c>
      <c r="J6" s="27" t="s">
        <v>62</v>
      </c>
      <c r="K6" s="27" t="s">
        <v>117</v>
      </c>
      <c r="L6" s="27" t="s">
        <v>414</v>
      </c>
      <c r="M6" s="27" t="s">
        <v>666</v>
      </c>
      <c r="N6" s="27" t="s">
        <v>63</v>
      </c>
      <c r="O6" s="27" t="s">
        <v>661</v>
      </c>
      <c r="P6" s="27" t="s">
        <v>665</v>
      </c>
      <c r="R6" s="27" t="s">
        <v>61</v>
      </c>
      <c r="S6" s="42" t="s">
        <v>100</v>
      </c>
      <c r="T6" s="42" t="s">
        <v>101</v>
      </c>
      <c r="U6" s="42" t="s">
        <v>102</v>
      </c>
      <c r="V6" s="42" t="s">
        <v>148</v>
      </c>
      <c r="W6" s="27" t="s">
        <v>143</v>
      </c>
      <c r="X6" s="27" t="s">
        <v>144</v>
      </c>
      <c r="Y6" s="27" t="s">
        <v>117</v>
      </c>
      <c r="Z6" s="27" t="s">
        <v>414</v>
      </c>
      <c r="AA6" s="27" t="s">
        <v>666</v>
      </c>
      <c r="AB6" s="27" t="s">
        <v>63</v>
      </c>
      <c r="AC6" s="27" t="s">
        <v>662</v>
      </c>
      <c r="AD6" s="27" t="s">
        <v>665</v>
      </c>
    </row>
    <row r="8" spans="2:31">
      <c r="B8" s="137" t="s">
        <v>57</v>
      </c>
      <c r="C8" s="14">
        <f>D8*C$21</f>
        <v>6000000</v>
      </c>
      <c r="D8" s="277">
        <v>0.6</v>
      </c>
      <c r="F8" s="137">
        <v>0</v>
      </c>
      <c r="G8" s="276">
        <v>0</v>
      </c>
      <c r="H8" s="137">
        <v>0</v>
      </c>
      <c r="I8" s="277">
        <v>0</v>
      </c>
      <c r="J8" s="37">
        <f>G$32</f>
        <v>0</v>
      </c>
      <c r="K8" s="10">
        <f>IFERROR(F8/J8,0)</f>
        <v>0</v>
      </c>
      <c r="L8" s="6">
        <f>K8+C8</f>
        <v>6000000</v>
      </c>
      <c r="M8" s="35">
        <f>IFERROR(L8/L$21,0)</f>
        <v>0.6</v>
      </c>
      <c r="N8" s="4">
        <f>L8*G$32</f>
        <v>0</v>
      </c>
      <c r="O8" s="4">
        <f>IFERROR(F8/(H8/C$20),0)+L8</f>
        <v>6000000</v>
      </c>
      <c r="P8" s="35">
        <f>IFERROR(O8/O$21,0)</f>
        <v>0.6</v>
      </c>
      <c r="R8" s="137">
        <v>0</v>
      </c>
      <c r="S8" s="137">
        <f>IF(SUM(G8:I8)&lt;&gt;0,F8,0)</f>
        <v>0</v>
      </c>
      <c r="T8" s="4">
        <f ca="1">FV(I8/1,DATEDIF(G$39,S$39,"y"),0,-S8)-S8</f>
        <v>0</v>
      </c>
      <c r="U8" s="4">
        <f ca="1">T8+S8</f>
        <v>0</v>
      </c>
      <c r="V8" s="6">
        <f ca="1">IF(AND(S$42="no",S$40&lt;&gt;"premoney"),IFERROR(U8/(1-G8),0),IFERROR(U8/(1-(MAX(G8,(S$32-H8/L$21)/S$32))),0))</f>
        <v>0</v>
      </c>
      <c r="W8" s="37">
        <f>S$32</f>
        <v>1.2</v>
      </c>
      <c r="X8" s="37">
        <f ca="1">IF(U8=0,0,IF(H8&lt;&gt;0,MIN(W8*(1-G8),H8/L$21),W8*(1-G8)))</f>
        <v>0</v>
      </c>
      <c r="Y8" s="4">
        <f ca="1">IFERROR(R8/W8,0)+IFERROR(U8/X8,0)</f>
        <v>0</v>
      </c>
      <c r="Z8" s="6">
        <f ca="1">Y8+L8</f>
        <v>6000000</v>
      </c>
      <c r="AA8" s="35">
        <f ca="1">IFERROR(Z8/Z$21,0)</f>
        <v>0.34807606010570047</v>
      </c>
      <c r="AB8" s="4">
        <f ca="1">Z8*S$32</f>
        <v>7200000</v>
      </c>
      <c r="AC8" s="4">
        <f ca="1">IFERROR(T8/(V8/Q$20),0)+Z8</f>
        <v>6000000</v>
      </c>
      <c r="AD8" s="35">
        <f ca="1">IFERROR(AC8/AC$21,0)</f>
        <v>0.34807606010570047</v>
      </c>
    </row>
    <row r="9" spans="2:31">
      <c r="B9" s="137" t="s">
        <v>57</v>
      </c>
      <c r="C9" s="14">
        <f>D9*C$21</f>
        <v>3000000</v>
      </c>
      <c r="D9" s="277">
        <v>0.3</v>
      </c>
      <c r="F9" s="137">
        <v>0</v>
      </c>
      <c r="G9" s="276">
        <v>0</v>
      </c>
      <c r="H9" s="137">
        <v>0</v>
      </c>
      <c r="I9" s="277">
        <v>0</v>
      </c>
      <c r="J9" s="37">
        <f>G$32</f>
        <v>0</v>
      </c>
      <c r="K9" s="10">
        <f>IFERROR(F9/J9,0)</f>
        <v>0</v>
      </c>
      <c r="L9" s="6">
        <f>K9+C9</f>
        <v>3000000</v>
      </c>
      <c r="M9" s="35">
        <f>IFERROR(L9/L$21,0)</f>
        <v>0.3</v>
      </c>
      <c r="N9" s="4">
        <f>L9*G$32</f>
        <v>0</v>
      </c>
      <c r="O9" s="4">
        <f t="shared" ref="O9:O12" si="0">IFERROR(F9/(H9/C$20),0)+L9</f>
        <v>3000000</v>
      </c>
      <c r="P9" s="35">
        <f t="shared" ref="P9:P19" si="1">IFERROR(O9/O$21,0)</f>
        <v>0.3</v>
      </c>
      <c r="R9" s="137">
        <v>0</v>
      </c>
      <c r="S9" s="137">
        <f>IF(SUM(G9:I9)&lt;&gt;0,F9,0)</f>
        <v>0</v>
      </c>
      <c r="T9" s="4">
        <f t="shared" ref="T9:T19" ca="1" si="2">FV(I9/1,DATEDIF(G$39,S$39,"y"),0,-S9)-S9</f>
        <v>0</v>
      </c>
      <c r="U9" s="4">
        <f t="shared" ref="U9:U19" ca="1" si="3">T9+S9</f>
        <v>0</v>
      </c>
      <c r="V9" s="6">
        <f ca="1">IF(AND(S$42="no",S$40&lt;&gt;"premoney"),IFERROR(U9/(1-G9),0),IFERROR(U9/(1-(MAX(G9,(S$32-H9/L$21)/S$32))),0))</f>
        <v>0</v>
      </c>
      <c r="W9" s="37">
        <f>S$32</f>
        <v>1.2</v>
      </c>
      <c r="X9" s="37">
        <f t="shared" ref="X9:X19" ca="1" si="4">IF(U9=0,0,IF(H9&lt;&gt;0,MIN(W9*(1-G9),H9/L$21),W9*(1-G9)))</f>
        <v>0</v>
      </c>
      <c r="Y9" s="4">
        <f t="shared" ref="Y9:Y16" ca="1" si="5">IFERROR(R9/W9,0)+IFERROR(U9/X9,0)</f>
        <v>0</v>
      </c>
      <c r="Z9" s="6">
        <f ca="1">Y9+L9</f>
        <v>3000000</v>
      </c>
      <c r="AA9" s="35">
        <f ca="1">IFERROR(Z9/Z$21,0)</f>
        <v>0.17403803005285023</v>
      </c>
      <c r="AB9" s="4">
        <f ca="1">Z9*S$32</f>
        <v>3600000</v>
      </c>
      <c r="AC9" s="4">
        <f t="shared" ref="AC9:AC19" ca="1" si="6">IFERROR(T9/(V9/Q$20),0)+Z9</f>
        <v>3000000</v>
      </c>
      <c r="AD9" s="35">
        <f t="shared" ref="AD9:AD19" ca="1" si="7">IFERROR(AC9/AC$21,0)</f>
        <v>0.17403803005285023</v>
      </c>
    </row>
    <row r="10" spans="2:31">
      <c r="B10" s="137" t="s">
        <v>59</v>
      </c>
      <c r="C10" s="14">
        <f>D10*C$21</f>
        <v>700000.00000000012</v>
      </c>
      <c r="D10" s="277">
        <v>7.0000000000000007E-2</v>
      </c>
      <c r="F10" s="137">
        <v>0</v>
      </c>
      <c r="G10" s="276">
        <v>0</v>
      </c>
      <c r="H10" s="137">
        <v>0</v>
      </c>
      <c r="I10" s="277">
        <v>0</v>
      </c>
      <c r="J10" s="37">
        <f>G$32</f>
        <v>0</v>
      </c>
      <c r="K10" s="10">
        <f>IFERROR(F10/J10,0)</f>
        <v>0</v>
      </c>
      <c r="L10" s="6">
        <f t="shared" ref="L10:L16" si="8">K10+C10</f>
        <v>700000.00000000012</v>
      </c>
      <c r="M10" s="35">
        <f>IFERROR(L10/L$21,0)</f>
        <v>7.0000000000000007E-2</v>
      </c>
      <c r="N10" s="4">
        <f>L10*G$32</f>
        <v>0</v>
      </c>
      <c r="O10" s="4">
        <f t="shared" si="0"/>
        <v>700000.00000000012</v>
      </c>
      <c r="P10" s="35">
        <f t="shared" si="1"/>
        <v>7.0000000000000007E-2</v>
      </c>
      <c r="R10" s="137">
        <v>0</v>
      </c>
      <c r="S10" s="137">
        <f>IF(SUM(G10:I10)&lt;&gt;0,F10,0)</f>
        <v>0</v>
      </c>
      <c r="T10" s="4">
        <f t="shared" ca="1" si="2"/>
        <v>0</v>
      </c>
      <c r="U10" s="4">
        <f t="shared" ca="1" si="3"/>
        <v>0</v>
      </c>
      <c r="V10" s="6">
        <f ca="1">IF(AND(S$42="no",S$40&lt;&gt;"premoney"),IFERROR(U10/(1-G10),0),IFERROR(U10/(1-(MAX(G10,(S$32-H10/L$21)/S$32))),0))</f>
        <v>0</v>
      </c>
      <c r="W10" s="37">
        <f>S$32</f>
        <v>1.2</v>
      </c>
      <c r="X10" s="37">
        <f t="shared" ca="1" si="4"/>
        <v>0</v>
      </c>
      <c r="Y10" s="4">
        <f t="shared" ca="1" si="5"/>
        <v>0</v>
      </c>
      <c r="Z10" s="6">
        <f ca="1">Y10+L10</f>
        <v>700000.00000000012</v>
      </c>
      <c r="AA10" s="35">
        <f ca="1">IFERROR(Z10/Z$21,0)</f>
        <v>4.0608873678998396E-2</v>
      </c>
      <c r="AB10" s="4">
        <f ca="1">Z10*S$32</f>
        <v>840000.00000000012</v>
      </c>
      <c r="AC10" s="4">
        <f t="shared" ca="1" si="6"/>
        <v>700000.00000000012</v>
      </c>
      <c r="AD10" s="35">
        <f t="shared" ca="1" si="7"/>
        <v>4.0608873678998396E-2</v>
      </c>
    </row>
    <row r="11" spans="2:31">
      <c r="B11" s="137" t="s">
        <v>59</v>
      </c>
      <c r="C11" s="14">
        <f>D11*C$21</f>
        <v>300000</v>
      </c>
      <c r="D11" s="277">
        <v>0.03</v>
      </c>
      <c r="F11" s="137">
        <v>0</v>
      </c>
      <c r="G11" s="276">
        <v>0</v>
      </c>
      <c r="H11" s="137">
        <v>0</v>
      </c>
      <c r="I11" s="277">
        <v>0</v>
      </c>
      <c r="J11" s="37">
        <f>G$32</f>
        <v>0</v>
      </c>
      <c r="K11" s="10">
        <f>IFERROR(F11/J11,0)</f>
        <v>0</v>
      </c>
      <c r="L11" s="6">
        <f t="shared" si="8"/>
        <v>300000</v>
      </c>
      <c r="M11" s="35">
        <f>IFERROR(L11/L$21,0)</f>
        <v>0.03</v>
      </c>
      <c r="N11" s="4">
        <f>L11*G$32</f>
        <v>0</v>
      </c>
      <c r="O11" s="4">
        <f t="shared" si="0"/>
        <v>300000</v>
      </c>
      <c r="P11" s="35">
        <f t="shared" si="1"/>
        <v>0.03</v>
      </c>
      <c r="R11" s="137">
        <v>0</v>
      </c>
      <c r="S11" s="137">
        <f>IF(SUM(G11:I11)&lt;&gt;0,F11,0)</f>
        <v>0</v>
      </c>
      <c r="T11" s="4">
        <f t="shared" ca="1" si="2"/>
        <v>0</v>
      </c>
      <c r="U11" s="4">
        <f t="shared" ca="1" si="3"/>
        <v>0</v>
      </c>
      <c r="V11" s="6">
        <f ca="1">IF(AND(S$42="no",S$40&lt;&gt;"premoney"),IFERROR(U11/(1-G11),0),IFERROR(U11/(1-(MAX(G11,(S$32-H11/L$21)/S$32))),0))</f>
        <v>0</v>
      </c>
      <c r="W11" s="37">
        <f>S$32</f>
        <v>1.2</v>
      </c>
      <c r="X11" s="37">
        <f t="shared" ca="1" si="4"/>
        <v>0</v>
      </c>
      <c r="Y11" s="4">
        <f t="shared" ca="1" si="5"/>
        <v>0</v>
      </c>
      <c r="Z11" s="6">
        <f ca="1">Y11+L11</f>
        <v>300000</v>
      </c>
      <c r="AA11" s="35">
        <f ca="1">IFERROR(Z11/Z$21,0)</f>
        <v>1.7403803005285025E-2</v>
      </c>
      <c r="AB11" s="4">
        <f ca="1">Z11*S$32</f>
        <v>360000</v>
      </c>
      <c r="AC11" s="4">
        <f t="shared" ca="1" si="6"/>
        <v>300000</v>
      </c>
      <c r="AD11" s="35">
        <f t="shared" ca="1" si="7"/>
        <v>1.7403803005285025E-2</v>
      </c>
    </row>
    <row r="12" spans="2:31">
      <c r="B12" s="137" t="s">
        <v>64</v>
      </c>
      <c r="C12" s="14">
        <f>D12*C$21</f>
        <v>0</v>
      </c>
      <c r="D12" s="277">
        <v>0</v>
      </c>
      <c r="F12" s="137">
        <v>0</v>
      </c>
      <c r="G12" s="276">
        <v>0</v>
      </c>
      <c r="H12" s="137">
        <v>0</v>
      </c>
      <c r="I12" s="277">
        <v>0</v>
      </c>
      <c r="J12" s="37">
        <f>G$32</f>
        <v>0</v>
      </c>
      <c r="K12" s="10">
        <f>IFERROR(F12/J12,0)</f>
        <v>0</v>
      </c>
      <c r="L12" s="6">
        <f t="shared" si="8"/>
        <v>0</v>
      </c>
      <c r="M12" s="35">
        <f>IFERROR(L12/L$21,0)</f>
        <v>0</v>
      </c>
      <c r="N12" s="4">
        <f>L12*G$32</f>
        <v>0</v>
      </c>
      <c r="O12" s="4">
        <f t="shared" si="0"/>
        <v>0</v>
      </c>
      <c r="P12" s="35">
        <f t="shared" si="1"/>
        <v>0</v>
      </c>
      <c r="R12" s="137">
        <v>100000</v>
      </c>
      <c r="S12" s="137">
        <f>IF(SUM(G12:I12)&lt;&gt;0,F12,0)</f>
        <v>0</v>
      </c>
      <c r="T12" s="4">
        <f t="shared" ca="1" si="2"/>
        <v>0</v>
      </c>
      <c r="U12" s="4">
        <f t="shared" ca="1" si="3"/>
        <v>0</v>
      </c>
      <c r="V12" s="6">
        <f ca="1">IF(AND(S$42="no",S$40&lt;&gt;"premoney"),IFERROR(U12/(1-G12),0),IFERROR(U12/(1-(MAX(G12,(S$32-H12/L$21)/S$32))),0))</f>
        <v>0</v>
      </c>
      <c r="W12" s="37">
        <f>S$32</f>
        <v>1.2</v>
      </c>
      <c r="X12" s="37">
        <f t="shared" ca="1" si="4"/>
        <v>0</v>
      </c>
      <c r="Y12" s="4">
        <f t="shared" ca="1" si="5"/>
        <v>83333.333333333343</v>
      </c>
      <c r="Z12" s="6">
        <f ca="1">Y12+L12</f>
        <v>83333.333333333343</v>
      </c>
      <c r="AA12" s="35">
        <f ca="1">IFERROR(Z12/Z$21,0)</f>
        <v>4.8343897236902845E-3</v>
      </c>
      <c r="AB12" s="4">
        <f ca="1">Z12*S$32</f>
        <v>100000.00000000001</v>
      </c>
      <c r="AC12" s="4">
        <f t="shared" ca="1" si="6"/>
        <v>83333.333333333343</v>
      </c>
      <c r="AD12" s="35">
        <f t="shared" ca="1" si="7"/>
        <v>4.8343897236902845E-3</v>
      </c>
      <c r="AE12" s="10" t="s">
        <v>79</v>
      </c>
    </row>
    <row r="13" spans="2:31" s="282" customFormat="1">
      <c r="B13" s="288"/>
      <c r="C13" s="280"/>
      <c r="F13" s="283"/>
      <c r="G13" s="283"/>
      <c r="H13" s="283"/>
      <c r="I13" s="283"/>
      <c r="J13" s="283"/>
      <c r="K13" s="284"/>
      <c r="L13" s="285"/>
      <c r="M13" s="286"/>
      <c r="N13" s="287"/>
      <c r="O13" s="287"/>
      <c r="R13" s="283"/>
      <c r="S13" s="283"/>
      <c r="T13" s="283"/>
      <c r="U13" s="283"/>
      <c r="V13" s="283"/>
      <c r="W13" s="283"/>
      <c r="X13" s="283"/>
      <c r="Y13" s="287"/>
      <c r="Z13" s="285"/>
      <c r="AA13" s="286"/>
      <c r="AB13" s="287"/>
      <c r="AC13" s="287"/>
      <c r="AD13" s="284"/>
      <c r="AE13" s="284"/>
    </row>
    <row r="14" spans="2:31">
      <c r="B14" s="137" t="s">
        <v>60</v>
      </c>
      <c r="C14" s="14">
        <f>D14*C$21</f>
        <v>0</v>
      </c>
      <c r="D14" s="277">
        <v>0</v>
      </c>
      <c r="F14" s="137">
        <v>500000</v>
      </c>
      <c r="G14" s="276">
        <v>0.2</v>
      </c>
      <c r="H14" s="137">
        <v>10000000</v>
      </c>
      <c r="I14" s="277">
        <v>0.08</v>
      </c>
      <c r="J14" s="37">
        <f>G$32</f>
        <v>0</v>
      </c>
      <c r="K14" s="4">
        <f>IFERROR(F14/J14,0)</f>
        <v>0</v>
      </c>
      <c r="L14" s="6">
        <f t="shared" si="8"/>
        <v>0</v>
      </c>
      <c r="M14" s="35">
        <f>IFERROR(L14/L$21,0)</f>
        <v>0</v>
      </c>
      <c r="N14" s="4">
        <f>L14*G$32</f>
        <v>0</v>
      </c>
      <c r="O14" s="4">
        <f t="shared" ref="O14:O19" si="9">IFERROR(F14/(H14/C$20),0)+L14</f>
        <v>0</v>
      </c>
      <c r="P14" s="35">
        <f t="shared" si="1"/>
        <v>0</v>
      </c>
      <c r="R14" s="137">
        <v>584107.32530946471</v>
      </c>
      <c r="S14" s="137">
        <f>IF(SUM(G14:I14)&lt;&gt;0,F14,0)</f>
        <v>500000</v>
      </c>
      <c r="T14" s="4">
        <f t="shared" ca="1" si="2"/>
        <v>40000</v>
      </c>
      <c r="U14" s="4">
        <f t="shared" ca="1" si="3"/>
        <v>540000</v>
      </c>
      <c r="V14" s="6">
        <f ca="1">IF(AND(S$42="no",S$40&lt;&gt;"premoney"),IFERROR(U14/(1-G14),0),IFERROR(U14/(1-(MAX(G14,(S$32-H14/L$21)/S$32))),0))</f>
        <v>675000</v>
      </c>
      <c r="W14" s="37">
        <f>S$32</f>
        <v>1.2</v>
      </c>
      <c r="X14" s="37">
        <f t="shared" ca="1" si="4"/>
        <v>0.96</v>
      </c>
      <c r="Y14" s="4">
        <f t="shared" ca="1" si="5"/>
        <v>1049256.1044245539</v>
      </c>
      <c r="Z14" s="6">
        <f ca="1">Y14+L14</f>
        <v>1049256.1044245539</v>
      </c>
      <c r="AA14" s="35">
        <f ca="1">IFERROR(Z14/Z$21,0)</f>
        <v>6.0870155144992361E-2</v>
      </c>
      <c r="AB14" s="4">
        <f ca="1">Z14*S$32</f>
        <v>1259107.3253094647</v>
      </c>
      <c r="AC14" s="4">
        <f t="shared" ca="1" si="6"/>
        <v>1049256.1044245539</v>
      </c>
      <c r="AD14" s="35">
        <f t="shared" ca="1" si="7"/>
        <v>6.0870155144992361E-2</v>
      </c>
      <c r="AE14" s="10" t="s">
        <v>83</v>
      </c>
    </row>
    <row r="15" spans="2:31">
      <c r="B15" s="137" t="s">
        <v>64</v>
      </c>
      <c r="C15" s="14">
        <f>D15*C$21</f>
        <v>0</v>
      </c>
      <c r="D15" s="277">
        <v>0</v>
      </c>
      <c r="F15" s="137">
        <v>250000</v>
      </c>
      <c r="G15" s="276">
        <v>0.2</v>
      </c>
      <c r="H15" s="137">
        <v>8000000</v>
      </c>
      <c r="I15" s="277">
        <v>0.08</v>
      </c>
      <c r="J15" s="37">
        <f>G$32</f>
        <v>0</v>
      </c>
      <c r="K15" s="4">
        <f>IFERROR(F15/J15,0)</f>
        <v>0</v>
      </c>
      <c r="L15" s="6">
        <f t="shared" si="8"/>
        <v>0</v>
      </c>
      <c r="M15" s="35">
        <f>IFERROR(L15/L$21,0)</f>
        <v>0</v>
      </c>
      <c r="N15" s="4">
        <f>L15*G$32</f>
        <v>0</v>
      </c>
      <c r="O15" s="4">
        <f t="shared" si="9"/>
        <v>0</v>
      </c>
      <c r="P15" s="35">
        <f t="shared" si="1"/>
        <v>0</v>
      </c>
      <c r="R15" s="137">
        <v>0</v>
      </c>
      <c r="S15" s="137">
        <f>IF(SUM(G15:I15)&lt;&gt;0,F15,0)</f>
        <v>250000</v>
      </c>
      <c r="T15" s="4">
        <f t="shared" ca="1" si="2"/>
        <v>20000</v>
      </c>
      <c r="U15" s="4">
        <f t="shared" ca="1" si="3"/>
        <v>270000</v>
      </c>
      <c r="V15" s="6">
        <f ca="1">IF(AND(S$42="no",S$40&lt;&gt;"premoney"),IFERROR(U15/(1-G15),0),IFERROR(U15/(1-(MAX(G15,(S$32-H15/L$21)/S$32))),0))</f>
        <v>404999.99999999994</v>
      </c>
      <c r="W15" s="37">
        <f>S$32</f>
        <v>1.2</v>
      </c>
      <c r="X15" s="37">
        <f t="shared" ca="1" si="4"/>
        <v>0.8</v>
      </c>
      <c r="Y15" s="4">
        <f t="shared" ca="1" si="5"/>
        <v>337500</v>
      </c>
      <c r="Z15" s="6">
        <f ca="1">Y15+L15</f>
        <v>337500</v>
      </c>
      <c r="AA15" s="35">
        <f ca="1">IFERROR(Z15/Z$21,0)</f>
        <v>1.9579278380945652E-2</v>
      </c>
      <c r="AB15" s="4">
        <f ca="1">Z15*S$32</f>
        <v>405000</v>
      </c>
      <c r="AC15" s="4">
        <f t="shared" ca="1" si="6"/>
        <v>337500</v>
      </c>
      <c r="AD15" s="35">
        <f t="shared" ca="1" si="7"/>
        <v>1.9579278380945652E-2</v>
      </c>
    </row>
    <row r="16" spans="2:31">
      <c r="B16" s="137" t="s">
        <v>91</v>
      </c>
      <c r="C16" s="14">
        <f>D16*C$21</f>
        <v>0</v>
      </c>
      <c r="D16" s="277">
        <v>0</v>
      </c>
      <c r="F16" s="137">
        <v>0</v>
      </c>
      <c r="G16" s="276">
        <v>0</v>
      </c>
      <c r="H16" s="137">
        <v>0</v>
      </c>
      <c r="I16" s="277">
        <v>0</v>
      </c>
      <c r="J16" s="37">
        <f>G$32</f>
        <v>0</v>
      </c>
      <c r="K16" s="4">
        <f>IFERROR(F16/J16,0)</f>
        <v>0</v>
      </c>
      <c r="L16" s="6">
        <f t="shared" si="8"/>
        <v>0</v>
      </c>
      <c r="M16" s="35">
        <f>IFERROR(L16/L$21,0)</f>
        <v>0</v>
      </c>
      <c r="N16" s="4">
        <f>L16*G$32</f>
        <v>0</v>
      </c>
      <c r="O16" s="4">
        <f t="shared" si="9"/>
        <v>0</v>
      </c>
      <c r="P16" s="35">
        <f t="shared" si="1"/>
        <v>0</v>
      </c>
      <c r="R16" s="137">
        <v>3000000</v>
      </c>
      <c r="S16" s="137">
        <f>IF(SUM(G16:I16)&lt;&gt;0,F16,0)</f>
        <v>0</v>
      </c>
      <c r="T16" s="4">
        <f t="shared" ca="1" si="2"/>
        <v>0</v>
      </c>
      <c r="U16" s="4">
        <f t="shared" ca="1" si="3"/>
        <v>0</v>
      </c>
      <c r="V16" s="6">
        <f ca="1">IF(AND(S$42="no",S$40&lt;&gt;"premoney"),IFERROR(U16/(1-G16),0),IFERROR(U16/(1-(MAX(G16,(S$32-H16/L$21)/S$32))),0))</f>
        <v>0</v>
      </c>
      <c r="W16" s="37">
        <f>S$32</f>
        <v>1.2</v>
      </c>
      <c r="X16" s="37">
        <f t="shared" ca="1" si="4"/>
        <v>0</v>
      </c>
      <c r="Y16" s="4">
        <f t="shared" ca="1" si="5"/>
        <v>2500000</v>
      </c>
      <c r="Z16" s="6">
        <f ca="1">Y16+L16</f>
        <v>2500000</v>
      </c>
      <c r="AA16" s="35">
        <f ca="1">IFERROR(Z16/Z$21,0)</f>
        <v>0.14503169171070854</v>
      </c>
      <c r="AB16" s="4">
        <f ca="1">Z16*S$32</f>
        <v>3000000</v>
      </c>
      <c r="AC16" s="4">
        <f t="shared" ca="1" si="6"/>
        <v>2500000</v>
      </c>
      <c r="AD16" s="35">
        <f t="shared" ca="1" si="7"/>
        <v>0.14503169171070854</v>
      </c>
    </row>
    <row r="17" spans="2:30" s="282" customFormat="1">
      <c r="B17" s="281"/>
      <c r="C17" s="280"/>
      <c r="F17" s="283"/>
      <c r="G17" s="283"/>
      <c r="H17" s="283"/>
      <c r="I17" s="283"/>
      <c r="J17" s="283"/>
      <c r="K17" s="287"/>
      <c r="L17" s="285"/>
      <c r="M17" s="286"/>
      <c r="N17" s="287"/>
      <c r="O17" s="287"/>
      <c r="R17" s="283"/>
      <c r="S17" s="283"/>
      <c r="T17" s="283"/>
      <c r="U17" s="283"/>
      <c r="V17" s="283"/>
      <c r="W17" s="283"/>
      <c r="X17" s="283"/>
      <c r="Y17" s="287"/>
      <c r="Z17" s="285"/>
      <c r="AA17" s="286"/>
      <c r="AB17" s="287"/>
      <c r="AC17" s="287"/>
      <c r="AD17" s="284"/>
    </row>
    <row r="18" spans="2:30">
      <c r="B18" s="10" t="s">
        <v>190</v>
      </c>
      <c r="C18" s="14">
        <f>D18*C$21</f>
        <v>0</v>
      </c>
      <c r="D18" s="277">
        <v>0</v>
      </c>
      <c r="F18" s="137">
        <v>0</v>
      </c>
      <c r="G18" s="276">
        <v>0</v>
      </c>
      <c r="H18" s="137">
        <v>0</v>
      </c>
      <c r="I18" s="277">
        <v>0</v>
      </c>
      <c r="J18" s="37">
        <f>G$32</f>
        <v>0</v>
      </c>
      <c r="K18" s="4">
        <f>G38*C19</f>
        <v>0</v>
      </c>
      <c r="L18" s="6">
        <f t="shared" ref="L18" si="10">K18+C18</f>
        <v>0</v>
      </c>
      <c r="M18" s="35">
        <f>IFERROR(L18/L$21,0)</f>
        <v>0</v>
      </c>
      <c r="N18" s="4">
        <f>L18*G$32</f>
        <v>0</v>
      </c>
      <c r="O18" s="4">
        <f t="shared" si="9"/>
        <v>0</v>
      </c>
      <c r="P18" s="35">
        <f t="shared" si="1"/>
        <v>0</v>
      </c>
      <c r="R18" s="137">
        <v>0</v>
      </c>
      <c r="S18" s="137">
        <f>IF(SUM(G18:I18)&lt;&gt;0,F18,0)</f>
        <v>0</v>
      </c>
      <c r="T18" s="4">
        <f t="shared" ca="1" si="2"/>
        <v>0</v>
      </c>
      <c r="U18" s="4">
        <f t="shared" ca="1" si="3"/>
        <v>0</v>
      </c>
      <c r="V18" s="6">
        <f ca="1">IF(AND(S$42="no",S$40&lt;&gt;"premoney"),IFERROR(U18/(1-G18),0),IFERROR(U18/(1-(MAX(G18,(S$32-H18/L$21)/S$32))),0))</f>
        <v>0</v>
      </c>
      <c r="W18" s="37">
        <f>S$32</f>
        <v>1.2</v>
      </c>
      <c r="X18" s="37">
        <f t="shared" ca="1" si="4"/>
        <v>0</v>
      </c>
      <c r="Y18" s="4">
        <f>L19*S38</f>
        <v>0</v>
      </c>
      <c r="Z18" s="6">
        <f>Y18+L18</f>
        <v>0</v>
      </c>
      <c r="AA18" s="35">
        <f ca="1">IFERROR(Z18/Z$21,0)</f>
        <v>0</v>
      </c>
      <c r="AB18" s="4">
        <f>Z18*S$32</f>
        <v>0</v>
      </c>
      <c r="AC18" s="4">
        <f t="shared" ca="1" si="6"/>
        <v>0</v>
      </c>
      <c r="AD18" s="35">
        <f t="shared" ca="1" si="7"/>
        <v>0</v>
      </c>
    </row>
    <row r="19" spans="2:30">
      <c r="B19" s="137" t="s">
        <v>29</v>
      </c>
      <c r="C19" s="14">
        <f>D19*C$21</f>
        <v>0</v>
      </c>
      <c r="D19" s="277">
        <v>0</v>
      </c>
      <c r="F19" s="137">
        <v>0</v>
      </c>
      <c r="G19" s="276">
        <v>0</v>
      </c>
      <c r="H19" s="137">
        <v>0</v>
      </c>
      <c r="I19" s="277">
        <v>0</v>
      </c>
      <c r="J19" s="37">
        <f>G32</f>
        <v>0</v>
      </c>
      <c r="K19" s="6">
        <f>G37</f>
        <v>0</v>
      </c>
      <c r="L19" s="6">
        <f>K19+C19-K18</f>
        <v>0</v>
      </c>
      <c r="M19" s="35">
        <f>IFERROR(L19/L$21,0)</f>
        <v>0</v>
      </c>
      <c r="N19" s="4">
        <f>L19*G$32</f>
        <v>0</v>
      </c>
      <c r="O19" s="4">
        <f t="shared" si="9"/>
        <v>0</v>
      </c>
      <c r="P19" s="35">
        <f t="shared" si="1"/>
        <v>0</v>
      </c>
      <c r="R19" s="137">
        <v>0</v>
      </c>
      <c r="S19" s="137">
        <f>IF(SUM(G19:I19)&lt;&gt;0,F19,0)</f>
        <v>0</v>
      </c>
      <c r="T19" s="4">
        <f t="shared" ca="1" si="2"/>
        <v>0</v>
      </c>
      <c r="U19" s="4">
        <f t="shared" ca="1" si="3"/>
        <v>0</v>
      </c>
      <c r="V19" s="6">
        <f ca="1">IF(AND(S$42="no",S$40&lt;&gt;"premoney"),IFERROR(U19/(1-G19),0),IFERROR(U19/(1-(MAX(G19,(S$32-H19/L$21)/S$32))),0))</f>
        <v>0</v>
      </c>
      <c r="W19" s="37">
        <f>S32</f>
        <v>1.2</v>
      </c>
      <c r="X19" s="37">
        <f t="shared" ca="1" si="4"/>
        <v>0</v>
      </c>
      <c r="Y19" s="4">
        <f>S37</f>
        <v>3267522.3594394722</v>
      </c>
      <c r="Z19" s="6">
        <f>Y19+L19-Y18</f>
        <v>3267522.3594394722</v>
      </c>
      <c r="AA19" s="35">
        <f ca="1">IFERROR(Z19/Z$21,0)</f>
        <v>0.18955771819682898</v>
      </c>
      <c r="AB19" s="4">
        <f>Z19*S$32</f>
        <v>3921026.8313273666</v>
      </c>
      <c r="AC19" s="4">
        <f t="shared" ca="1" si="6"/>
        <v>3267522.3594394722</v>
      </c>
      <c r="AD19" s="35">
        <f t="shared" ca="1" si="7"/>
        <v>0.18955771819682898</v>
      </c>
    </row>
    <row r="20" spans="2:30">
      <c r="D20" s="36"/>
    </row>
    <row r="21" spans="2:30">
      <c r="B21" s="38" t="s">
        <v>20</v>
      </c>
      <c r="C21" s="278">
        <v>10000000</v>
      </c>
      <c r="D21" s="7">
        <f>SUM(D8:D12,D14:D16,D18:D19)</f>
        <v>1</v>
      </c>
      <c r="F21" s="8">
        <f>SUM(F8:F12,F14:F16,F18:F19)</f>
        <v>750000</v>
      </c>
      <c r="G21" s="8"/>
      <c r="H21" s="8"/>
      <c r="I21" s="8"/>
      <c r="J21" s="38"/>
      <c r="K21" s="8">
        <f t="shared" ref="K21:P21" si="11">SUM(K8:K12,K14:K16,K18:K19)</f>
        <v>0</v>
      </c>
      <c r="L21" s="8">
        <f t="shared" si="11"/>
        <v>10000000</v>
      </c>
      <c r="M21" s="7">
        <f t="shared" si="11"/>
        <v>1</v>
      </c>
      <c r="N21" s="8">
        <f t="shared" si="11"/>
        <v>0</v>
      </c>
      <c r="O21" s="8">
        <f t="shared" si="11"/>
        <v>10000000</v>
      </c>
      <c r="P21" s="7">
        <f t="shared" si="11"/>
        <v>1</v>
      </c>
      <c r="R21" s="8">
        <f>SUM(R8:R12,R14:R16,R18:R19)</f>
        <v>3684107.3253094647</v>
      </c>
      <c r="S21" s="8">
        <f>SUM(S8:S12,S14:S16,S18:S19)</f>
        <v>750000</v>
      </c>
      <c r="T21" s="8">
        <f ca="1">SUM(T8:T12,T14:T16,T18:T19)</f>
        <v>60000</v>
      </c>
      <c r="U21" s="8">
        <f ca="1">SUM(U8:U12,U14:U16,U18:U19)</f>
        <v>810000</v>
      </c>
      <c r="V21" s="8">
        <f ca="1">SUM(V8:V12,V14:V16,V18:V19)</f>
        <v>1080000</v>
      </c>
      <c r="W21" s="38"/>
      <c r="X21" s="38"/>
      <c r="Y21" s="8">
        <f t="shared" ref="Y21:AD21" ca="1" si="12">SUM(Y8:Y12,Y14:Y16,Y18:Y19)</f>
        <v>7237611.7971973587</v>
      </c>
      <c r="Z21" s="8">
        <f t="shared" ca="1" si="12"/>
        <v>17237611.797197361</v>
      </c>
      <c r="AA21" s="7">
        <f t="shared" ca="1" si="12"/>
        <v>0.99999999999999989</v>
      </c>
      <c r="AB21" s="8">
        <f t="shared" ca="1" si="12"/>
        <v>20685134.15663683</v>
      </c>
      <c r="AC21" s="8">
        <f t="shared" ca="1" si="12"/>
        <v>17237611.797197361</v>
      </c>
      <c r="AD21" s="7">
        <f t="shared" ca="1" si="12"/>
        <v>0.99999999999999989</v>
      </c>
    </row>
    <row r="24" spans="2:30">
      <c r="F24" s="34" t="s">
        <v>65</v>
      </c>
      <c r="G24" s="34"/>
      <c r="H24" s="34"/>
      <c r="R24" s="34" t="s">
        <v>89</v>
      </c>
      <c r="V24" s="34"/>
    </row>
    <row r="25" spans="2:30">
      <c r="F25" s="2" t="s">
        <v>67</v>
      </c>
      <c r="G25" s="6">
        <f>F21</f>
        <v>750000</v>
      </c>
      <c r="R25" s="2" t="s">
        <v>67</v>
      </c>
      <c r="S25" s="6">
        <f>R21</f>
        <v>3684107.3253094647</v>
      </c>
    </row>
    <row r="26" spans="2:30">
      <c r="F26" s="2" t="s">
        <v>100</v>
      </c>
      <c r="G26" s="6">
        <v>0</v>
      </c>
      <c r="R26" s="2" t="s">
        <v>100</v>
      </c>
      <c r="S26" s="6">
        <f ca="1">U21</f>
        <v>810000</v>
      </c>
    </row>
    <row r="27" spans="2:30">
      <c r="F27" s="2" t="s">
        <v>148</v>
      </c>
      <c r="G27" s="6">
        <v>0</v>
      </c>
      <c r="R27" s="2" t="s">
        <v>148</v>
      </c>
      <c r="S27" s="6">
        <f ca="1">V21</f>
        <v>1080000</v>
      </c>
    </row>
    <row r="28" spans="2:30">
      <c r="F28" s="2" t="s">
        <v>113</v>
      </c>
      <c r="G28" s="6">
        <f>MAX(0,G29-G30*G35)</f>
        <v>0</v>
      </c>
      <c r="R28" s="2" t="s">
        <v>113</v>
      </c>
      <c r="S28" s="6">
        <f>MAX(0,S29-S30*S35-IF(S40="$ invested",S27-S26,IF(S40="% ownership",S27,0)))</f>
        <v>12000000</v>
      </c>
      <c r="T28" s="2" t="s">
        <v>146</v>
      </c>
      <c r="U28" s="6"/>
    </row>
    <row r="29" spans="2:30">
      <c r="F29" s="2" t="s">
        <v>66</v>
      </c>
      <c r="G29" s="137">
        <v>0</v>
      </c>
      <c r="R29" s="2" t="s">
        <v>66</v>
      </c>
      <c r="S29" s="137">
        <v>12000000</v>
      </c>
    </row>
    <row r="30" spans="2:30">
      <c r="F30" s="2" t="s">
        <v>103</v>
      </c>
      <c r="G30" s="14">
        <f>IF(G29=0,0,G29+G25)</f>
        <v>0</v>
      </c>
      <c r="R30" s="2" t="s">
        <v>103</v>
      </c>
      <c r="S30" s="6">
        <f>IF(S29=0,0,S29+S25+IF(S40="$ invested",S26,0))</f>
        <v>15684107.325309465</v>
      </c>
    </row>
    <row r="31" spans="2:30">
      <c r="F31" s="2" t="s">
        <v>152</v>
      </c>
      <c r="G31" s="6">
        <f>IF(G29=0,0,G29+G25+G27+IFERROR(G36*G30/(G32*(1-G36)),G36*C21/(1-G36))*G32)</f>
        <v>0</v>
      </c>
      <c r="R31" s="2" t="s">
        <v>152</v>
      </c>
      <c r="S31" s="6">
        <f ca="1">IF(S29=0,0,IF(S40="% ownership",S30,S29+S25+IF(S40="premoney",S27,IF(S40="$ invested",S26,0)))+IFERROR(S36*S30/(S32*(1-S36)),S36*L21/(1-S36))*S32)</f>
        <v>20685134.15663683</v>
      </c>
    </row>
    <row r="32" spans="2:30">
      <c r="F32" s="2" t="s">
        <v>62</v>
      </c>
      <c r="G32" s="37">
        <f>G28/C21</f>
        <v>0</v>
      </c>
      <c r="R32" s="2" t="s">
        <v>62</v>
      </c>
      <c r="S32" s="37">
        <f>S28/L21</f>
        <v>1.2</v>
      </c>
    </row>
    <row r="33" spans="2:25">
      <c r="F33" s="2" t="s">
        <v>94</v>
      </c>
      <c r="G33" s="5">
        <f>IFERROR(G25/G30,0)</f>
        <v>0</v>
      </c>
      <c r="R33" s="2" t="s">
        <v>94</v>
      </c>
      <c r="S33" s="5">
        <f>IFERROR(S25/S30,0)</f>
        <v>0.23489429451712662</v>
      </c>
    </row>
    <row r="34" spans="2:25">
      <c r="H34" s="10"/>
      <c r="T34" s="10"/>
    </row>
    <row r="35" spans="2:25">
      <c r="F35" s="2" t="s">
        <v>115</v>
      </c>
      <c r="G35" s="277">
        <v>0</v>
      </c>
      <c r="H35" s="10" t="s">
        <v>78</v>
      </c>
      <c r="R35" s="2" t="s">
        <v>115</v>
      </c>
      <c r="S35" s="277">
        <v>0</v>
      </c>
      <c r="T35" s="10" t="s">
        <v>78</v>
      </c>
    </row>
    <row r="36" spans="2:25">
      <c r="F36" s="2" t="s">
        <v>116</v>
      </c>
      <c r="G36" s="277">
        <v>0</v>
      </c>
      <c r="H36" s="10" t="s">
        <v>78</v>
      </c>
      <c r="R36" s="2" t="s">
        <v>116</v>
      </c>
      <c r="S36" s="277">
        <v>0.2</v>
      </c>
      <c r="T36" s="10" t="s">
        <v>78</v>
      </c>
    </row>
    <row r="37" spans="2:25">
      <c r="F37" s="2" t="s">
        <v>114</v>
      </c>
      <c r="G37" s="279">
        <f>IFERROR(G36*G30/(G32*(1-G36)),G36*C21/(1-G36))+IFERROR(G35*G30/G32,G35*C21)</f>
        <v>0</v>
      </c>
      <c r="H37" s="10" t="s">
        <v>458</v>
      </c>
      <c r="R37" s="2" t="s">
        <v>114</v>
      </c>
      <c r="S37" s="279">
        <f>IFERROR(S36*S30/(S32*(1-S36)),S36*L21/(1-S36))+IFERROR(S35*S30/S32,S35*L21)</f>
        <v>3267522.3594394722</v>
      </c>
      <c r="T37" s="10" t="s">
        <v>458</v>
      </c>
    </row>
    <row r="38" spans="2:25">
      <c r="F38" s="2" t="s">
        <v>177</v>
      </c>
      <c r="G38" s="277">
        <v>0</v>
      </c>
      <c r="H38" s="10" t="s">
        <v>160</v>
      </c>
      <c r="R38" s="2" t="s">
        <v>177</v>
      </c>
      <c r="S38" s="277">
        <v>0.5</v>
      </c>
      <c r="T38" s="10" t="s">
        <v>160</v>
      </c>
    </row>
    <row r="39" spans="2:25">
      <c r="F39" s="2" t="s">
        <v>40</v>
      </c>
      <c r="G39" s="25">
        <f ca="1">EDATE(TODAY(),-18)</f>
        <v>42933</v>
      </c>
      <c r="H39" s="10" t="s">
        <v>182</v>
      </c>
      <c r="R39" s="2" t="s">
        <v>40</v>
      </c>
      <c r="S39" s="25">
        <f ca="1">TODAY()</f>
        <v>43482</v>
      </c>
      <c r="T39" s="10" t="s">
        <v>182</v>
      </c>
    </row>
    <row r="40" spans="2:25">
      <c r="R40" s="2" t="s">
        <v>667</v>
      </c>
      <c r="S40" s="55" t="s">
        <v>668</v>
      </c>
      <c r="T40" s="10" t="s">
        <v>146</v>
      </c>
      <c r="Y40" s="10"/>
    </row>
    <row r="41" spans="2:25">
      <c r="R41" s="2" t="s">
        <v>671</v>
      </c>
      <c r="S41" s="46" t="str">
        <f>IF(OR(S40="$ invested",S40="% ownership"),"Yes","No")</f>
        <v>No</v>
      </c>
      <c r="T41" s="10" t="s">
        <v>151</v>
      </c>
    </row>
    <row r="42" spans="2:25">
      <c r="R42" s="2" t="s">
        <v>210</v>
      </c>
      <c r="S42" s="55" t="s">
        <v>211</v>
      </c>
      <c r="T42" s="10" t="s">
        <v>151</v>
      </c>
    </row>
    <row r="43" spans="2:25">
      <c r="R43" s="2" t="s">
        <v>672</v>
      </c>
      <c r="S43" s="4">
        <f ca="1">AB21-S31</f>
        <v>0</v>
      </c>
      <c r="T43" s="10" t="s">
        <v>460</v>
      </c>
    </row>
    <row r="44" spans="2:25">
      <c r="S44" s="4"/>
      <c r="T44" s="10"/>
    </row>
    <row r="45" spans="2:25">
      <c r="B45" s="33" t="s">
        <v>54</v>
      </c>
    </row>
    <row r="46" spans="2:25">
      <c r="B46" s="2" t="s">
        <v>174</v>
      </c>
    </row>
    <row r="47" spans="2:25">
      <c r="B47" s="2" t="s">
        <v>290</v>
      </c>
    </row>
    <row r="48" spans="2:25">
      <c r="B48" s="2" t="s">
        <v>179</v>
      </c>
    </row>
    <row r="49" spans="2:2">
      <c r="B49" s="2" t="s">
        <v>183</v>
      </c>
    </row>
    <row r="50" spans="2:2">
      <c r="B50" s="2" t="s">
        <v>186</v>
      </c>
    </row>
    <row r="51" spans="2:2">
      <c r="B51" s="2" t="s">
        <v>187</v>
      </c>
    </row>
    <row r="52" spans="2:2">
      <c r="B52" s="2" t="s">
        <v>659</v>
      </c>
    </row>
    <row r="53" spans="2:2">
      <c r="B53" s="2" t="s">
        <v>660</v>
      </c>
    </row>
    <row r="54" spans="2:2">
      <c r="B54" s="2" t="s">
        <v>663</v>
      </c>
    </row>
    <row r="55" spans="2:2">
      <c r="B55" s="2" t="s">
        <v>669</v>
      </c>
    </row>
    <row r="56" spans="2:2">
      <c r="B56" s="2" t="s">
        <v>670</v>
      </c>
    </row>
    <row r="57" spans="2:2">
      <c r="B57" s="2" t="s">
        <v>673</v>
      </c>
    </row>
  </sheetData>
  <conditionalFormatting sqref="S43">
    <cfRule type="expression" dxfId="0" priority="1">
      <formula>"&lt;&gt;0"</formula>
    </cfRule>
  </conditionalFormatting>
  <dataValidations count="2">
    <dataValidation type="list" allowBlank="1" showInputMessage="1" showErrorMessage="1" sqref="S42">
      <formula1>"no,yes"</formula1>
    </dataValidation>
    <dataValidation type="list" allowBlank="1" showInputMessage="1" showErrorMessage="1" sqref="S40">
      <formula1>"premoney,% ownership, $ invested"</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V154"/>
  <sheetViews>
    <sheetView showGridLines="0" topLeftCell="B1" workbookViewId="0">
      <selection activeCell="B47" sqref="B47"/>
    </sheetView>
  </sheetViews>
  <sheetFormatPr baseColWidth="10" defaultRowHeight="17" x14ac:dyDescent="0"/>
  <cols>
    <col min="1" max="1" width="4.6640625" style="2" customWidth="1"/>
    <col min="2" max="2" width="39.33203125" style="2" customWidth="1"/>
    <col min="3" max="3" width="5.6640625" style="43" customWidth="1"/>
    <col min="4" max="8" width="17.1640625" style="2" customWidth="1"/>
    <col min="9" max="9" width="17.1640625" style="61" customWidth="1"/>
    <col min="10" max="12" width="17.1640625" style="2" customWidth="1"/>
    <col min="13" max="16384" width="10.83203125" style="2"/>
  </cols>
  <sheetData>
    <row r="2" spans="2:14">
      <c r="B2" s="18" t="s">
        <v>181</v>
      </c>
      <c r="C2" s="20"/>
      <c r="D2" s="20"/>
      <c r="E2" s="20"/>
      <c r="F2" s="20"/>
      <c r="G2" s="20"/>
      <c r="H2" s="20"/>
      <c r="I2" s="30"/>
      <c r="J2" s="20"/>
      <c r="K2" s="10"/>
      <c r="L2" s="10"/>
      <c r="M2" s="10"/>
      <c r="N2" s="10"/>
    </row>
    <row r="3" spans="2:14">
      <c r="B3" s="34" t="s">
        <v>180</v>
      </c>
      <c r="C3" s="20"/>
      <c r="D3" s="20"/>
      <c r="E3" s="20"/>
      <c r="F3" s="20"/>
      <c r="G3" s="20"/>
      <c r="H3" s="20"/>
      <c r="I3" s="30"/>
      <c r="J3" s="20"/>
      <c r="K3" s="10"/>
      <c r="L3" s="10"/>
      <c r="M3" s="10"/>
      <c r="N3" s="10"/>
    </row>
    <row r="4" spans="2:14">
      <c r="B4" s="10"/>
      <c r="C4" s="20"/>
      <c r="D4" s="20"/>
      <c r="E4" s="20"/>
      <c r="F4" s="20"/>
      <c r="G4" s="20"/>
      <c r="H4" s="20"/>
      <c r="I4" s="30"/>
      <c r="J4" s="20"/>
      <c r="K4" s="10"/>
      <c r="L4" s="10"/>
      <c r="M4" s="10"/>
      <c r="N4" s="10"/>
    </row>
    <row r="5" spans="2:14">
      <c r="B5" s="10" t="s">
        <v>166</v>
      </c>
      <c r="C5" s="50" t="e">
        <f>#REF!</f>
        <v>#REF!</v>
      </c>
      <c r="D5" s="137">
        <v>15000000</v>
      </c>
      <c r="F5" s="20"/>
      <c r="G5" s="20"/>
      <c r="H5" s="20"/>
      <c r="I5" s="30" t="s">
        <v>251</v>
      </c>
      <c r="J5" s="20"/>
      <c r="K5" s="10"/>
      <c r="L5" s="10"/>
      <c r="M5" s="10"/>
      <c r="N5" s="10"/>
    </row>
    <row r="6" spans="2:14">
      <c r="B6" s="1" t="str">
        <f>"# of "&amp;'Cap Table'!D61&amp;"s and Granted options, at exit"</f>
        <v># of Shares and Granted options, at exit</v>
      </c>
      <c r="C6" s="50" t="s">
        <v>170</v>
      </c>
      <c r="D6" s="4">
        <f>H26</f>
        <v>20116815.729596477</v>
      </c>
      <c r="F6" s="20"/>
      <c r="G6" s="20"/>
      <c r="H6" s="20"/>
      <c r="I6" s="20"/>
      <c r="J6" s="20"/>
      <c r="K6" s="10"/>
      <c r="L6" s="10"/>
      <c r="M6" s="10"/>
      <c r="N6" s="10"/>
    </row>
    <row r="7" spans="2:14">
      <c r="B7" s="1" t="s">
        <v>19</v>
      </c>
      <c r="C7" s="50" t="e">
        <f>#REF!</f>
        <v>#REF!</v>
      </c>
      <c r="D7" s="1">
        <f>IFERROR(D5/D6,0)</f>
        <v>0.745644847655066</v>
      </c>
      <c r="F7" s="20"/>
      <c r="G7" s="20"/>
      <c r="H7" s="20"/>
      <c r="I7" s="20"/>
      <c r="J7" s="20"/>
      <c r="K7" s="10"/>
      <c r="L7" s="10"/>
      <c r="M7" s="10"/>
      <c r="N7" s="10"/>
    </row>
    <row r="8" spans="2:14">
      <c r="B8" s="1" t="s">
        <v>165</v>
      </c>
      <c r="C8" s="50"/>
      <c r="D8" s="25">
        <f ca="1">EDATE(TODAY(),24)</f>
        <v>44213</v>
      </c>
      <c r="F8" s="20"/>
      <c r="G8" s="20"/>
      <c r="H8" s="20"/>
      <c r="I8" s="30" t="s">
        <v>252</v>
      </c>
      <c r="J8" s="20"/>
      <c r="K8" s="10"/>
      <c r="L8" s="10"/>
      <c r="M8" s="10"/>
      <c r="N8" s="10"/>
    </row>
    <row r="9" spans="2:14">
      <c r="B9" s="1" t="s">
        <v>163</v>
      </c>
      <c r="C9" s="50" t="s">
        <v>50</v>
      </c>
      <c r="D9" s="136">
        <v>0.75</v>
      </c>
      <c r="F9" s="20"/>
      <c r="G9" s="20"/>
      <c r="H9" s="20"/>
      <c r="I9" s="30" t="s">
        <v>253</v>
      </c>
      <c r="J9" s="20"/>
      <c r="K9" s="10"/>
      <c r="L9" s="10"/>
      <c r="M9" s="10"/>
      <c r="N9" s="10"/>
    </row>
    <row r="10" spans="2:14">
      <c r="B10" s="10" t="s">
        <v>210</v>
      </c>
      <c r="D10" s="55" t="s">
        <v>211</v>
      </c>
      <c r="F10" s="20"/>
      <c r="G10" s="20"/>
      <c r="H10" s="20"/>
      <c r="I10" s="2" t="s">
        <v>254</v>
      </c>
      <c r="J10" s="20"/>
      <c r="K10" s="10"/>
      <c r="L10" s="10"/>
      <c r="M10" s="10"/>
      <c r="N10" s="10"/>
    </row>
    <row r="11" spans="2:14">
      <c r="B11" s="10" t="s">
        <v>250</v>
      </c>
      <c r="D11" s="46" t="str">
        <f>IF(SUM(D83:H83)=0,"Yes","No")</f>
        <v>No</v>
      </c>
      <c r="F11" s="20"/>
      <c r="G11" s="20"/>
      <c r="H11" s="20"/>
      <c r="I11" s="72" t="s">
        <v>255</v>
      </c>
      <c r="J11" s="20"/>
      <c r="K11" s="10"/>
      <c r="L11" s="10"/>
      <c r="M11" s="10"/>
      <c r="N11" s="10"/>
    </row>
    <row r="12" spans="2:14">
      <c r="B12" s="10"/>
      <c r="C12" s="20"/>
      <c r="D12" s="20"/>
      <c r="E12" s="20"/>
      <c r="F12" s="20"/>
      <c r="G12" s="20"/>
      <c r="H12" s="20"/>
      <c r="I12" s="30"/>
      <c r="J12" s="20"/>
      <c r="K12" s="10"/>
      <c r="L12" s="10"/>
      <c r="M12" s="10"/>
      <c r="N12" s="10"/>
    </row>
    <row r="13" spans="2:14">
      <c r="B13" s="9" t="s">
        <v>188</v>
      </c>
      <c r="C13" s="20"/>
      <c r="D13" s="20"/>
      <c r="E13" s="20"/>
      <c r="F13" s="20"/>
      <c r="G13" s="20"/>
      <c r="H13" s="20"/>
      <c r="I13" s="30" t="s">
        <v>257</v>
      </c>
      <c r="J13" s="20"/>
      <c r="K13" s="10"/>
      <c r="L13" s="10"/>
      <c r="M13" s="10"/>
      <c r="N13" s="10"/>
    </row>
    <row r="14" spans="2:14">
      <c r="B14" s="10"/>
      <c r="C14" s="20"/>
      <c r="D14" s="20"/>
      <c r="E14" s="20"/>
      <c r="F14" s="20"/>
      <c r="G14" s="20"/>
      <c r="H14" s="20"/>
      <c r="I14" s="30"/>
      <c r="J14" s="20"/>
      <c r="K14" s="10"/>
      <c r="L14" s="10"/>
      <c r="M14" s="10"/>
      <c r="N14" s="10"/>
    </row>
    <row r="15" spans="2:14">
      <c r="B15" s="10" t="s">
        <v>184</v>
      </c>
      <c r="C15" s="20"/>
      <c r="D15" s="51" t="s">
        <v>33</v>
      </c>
      <c r="E15" s="51" t="s">
        <v>26</v>
      </c>
      <c r="F15" s="51" t="s">
        <v>21</v>
      </c>
      <c r="G15" s="51" t="s">
        <v>22</v>
      </c>
      <c r="H15" s="31" t="s">
        <v>20</v>
      </c>
      <c r="I15" s="30"/>
      <c r="J15" s="20"/>
      <c r="K15" s="10"/>
      <c r="L15" s="10"/>
      <c r="M15" s="10"/>
      <c r="N15" s="10"/>
    </row>
    <row r="16" spans="2:14">
      <c r="B16" s="137" t="str">
        <f>'2 - Option Pool, 2nd Round'!B16</f>
        <v>A Investor</v>
      </c>
      <c r="C16" s="50" t="s">
        <v>170</v>
      </c>
      <c r="D16" s="137">
        <f>'2 - Option Pool, 2nd Round'!O16</f>
        <v>4166666.666666666</v>
      </c>
      <c r="E16" s="137">
        <f>'2 - Option Pool, 2nd Round'!H16</f>
        <v>0</v>
      </c>
      <c r="F16" s="137">
        <v>0</v>
      </c>
      <c r="G16" s="137">
        <v>0</v>
      </c>
      <c r="H16" s="32">
        <f t="shared" ref="H16:H24" si="0">SUM(D16:G16)</f>
        <v>4166666.666666666</v>
      </c>
      <c r="I16" s="30"/>
      <c r="J16" s="20"/>
      <c r="K16" s="10"/>
      <c r="L16" s="10"/>
      <c r="M16" s="10"/>
      <c r="N16" s="10"/>
    </row>
    <row r="17" spans="2:14">
      <c r="B17" s="137" t="str">
        <f>'2 - Option Pool, 2nd Round'!B14</f>
        <v>Seed Investor</v>
      </c>
      <c r="C17" s="50" t="s">
        <v>170</v>
      </c>
      <c r="D17" s="137">
        <f>'2 - Option Pool, 2nd Round'!O14</f>
        <v>811260.17404092313</v>
      </c>
      <c r="E17" s="137">
        <f>'2 - Option Pool, 2nd Round'!H14</f>
        <v>2222222.222222222</v>
      </c>
      <c r="F17" s="137">
        <v>0</v>
      </c>
      <c r="G17" s="137">
        <v>0</v>
      </c>
      <c r="H17" s="32">
        <f t="shared" si="0"/>
        <v>3033482.3962631449</v>
      </c>
      <c r="I17" s="30" t="s">
        <v>258</v>
      </c>
      <c r="J17" s="20"/>
      <c r="K17" s="10"/>
      <c r="L17" s="10"/>
      <c r="M17" s="10"/>
      <c r="N17" s="10"/>
    </row>
    <row r="18" spans="2:14">
      <c r="B18" s="137" t="str">
        <f>'2 - Option Pool, 2nd Round'!B15</f>
        <v>Seed Investor 2</v>
      </c>
      <c r="C18" s="50" t="s">
        <v>170</v>
      </c>
      <c r="D18" s="137">
        <f>'2 - Option Pool, 2nd Round'!O15</f>
        <v>0</v>
      </c>
      <c r="E18" s="137">
        <f>'2 - Option Pool, 2nd Round'!H15</f>
        <v>1111111.111111111</v>
      </c>
      <c r="F18" s="137">
        <f>'2 - Option Pool, 2nd Round'!O12</f>
        <v>138888.88888888888</v>
      </c>
      <c r="G18" s="137">
        <v>0</v>
      </c>
      <c r="H18" s="32">
        <f t="shared" si="0"/>
        <v>1250000</v>
      </c>
      <c r="I18" s="30" t="s">
        <v>259</v>
      </c>
      <c r="J18" s="20"/>
      <c r="K18" s="10"/>
      <c r="L18" s="10"/>
      <c r="M18" s="10"/>
      <c r="N18" s="10"/>
    </row>
    <row r="19" spans="2:14">
      <c r="B19" s="137" t="str">
        <f>'2 - Option Pool, 2nd Round'!B8</f>
        <v>Co-Founder</v>
      </c>
      <c r="C19" s="50" t="s">
        <v>170</v>
      </c>
      <c r="D19" s="137">
        <v>0</v>
      </c>
      <c r="E19" s="137">
        <v>0</v>
      </c>
      <c r="F19" s="137">
        <f>'2 - Option Pool, 2nd Round'!P8</f>
        <v>6000000</v>
      </c>
      <c r="G19" s="137">
        <v>0</v>
      </c>
      <c r="H19" s="32">
        <f t="shared" si="0"/>
        <v>6000000</v>
      </c>
      <c r="I19" s="30"/>
      <c r="J19" s="20"/>
      <c r="K19" s="10"/>
      <c r="L19" s="10"/>
      <c r="M19" s="10"/>
      <c r="N19" s="10"/>
    </row>
    <row r="20" spans="2:14">
      <c r="B20" s="137" t="str">
        <f>'2 - Option Pool, 2nd Round'!B9</f>
        <v>Co-Founder</v>
      </c>
      <c r="C20" s="50" t="s">
        <v>170</v>
      </c>
      <c r="D20" s="137">
        <v>0</v>
      </c>
      <c r="E20" s="137">
        <v>0</v>
      </c>
      <c r="F20" s="137">
        <f>'2 - Option Pool, 2nd Round'!P9</f>
        <v>3000000</v>
      </c>
      <c r="G20" s="137">
        <v>0</v>
      </c>
      <c r="H20" s="32">
        <f t="shared" si="0"/>
        <v>3000000</v>
      </c>
      <c r="I20" s="30"/>
      <c r="J20" s="20"/>
      <c r="K20" s="10"/>
      <c r="L20" s="10"/>
      <c r="M20" s="10"/>
      <c r="N20" s="10"/>
    </row>
    <row r="21" spans="2:14">
      <c r="B21" s="137" t="str">
        <f>'2 - Option Pool, 2nd Round'!B10</f>
        <v>Employee</v>
      </c>
      <c r="C21" s="50" t="s">
        <v>170</v>
      </c>
      <c r="D21" s="137">
        <v>0</v>
      </c>
      <c r="E21" s="137">
        <v>0</v>
      </c>
      <c r="F21" s="137">
        <f>'2 - Option Pool, 2nd Round'!P10</f>
        <v>700000.00000000012</v>
      </c>
      <c r="G21" s="137">
        <v>0</v>
      </c>
      <c r="H21" s="32">
        <f t="shared" si="0"/>
        <v>700000.00000000012</v>
      </c>
      <c r="I21" s="30"/>
      <c r="J21" s="20"/>
      <c r="K21" s="10"/>
      <c r="L21" s="10"/>
      <c r="M21" s="10"/>
      <c r="N21" s="10"/>
    </row>
    <row r="22" spans="2:14">
      <c r="B22" s="137" t="str">
        <f>'2 - Option Pool, 2nd Round'!B11</f>
        <v>Employee</v>
      </c>
      <c r="C22" s="50" t="s">
        <v>170</v>
      </c>
      <c r="D22" s="137">
        <v>0</v>
      </c>
      <c r="E22" s="137">
        <v>0</v>
      </c>
      <c r="F22" s="137">
        <f>'2 - Option Pool, 2nd Round'!P11</f>
        <v>300000</v>
      </c>
      <c r="G22" s="137">
        <v>0</v>
      </c>
      <c r="H22" s="32">
        <f t="shared" si="0"/>
        <v>300000</v>
      </c>
      <c r="I22" s="30"/>
      <c r="J22" s="20"/>
      <c r="K22" s="10"/>
      <c r="L22" s="10"/>
      <c r="M22" s="10"/>
      <c r="N22" s="10"/>
    </row>
    <row r="23" spans="2:14">
      <c r="B23" s="137" t="str">
        <f>'2 - Option Pool, 2nd Round'!B18</f>
        <v>Options Granted and Exercised</v>
      </c>
      <c r="C23" s="50" t="s">
        <v>170</v>
      </c>
      <c r="D23" s="32">
        <v>0</v>
      </c>
      <c r="E23" s="32">
        <v>0</v>
      </c>
      <c r="F23" s="32">
        <v>0</v>
      </c>
      <c r="G23" s="137">
        <f>'2 - Option Pool, 2nd Round'!P18</f>
        <v>1666666.6666666665</v>
      </c>
      <c r="H23" s="32">
        <f t="shared" si="0"/>
        <v>1666666.6666666665</v>
      </c>
      <c r="I23" s="30" t="s">
        <v>260</v>
      </c>
      <c r="J23" s="20"/>
      <c r="K23" s="10"/>
      <c r="L23" s="10"/>
      <c r="M23" s="10"/>
      <c r="N23" s="10"/>
    </row>
    <row r="24" spans="2:14">
      <c r="B24" s="137" t="str">
        <f>'2 - Option Pool, 2nd Round'!B19</f>
        <v>Option Pool</v>
      </c>
      <c r="C24" s="50" t="s">
        <v>170</v>
      </c>
      <c r="D24" s="32">
        <v>0</v>
      </c>
      <c r="E24" s="32">
        <v>0</v>
      </c>
      <c r="F24" s="32">
        <v>0</v>
      </c>
      <c r="G24" s="137">
        <v>0</v>
      </c>
      <c r="H24" s="32">
        <f t="shared" si="0"/>
        <v>0</v>
      </c>
      <c r="I24" s="30" t="s">
        <v>261</v>
      </c>
      <c r="J24" s="20"/>
      <c r="K24" s="10"/>
      <c r="L24" s="10"/>
      <c r="M24" s="10"/>
      <c r="N24" s="10"/>
    </row>
    <row r="25" spans="2:14">
      <c r="B25" s="10"/>
      <c r="C25" s="20"/>
      <c r="D25" s="32"/>
      <c r="E25" s="32"/>
      <c r="F25" s="32"/>
      <c r="G25" s="32"/>
      <c r="H25" s="32"/>
      <c r="I25" s="30"/>
      <c r="J25" s="20"/>
      <c r="K25" s="10"/>
      <c r="L25" s="10"/>
      <c r="M25" s="10"/>
      <c r="N25" s="10"/>
    </row>
    <row r="26" spans="2:14">
      <c r="B26" s="10" t="s">
        <v>189</v>
      </c>
      <c r="C26" s="50" t="s">
        <v>170</v>
      </c>
      <c r="D26" s="48">
        <f>SUM(D16:D24)</f>
        <v>4977926.8407075889</v>
      </c>
      <c r="E26" s="48">
        <f>SUM(E16:E24)</f>
        <v>3333333.333333333</v>
      </c>
      <c r="F26" s="48">
        <f>SUM(F16:F24)</f>
        <v>10138888.888888888</v>
      </c>
      <c r="G26" s="48">
        <f>SUM(G16:G24)</f>
        <v>1666666.6666666665</v>
      </c>
      <c r="H26" s="48">
        <f>SUM(H16:H24)</f>
        <v>20116815.729596477</v>
      </c>
      <c r="I26" s="30"/>
      <c r="J26" s="20"/>
      <c r="K26" s="10"/>
      <c r="L26" s="10"/>
      <c r="M26" s="10"/>
      <c r="N26" s="10"/>
    </row>
    <row r="27" spans="2:14">
      <c r="B27" s="10" t="s">
        <v>194</v>
      </c>
      <c r="C27" s="50" t="s">
        <v>50</v>
      </c>
      <c r="D27" s="52">
        <f>D26/$H26</f>
        <v>0.24745103338516494</v>
      </c>
      <c r="E27" s="52">
        <f>E26/$H26</f>
        <v>0.16569885503445908</v>
      </c>
      <c r="F27" s="52">
        <f>F26/$H26</f>
        <v>0.50400068406314635</v>
      </c>
      <c r="G27" s="52">
        <f>G26/$H26</f>
        <v>8.284942751722954E-2</v>
      </c>
      <c r="H27" s="52">
        <f>H26/$H26</f>
        <v>1</v>
      </c>
      <c r="I27" s="30"/>
      <c r="J27" s="20"/>
      <c r="K27" s="10"/>
      <c r="L27" s="10"/>
      <c r="M27" s="10"/>
      <c r="N27" s="10"/>
    </row>
    <row r="28" spans="2:14">
      <c r="B28" s="10"/>
      <c r="C28" s="20"/>
      <c r="D28" s="20"/>
      <c r="E28" s="20"/>
      <c r="F28" s="20"/>
      <c r="G28" s="20"/>
      <c r="H28" s="20"/>
      <c r="I28" s="30"/>
      <c r="J28" s="20"/>
      <c r="K28" s="10"/>
      <c r="L28" s="10"/>
      <c r="M28" s="10"/>
      <c r="N28" s="10"/>
    </row>
    <row r="29" spans="2:14">
      <c r="B29" s="10" t="s">
        <v>185</v>
      </c>
      <c r="C29" s="50" t="e">
        <f>#REF!</f>
        <v>#REF!</v>
      </c>
      <c r="D29" s="138">
        <f>'2 - Option Pool, 2nd Round'!N29</f>
        <v>0.72000000000000008</v>
      </c>
      <c r="E29" s="139">
        <f>'2 - Option Pool, 2nd Round'!G29</f>
        <v>0.22500000000000001</v>
      </c>
      <c r="F29" s="139" t="s">
        <v>27</v>
      </c>
      <c r="G29" s="139" t="s">
        <v>27</v>
      </c>
      <c r="H29" s="26" t="s">
        <v>27</v>
      </c>
      <c r="I29" s="30" t="s">
        <v>262</v>
      </c>
      <c r="J29" s="20"/>
      <c r="K29" s="10"/>
      <c r="L29" s="10"/>
      <c r="M29" s="10"/>
      <c r="N29" s="10"/>
    </row>
    <row r="30" spans="2:14">
      <c r="B30" s="10" t="s">
        <v>191</v>
      </c>
      <c r="C30" s="50" t="e">
        <f>#REF!</f>
        <v>#REF!</v>
      </c>
      <c r="D30" s="137">
        <f>IFERROR(D29*D26,0)</f>
        <v>3584107.3253094642</v>
      </c>
      <c r="E30" s="137">
        <f>IFERROR(E29*E26,0)</f>
        <v>750000</v>
      </c>
      <c r="F30" s="137">
        <f>SUM('2 - Option Pool, 2nd Round'!M8:M12,'2 - Option Pool, 2nd Round'!F8:F12)</f>
        <v>100000</v>
      </c>
      <c r="G30" s="137">
        <f>IFERROR(G29*G26,0)</f>
        <v>0</v>
      </c>
      <c r="H30" s="56">
        <f>SUM(D30:G30)</f>
        <v>4434107.3253094647</v>
      </c>
      <c r="I30" s="30" t="s">
        <v>262</v>
      </c>
      <c r="J30" s="20"/>
      <c r="K30" s="10"/>
      <c r="L30" s="10"/>
      <c r="M30" s="10"/>
      <c r="N30" s="10"/>
    </row>
    <row r="31" spans="2:14">
      <c r="B31" s="9"/>
      <c r="C31" s="20"/>
      <c r="D31" s="20"/>
      <c r="E31" s="20"/>
      <c r="F31" s="20"/>
      <c r="G31" s="20"/>
      <c r="H31" s="20"/>
      <c r="I31" s="30"/>
      <c r="J31" s="20"/>
      <c r="K31" s="10"/>
      <c r="L31" s="10"/>
      <c r="M31" s="10"/>
      <c r="N31" s="10"/>
    </row>
    <row r="32" spans="2:14">
      <c r="B32" s="9" t="s">
        <v>28</v>
      </c>
      <c r="C32" s="9"/>
      <c r="D32" s="20"/>
      <c r="E32" s="3"/>
      <c r="F32" s="10"/>
      <c r="G32" s="10"/>
      <c r="H32" s="10"/>
      <c r="I32" s="30" t="s">
        <v>263</v>
      </c>
      <c r="J32" s="10"/>
      <c r="K32" s="10"/>
      <c r="L32" s="10"/>
    </row>
    <row r="33" spans="2:22">
      <c r="B33" s="10" t="s">
        <v>28</v>
      </c>
      <c r="C33" s="9"/>
      <c r="D33" s="137">
        <f>D30</f>
        <v>3584107.3253094642</v>
      </c>
      <c r="E33" s="137">
        <f>E30</f>
        <v>750000</v>
      </c>
      <c r="F33" s="137">
        <v>0</v>
      </c>
      <c r="G33" s="137">
        <v>0</v>
      </c>
      <c r="H33" s="56">
        <f>SUM(D33:G33)</f>
        <v>4334107.3253094647</v>
      </c>
      <c r="I33" s="60" t="s">
        <v>292</v>
      </c>
      <c r="K33" s="10"/>
      <c r="V33" s="32">
        <f>SUMIFS(D33:E33,D34:E34,"&lt;&gt;"&amp;#REF!)</f>
        <v>0</v>
      </c>
    </row>
    <row r="34" spans="2:22">
      <c r="B34" s="1" t="s">
        <v>167</v>
      </c>
      <c r="C34" s="1"/>
      <c r="D34" s="140" t="s">
        <v>427</v>
      </c>
      <c r="E34" s="140" t="s">
        <v>424</v>
      </c>
      <c r="F34" s="49" t="s">
        <v>27</v>
      </c>
      <c r="G34" s="49" t="s">
        <v>27</v>
      </c>
      <c r="I34" s="60" t="s">
        <v>264</v>
      </c>
    </row>
    <row r="35" spans="2:22">
      <c r="B35" s="1" t="s">
        <v>168</v>
      </c>
      <c r="C35" s="1"/>
      <c r="D35" s="141">
        <v>1</v>
      </c>
      <c r="E35" s="141">
        <v>1</v>
      </c>
      <c r="F35" s="49" t="s">
        <v>27</v>
      </c>
      <c r="G35" s="49" t="s">
        <v>27</v>
      </c>
      <c r="I35" s="30" t="s">
        <v>265</v>
      </c>
    </row>
    <row r="36" spans="2:22">
      <c r="B36" s="10"/>
      <c r="C36" s="20"/>
      <c r="D36" s="20"/>
      <c r="E36" s="20"/>
      <c r="F36" s="20"/>
      <c r="G36" s="20"/>
      <c r="H36" s="20"/>
      <c r="J36" s="20"/>
      <c r="K36" s="20"/>
      <c r="L36" s="20"/>
      <c r="M36" s="10"/>
      <c r="N36" s="10"/>
    </row>
    <row r="37" spans="2:22">
      <c r="C37" s="2"/>
      <c r="I37" s="2"/>
      <c r="K37" s="20"/>
      <c r="L37" s="20"/>
      <c r="M37" s="10"/>
      <c r="N37" s="10"/>
    </row>
    <row r="38" spans="2:22">
      <c r="B38" s="64" t="s">
        <v>195</v>
      </c>
      <c r="C38" s="20"/>
      <c r="D38" s="69"/>
      <c r="E38" s="69"/>
      <c r="F38" s="69"/>
      <c r="G38" s="69"/>
      <c r="H38" s="69"/>
      <c r="I38" s="30"/>
      <c r="J38" s="20"/>
      <c r="K38" s="10"/>
      <c r="L38" s="10"/>
      <c r="M38" s="10"/>
      <c r="N38" s="10"/>
    </row>
    <row r="39" spans="2:22">
      <c r="D39" s="30"/>
      <c r="E39" s="30"/>
      <c r="F39" s="30"/>
      <c r="G39" s="30"/>
      <c r="H39" s="30"/>
      <c r="I39" s="30"/>
      <c r="J39" s="20"/>
      <c r="K39" s="10"/>
      <c r="L39" s="10"/>
    </row>
    <row r="40" spans="2:22">
      <c r="B40" s="10" t="s">
        <v>166</v>
      </c>
      <c r="C40" s="50" t="e">
        <f>#REF!</f>
        <v>#REF!</v>
      </c>
      <c r="D40" s="74">
        <f>E40*(1-$D9)</f>
        <v>937500</v>
      </c>
      <c r="E40" s="74">
        <f>F40*(1-$D9)</f>
        <v>3750000</v>
      </c>
      <c r="F40" s="74">
        <f>D5</f>
        <v>15000000</v>
      </c>
      <c r="G40" s="74">
        <f>F40*(1+$D9)</f>
        <v>26250000</v>
      </c>
      <c r="H40" s="74">
        <f>G40*(1+$D9)</f>
        <v>45937500</v>
      </c>
      <c r="I40" s="60" t="s">
        <v>266</v>
      </c>
      <c r="J40" s="20"/>
      <c r="K40" s="10"/>
      <c r="L40" s="10"/>
    </row>
    <row r="41" spans="2:22">
      <c r="B41" s="10" t="s">
        <v>189</v>
      </c>
      <c r="C41" s="43" t="s">
        <v>170</v>
      </c>
      <c r="D41" s="68">
        <f>$D6</f>
        <v>20116815.729596477</v>
      </c>
      <c r="E41" s="68">
        <f>$D6</f>
        <v>20116815.729596477</v>
      </c>
      <c r="F41" s="68">
        <f>$D6</f>
        <v>20116815.729596477</v>
      </c>
      <c r="G41" s="68">
        <f>$D6</f>
        <v>20116815.729596477</v>
      </c>
      <c r="H41" s="68">
        <f>$D6</f>
        <v>20116815.729596477</v>
      </c>
      <c r="I41" s="30" t="s">
        <v>267</v>
      </c>
      <c r="J41" s="20"/>
      <c r="K41" s="10"/>
    </row>
    <row r="42" spans="2:22">
      <c r="B42" s="10" t="s">
        <v>164</v>
      </c>
      <c r="C42" s="20" t="s">
        <v>170</v>
      </c>
      <c r="D42" s="69">
        <f>D40/$H30</f>
        <v>0.21142925311005414</v>
      </c>
      <c r="E42" s="69">
        <f>E40/$H30</f>
        <v>0.84571701244021658</v>
      </c>
      <c r="F42" s="69">
        <f>F40/$H30</f>
        <v>3.3828680497608663</v>
      </c>
      <c r="G42" s="69">
        <f>G40/$H30</f>
        <v>5.9200190870815161</v>
      </c>
      <c r="H42" s="69">
        <f>H40/$H30</f>
        <v>10.360033402392652</v>
      </c>
      <c r="I42" s="30" t="s">
        <v>268</v>
      </c>
      <c r="J42" s="20"/>
      <c r="K42" s="10"/>
    </row>
    <row r="43" spans="2:22">
      <c r="B43" s="10" t="s">
        <v>19</v>
      </c>
      <c r="C43" s="50" t="e">
        <f>#REF!</f>
        <v>#REF!</v>
      </c>
      <c r="D43" s="75">
        <f>IFERROR(D40/D41,0)</f>
        <v>4.6602802978441625E-2</v>
      </c>
      <c r="E43" s="75">
        <f>IFERROR(E40/E41,0)</f>
        <v>0.1864112119137665</v>
      </c>
      <c r="F43" s="75">
        <f>IFERROR(F40/F41,0)</f>
        <v>0.745644847655066</v>
      </c>
      <c r="G43" s="75">
        <f>IFERROR(G40/G41,0)</f>
        <v>1.3048784833963654</v>
      </c>
      <c r="H43" s="75">
        <f>IFERROR(H40/H41,0)</f>
        <v>2.2835373459436394</v>
      </c>
      <c r="I43" s="30" t="s">
        <v>269</v>
      </c>
      <c r="J43" s="20"/>
      <c r="K43" s="10"/>
    </row>
    <row r="44" spans="2:22">
      <c r="B44" s="10"/>
      <c r="D44" s="11"/>
      <c r="E44" s="11"/>
      <c r="F44" s="11"/>
      <c r="G44" s="11"/>
      <c r="H44" s="11"/>
      <c r="I44" s="30"/>
      <c r="J44" s="20"/>
      <c r="K44" s="10"/>
    </row>
    <row r="45" spans="2:22">
      <c r="B45" s="9" t="s">
        <v>193</v>
      </c>
      <c r="D45" s="11"/>
      <c r="E45" s="11"/>
      <c r="F45" s="11"/>
      <c r="G45" s="11"/>
      <c r="H45" s="11"/>
      <c r="I45" s="30"/>
      <c r="J45" s="20"/>
      <c r="K45" s="10"/>
    </row>
    <row r="46" spans="2:22">
      <c r="B46" s="10" t="s">
        <v>199</v>
      </c>
      <c r="C46" s="50" t="e">
        <f>#REF!</f>
        <v>#REF!</v>
      </c>
      <c r="D46" s="68">
        <f>D40</f>
        <v>937500</v>
      </c>
      <c r="E46" s="68">
        <f>E40</f>
        <v>3750000</v>
      </c>
      <c r="F46" s="68">
        <f>F40</f>
        <v>15000000</v>
      </c>
      <c r="G46" s="68">
        <f>G40</f>
        <v>26250000</v>
      </c>
      <c r="H46" s="68">
        <f>H40</f>
        <v>45937500</v>
      </c>
      <c r="I46" s="30" t="s">
        <v>270</v>
      </c>
    </row>
    <row r="47" spans="2:22">
      <c r="B47" s="10" t="s">
        <v>204</v>
      </c>
      <c r="C47" s="43" t="s">
        <v>170</v>
      </c>
      <c r="D47" s="68">
        <f t="shared" ref="D47:H47" si="1">D41</f>
        <v>20116815.729596477</v>
      </c>
      <c r="E47" s="68">
        <f t="shared" si="1"/>
        <v>20116815.729596477</v>
      </c>
      <c r="F47" s="68">
        <f t="shared" si="1"/>
        <v>20116815.729596477</v>
      </c>
      <c r="G47" s="68">
        <f t="shared" si="1"/>
        <v>20116815.729596477</v>
      </c>
      <c r="H47" s="68">
        <f t="shared" si="1"/>
        <v>20116815.729596477</v>
      </c>
      <c r="I47" s="30" t="s">
        <v>271</v>
      </c>
    </row>
    <row r="48" spans="2:22" s="11" customFormat="1">
      <c r="B48" s="57" t="s">
        <v>197</v>
      </c>
      <c r="C48" s="58" t="e">
        <f>#REF!</f>
        <v>#REF!</v>
      </c>
      <c r="D48" s="59">
        <f>IF($D$10="no",MAX(0,D$40)/D$41*D51,IF($D$34="full participating preferred",MAX(0,D$40-D$95)/D$41*D51,MAX(0,D$40)/D$41*D51))</f>
        <v>231985.34379859213</v>
      </c>
      <c r="E48" s="59">
        <f>IF($D$10="no",MAX(0,E$40)/E$41*E51,IF($D$34="full participating preferred",MAX(0,E$40-E$95)/E$41*E51,MAX(0,E$40)/E$41*E51))</f>
        <v>927941.37519436853</v>
      </c>
      <c r="F48" s="59">
        <f>IF($D$10="no",MAX(0,F$40)/F$41*F51,IF($D$34="full participating preferred",MAX(0,F$40-F$95)/F$41*F51,MAX(0,F$40)/F$41*F51))</f>
        <v>3711765.5007774741</v>
      </c>
      <c r="G48" s="59">
        <f>IF($D$10="no",MAX(0,G$40)/G$41*G51,IF($D$34="full participating preferred",MAX(0,G$40-G$95)/G$41*G51,MAX(0,G$40)/G$41*G51))</f>
        <v>6495589.6263605794</v>
      </c>
      <c r="H48" s="59">
        <f>IF($D$10="no",MAX(0,H$40)/H$41*H51,IF($D$34="full participating preferred",MAX(0,H$40-H$95)/H$41*H51,MAX(0,H$40)/H$41*H51))</f>
        <v>11367281.846131014</v>
      </c>
      <c r="I48" s="63" t="s">
        <v>413</v>
      </c>
    </row>
    <row r="49" spans="2:9">
      <c r="B49" s="10" t="s">
        <v>196</v>
      </c>
      <c r="C49" s="50" t="e">
        <f>#REF!</f>
        <v>#REF!</v>
      </c>
      <c r="D49" s="68">
        <f>$D33</f>
        <v>3584107.3253094642</v>
      </c>
      <c r="E49" s="68">
        <f>$D33</f>
        <v>3584107.3253094642</v>
      </c>
      <c r="F49" s="68">
        <f>$D33</f>
        <v>3584107.3253094642</v>
      </c>
      <c r="G49" s="68">
        <f>$D33</f>
        <v>3584107.3253094642</v>
      </c>
      <c r="H49" s="68">
        <f>$D33</f>
        <v>3584107.3253094642</v>
      </c>
      <c r="I49" s="30" t="s">
        <v>272</v>
      </c>
    </row>
    <row r="50" spans="2:9">
      <c r="B50" s="10" t="s">
        <v>198</v>
      </c>
      <c r="C50" s="50" t="e">
        <f>#REF!</f>
        <v>#REF!</v>
      </c>
      <c r="D50" s="76">
        <f>IF($D$34="participating preferred with a cap",$D33*$D35,IF($D$34="full participating preferred",0,"na"))</f>
        <v>3584107.3253094642</v>
      </c>
      <c r="E50" s="76">
        <f>IF($D$34="participating preferred with a cap",$D33*$D35,IF($D$34="full participating preferred",0,"na"))</f>
        <v>3584107.3253094642</v>
      </c>
      <c r="F50" s="76">
        <f>IF($D$34="participating preferred with a cap",$D33*$D35,IF($D$34="full participating preferred",0,"na"))</f>
        <v>3584107.3253094642</v>
      </c>
      <c r="G50" s="76">
        <f>IF($D$34="participating preferred with a cap",$D33*$D35,IF($D$34="full participating preferred",0,"na"))</f>
        <v>3584107.3253094642</v>
      </c>
      <c r="H50" s="76">
        <f>IF($D$34="participating preferred with a cap",$D33*$D35,IF($D$34="full participating preferred",0,"na"))</f>
        <v>3584107.3253094642</v>
      </c>
      <c r="I50" s="60" t="s">
        <v>273</v>
      </c>
    </row>
    <row r="51" spans="2:9">
      <c r="B51" s="10" t="str">
        <f>"Shares, "&amp;B45</f>
        <v>Shares, Preferred - A</v>
      </c>
      <c r="C51" s="50" t="s">
        <v>170</v>
      </c>
      <c r="D51" s="68">
        <f>$D26</f>
        <v>4977926.8407075889</v>
      </c>
      <c r="E51" s="68">
        <f>$D26</f>
        <v>4977926.8407075889</v>
      </c>
      <c r="F51" s="68">
        <f>$D26</f>
        <v>4977926.8407075889</v>
      </c>
      <c r="G51" s="68">
        <f>$D26</f>
        <v>4977926.8407075889</v>
      </c>
      <c r="H51" s="68">
        <f>$D26</f>
        <v>4977926.8407075889</v>
      </c>
      <c r="I51" s="30" t="s">
        <v>274</v>
      </c>
    </row>
    <row r="52" spans="2:9">
      <c r="B52" s="10" t="s">
        <v>203</v>
      </c>
      <c r="C52" s="50" t="s">
        <v>420</v>
      </c>
      <c r="D52" s="77" t="str">
        <f>IF(OR($D$34="full participating preferred",AND($D$34="non participating preferred",D48&gt;D49),IF($D$10="no",AND($D$34="participating preferred with a cap",D46&lt;&gt;0,D46&gt;D51,D51&lt;&gt;0),AND($D$34="participating preferred with a cap",D46&lt;&gt;0,D40&gt;D95,D51&lt;&gt;0))),"yes","no")</f>
        <v>no</v>
      </c>
      <c r="E52" s="77" t="str">
        <f>IF(OR($D$34="full participating preferred",AND($D$34="non participating preferred",E48&gt;E49),IF($D$10="no",AND($D$34="participating preferred with a cap",E46&lt;&gt;0,E46&gt;E51,E51&lt;&gt;0),AND($D$34="participating preferred with a cap",E46&lt;&gt;0,E40&gt;E95,E51&lt;&gt;0))),"yes","no")</f>
        <v>no</v>
      </c>
      <c r="F52" s="77" t="str">
        <f>IF(OR($D$34="full participating preferred",AND($D$34="non participating preferred",F48&gt;F49),IF($D$10="no",AND($D$34="participating preferred with a cap",F46&lt;&gt;0,F46&gt;F51,F51&lt;&gt;0),AND($D$34="participating preferred with a cap",F46&lt;&gt;0,F40&gt;F95,F51&lt;&gt;0))),"yes","no")</f>
        <v>yes</v>
      </c>
      <c r="G52" s="77" t="str">
        <f>IF(OR($D$34="full participating preferred",AND($D$34="non participating preferred",G48&gt;G49),IF($D$10="no",AND($D$34="participating preferred with a cap",G46&lt;&gt;0,G46&gt;G51,G51&lt;&gt;0),AND($D$34="participating preferred with a cap",G46&lt;&gt;0,G40&gt;G95,G51&lt;&gt;0))),"yes","no")</f>
        <v>yes</v>
      </c>
      <c r="H52" s="77" t="str">
        <f>IF(OR($D$34="full participating preferred",AND($D$34="non participating preferred",H48&gt;H49),IF($D$10="no",AND($D$34="participating preferred with a cap",H46&lt;&gt;0,H46&gt;H51,H51&lt;&gt;0),AND($D$34="participating preferred with a cap",H46&lt;&gt;0,H40&gt;H95,H51&lt;&gt;0))),"yes","no")</f>
        <v>yes</v>
      </c>
      <c r="I52" s="30" t="s">
        <v>275</v>
      </c>
    </row>
    <row r="53" spans="2:9">
      <c r="B53" s="10" t="s">
        <v>202</v>
      </c>
      <c r="C53" s="50" t="s">
        <v>170</v>
      </c>
      <c r="D53" s="68">
        <f>IF(D52="yes",D51,0)</f>
        <v>0</v>
      </c>
      <c r="E53" s="68">
        <f>IF(E52="yes",E51,0)</f>
        <v>0</v>
      </c>
      <c r="F53" s="68">
        <f>IF(F52="yes",F51,0)</f>
        <v>4977926.8407075889</v>
      </c>
      <c r="G53" s="68">
        <f>IF(G52="yes",G51,0)</f>
        <v>4977926.8407075889</v>
      </c>
      <c r="H53" s="68">
        <f>IF(H52="yes",H51,0)</f>
        <v>4977926.8407075889</v>
      </c>
      <c r="I53" s="60" t="s">
        <v>276</v>
      </c>
    </row>
    <row r="54" spans="2:9" s="11" customFormat="1">
      <c r="B54" s="57" t="s">
        <v>200</v>
      </c>
      <c r="C54" s="58" t="e">
        <f>#REF!</f>
        <v>#REF!</v>
      </c>
      <c r="D54" s="59">
        <f>IF($D$34="full participating preferred",IF($D10="no",D53/$H$26*MAX(0,IF(D$40&lt;=$H$33,0,D40-D$95)),D53*D$80),IF($D$34="participating preferred with a cap",IF($D10="no",MIN(MAX(0,D48-D49),D50),IF(D48&gt;D50,0,MAX(0,IF($D10="no",D53/$H$26*MAX(0,IF(D$40&lt;=$H$33,0,D40-D$95))),D53*D$80))),0))</f>
        <v>0</v>
      </c>
      <c r="E54" s="59">
        <f>IF($D$34="full participating preferred",IF($D10="no",E53/$H$26*MAX(0,IF(E$40&lt;=$H$33,0,E40-E95)),E53*E$80),IF($D$34="participating preferred with a cap",IF($D10="no",MIN(MAX(0,E48-E49),E50),IF(E48&gt;E50,0,MAX(0,IF($D10="no",E53/$H$26*MAX(0,IF(E$40&lt;=$H$33,0,E40-E95))),E53*E$80))),0))</f>
        <v>0</v>
      </c>
      <c r="F54" s="59">
        <f>IF($D$34="full participating preferred",IF($D10="no",F53/$H$26*MAX(0,IF(F$40&lt;=$H$33,0,F40-F95)),F53*F$80),IF($D$34="participating preferred with a cap",IF($D10="no",MIN(MAX(0,F48-F49),F50),IF(F48&gt;F50,0,MAX(0,IF($D10="no",F53/$H$26*MAX(0,IF(F$40&lt;=$H$33,0,F40-F95))),F53*F$80))),0))</f>
        <v>127658.1754680099</v>
      </c>
      <c r="G54" s="59">
        <f>IF($D$34="full participating preferred",IF($D10="no",G53/$H$26*MAX(0,IF(G$40&lt;=$H$33,0,G40-G95)),G53*G$80),IF($D$34="participating preferred with a cap",IF($D10="no",MIN(MAX(0,G48-G49),G50),IF(G48&gt;G50,0,MAX(0,IF($D10="no",G53/$H$26*MAX(0,IF(G$40&lt;=$H$33,0,G40-G95))),G53*G$80))),0))</f>
        <v>2911482.3010511152</v>
      </c>
      <c r="H54" s="59">
        <f>IF($D$34="full participating preferred",IF($D10="no",H53/$H$26*MAX(0,IF(H$40&lt;=$H$33,0,H40-H95)),H53*H$80),IF($D$34="participating preferred with a cap",IF($D10="no",MIN(MAX(0,H48-H49),H50),IF(H48&gt;H50,0,MAX(0,IF($D10="no",H53/$H$26*MAX(0,IF(H$40&lt;=$H$33,0,H40-H95))),H53*H$80))),0))</f>
        <v>3584107.3253094642</v>
      </c>
      <c r="I54" s="63" t="s">
        <v>277</v>
      </c>
    </row>
    <row r="55" spans="2:9">
      <c r="B55" s="10" t="s">
        <v>23</v>
      </c>
      <c r="C55" s="50" t="e">
        <f>#REF!</f>
        <v>#REF!</v>
      </c>
      <c r="D55" s="68">
        <f>MIN(D46,MAX(D53*D$80,D49+D54))</f>
        <v>937500</v>
      </c>
      <c r="E55" s="68">
        <f>MIN(E46,MAX(E53*E$80,E49+E54))</f>
        <v>3584107.3253094642</v>
      </c>
      <c r="F55" s="68">
        <f>MIN(F46,MAX(F53*F$80,F49+F54))</f>
        <v>3711765.5007774741</v>
      </c>
      <c r="G55" s="68">
        <f>MIN(G46,MAX(G53*G$80,G49+G54))</f>
        <v>6495589.6263605794</v>
      </c>
      <c r="H55" s="68">
        <f>MIN(H46,MAX(H53*H$80,H49+H54))</f>
        <v>10480390.784719847</v>
      </c>
      <c r="I55" s="30" t="s">
        <v>278</v>
      </c>
    </row>
    <row r="56" spans="2:9">
      <c r="B56" s="10" t="s">
        <v>19</v>
      </c>
      <c r="C56" s="50" t="e">
        <f>#REF!</f>
        <v>#REF!</v>
      </c>
      <c r="D56" s="78">
        <f>IFERROR(D55/D51,0)</f>
        <v>0.1883314138595775</v>
      </c>
      <c r="E56" s="78">
        <f>IFERROR(E55/E51,0)</f>
        <v>0.72000000000000008</v>
      </c>
      <c r="F56" s="78">
        <f>IFERROR(F55/F51,0)</f>
        <v>0.745644847655066</v>
      </c>
      <c r="G56" s="78">
        <f>IFERROR(G55/G51,0)</f>
        <v>1.3048784833963654</v>
      </c>
      <c r="H56" s="78">
        <f>IFERROR(H55/H51,0)</f>
        <v>2.1053726019063208</v>
      </c>
      <c r="I56" s="30" t="s">
        <v>279</v>
      </c>
    </row>
    <row r="57" spans="2:9">
      <c r="B57" s="10"/>
      <c r="D57" s="11"/>
      <c r="E57" s="11"/>
      <c r="F57" s="68"/>
      <c r="G57" s="68"/>
      <c r="H57" s="11"/>
    </row>
    <row r="58" spans="2:9">
      <c r="B58" s="9" t="s">
        <v>192</v>
      </c>
      <c r="D58" s="68"/>
      <c r="E58" s="68"/>
      <c r="F58" s="11"/>
      <c r="G58" s="11"/>
      <c r="H58" s="11"/>
    </row>
    <row r="59" spans="2:9">
      <c r="B59" s="10" t="s">
        <v>199</v>
      </c>
      <c r="C59" s="50" t="e">
        <f>#REF!</f>
        <v>#REF!</v>
      </c>
      <c r="D59" s="68">
        <f>IF(D52="no",MAX(0,D46-D49),IF($D34="full participating preferred",MAX(0,D46-D49),IF(AND($D34="participating preferred with a cap",D54&lt;&gt;0),MAX(0,D46-D49),D46)))</f>
        <v>0</v>
      </c>
      <c r="E59" s="68">
        <f>IF(E52="no",MAX(0,E46-E49),IF($D34="full participating preferred",MAX(0,E46-E49),IF(AND($D34="participating preferred with a cap",E54&lt;&gt;0),MAX(0,E46-E49),E46)))</f>
        <v>165892.67469053576</v>
      </c>
      <c r="F59" s="68">
        <f>IF(F52="no",MAX(0,F46-F49),IF($D34="full participating preferred",MAX(0,F46-F49),IF(AND($D34="participating preferred with a cap",F54&lt;&gt;0),MAX(0,F46-F49),F46)))</f>
        <v>11415892.674690535</v>
      </c>
      <c r="G59" s="68">
        <f>IF(G52="no",MAX(0,G46-G49),IF($D34="full participating preferred",MAX(0,G46-G49),IF(AND($D34="participating preferred with a cap",G54&lt;&gt;0),MAX(0,G46-G49),G46)))</f>
        <v>22665892.674690537</v>
      </c>
      <c r="H59" s="68">
        <f>IF(H52="no",MAX(0,H46-H49),IF($D34="full participating preferred",MAX(0,H46-H49),IF(AND($D34="participating preferred with a cap",H54&lt;&gt;0),MAX(0,H46-H49),H46)))</f>
        <v>42353392.674690537</v>
      </c>
      <c r="I59" s="30" t="s">
        <v>280</v>
      </c>
    </row>
    <row r="60" spans="2:9">
      <c r="B60" s="10" t="s">
        <v>204</v>
      </c>
      <c r="C60" s="43" t="s">
        <v>170</v>
      </c>
      <c r="D60" s="68">
        <f>D47-D53</f>
        <v>20116815.729596477</v>
      </c>
      <c r="E60" s="68">
        <f>E47-E53</f>
        <v>20116815.729596477</v>
      </c>
      <c r="F60" s="68">
        <f>F47-F53</f>
        <v>15138888.888888888</v>
      </c>
      <c r="G60" s="68">
        <f>G47-G53</f>
        <v>15138888.888888888</v>
      </c>
      <c r="H60" s="68">
        <f>H47-H53</f>
        <v>15138888.888888888</v>
      </c>
    </row>
    <row r="61" spans="2:9" s="11" customFormat="1">
      <c r="B61" s="57" t="s">
        <v>197</v>
      </c>
      <c r="C61" s="58" t="e">
        <f>#REF!</f>
        <v>#REF!</v>
      </c>
      <c r="D61" s="59">
        <f>IF($D$10="no",MAX(0,D59)/D60*D64,IF($D$34="full participating preferred",MAX(0,D59-D$95)/D60*D64,MAX(0,D59)/D60*D64))</f>
        <v>0</v>
      </c>
      <c r="E61" s="59">
        <f>IF($D$10="no",MAX(0,E59)/E60*E64,IF($D$34="full participating preferred",MAX(0,E59-E$95)/E60*E64,MAX(0,E59)/E60*E64))</f>
        <v>27488.226254825768</v>
      </c>
      <c r="F61" s="59">
        <f>IF($D$10="no",MAX(0,F59)/F60*F64,IF($D$34="full participating preferred",MAX(0,F59-F$95)/F60*F64,MAX(0,F59)/F60*F64))</f>
        <v>2513591.0476382831</v>
      </c>
      <c r="G61" s="59">
        <f>IF($D$10="no",MAX(0,G59)/G60*G64,IF($D$34="full participating preferred",MAX(0,G59-G$95)/G60*G64,MAX(0,G59)/G60*G64))</f>
        <v>4990655.2678217692</v>
      </c>
      <c r="H61" s="59">
        <f>IF($D$10="no",MAX(0,H59)/H60*H64,IF($D$34="full participating preferred",MAX(0,H59-H$95)/H60*H64,MAX(0,H59)/H60*H64))</f>
        <v>9325517.6531428695</v>
      </c>
      <c r="I61" s="62"/>
    </row>
    <row r="62" spans="2:9">
      <c r="B62" s="10" t="s">
        <v>196</v>
      </c>
      <c r="C62" s="50" t="e">
        <f>#REF!</f>
        <v>#REF!</v>
      </c>
      <c r="D62" s="76">
        <f>$E33</f>
        <v>750000</v>
      </c>
      <c r="E62" s="76">
        <f>$E33</f>
        <v>750000</v>
      </c>
      <c r="F62" s="76">
        <f>$E33</f>
        <v>750000</v>
      </c>
      <c r="G62" s="76">
        <f>$E33</f>
        <v>750000</v>
      </c>
      <c r="H62" s="76">
        <f>$E33</f>
        <v>750000</v>
      </c>
    </row>
    <row r="63" spans="2:9">
      <c r="B63" s="10" t="s">
        <v>198</v>
      </c>
      <c r="C63" s="50" t="e">
        <f>#REF!</f>
        <v>#REF!</v>
      </c>
      <c r="D63" s="76" t="str">
        <f>IF($E$34="participating preferred with a cap",$E33*$E35,IF($E$34="full participating preferred",0,"na"))</f>
        <v>na</v>
      </c>
      <c r="E63" s="76" t="str">
        <f>IF($E$34="participating preferred with a cap",$E33*$E35,IF($E$34="full participating preferred",0,"na"))</f>
        <v>na</v>
      </c>
      <c r="F63" s="76" t="str">
        <f>IF($E$34="participating preferred with a cap",$E33*$E35,IF($E$34="full participating preferred",0,"na"))</f>
        <v>na</v>
      </c>
      <c r="G63" s="76" t="str">
        <f>IF($E$34="participating preferred with a cap",$E33*$E35,IF($E$34="full participating preferred",0,"na"))</f>
        <v>na</v>
      </c>
      <c r="H63" s="76" t="str">
        <f>IF($E$34="participating preferred with a cap",$E33*$E35,IF($E$34="full participating preferred",0,"na"))</f>
        <v>na</v>
      </c>
    </row>
    <row r="64" spans="2:9">
      <c r="B64" s="10" t="str">
        <f>"Shares, "&amp;B58</f>
        <v>Shares, Preferred - Seed</v>
      </c>
      <c r="C64" s="50" t="s">
        <v>170</v>
      </c>
      <c r="D64" s="68">
        <f>$E26</f>
        <v>3333333.333333333</v>
      </c>
      <c r="E64" s="68">
        <f>$E26</f>
        <v>3333333.333333333</v>
      </c>
      <c r="F64" s="68">
        <f>$E26</f>
        <v>3333333.333333333</v>
      </c>
      <c r="G64" s="68">
        <f>$E26</f>
        <v>3333333.333333333</v>
      </c>
      <c r="H64" s="68">
        <f>$E26</f>
        <v>3333333.333333333</v>
      </c>
    </row>
    <row r="65" spans="2:9">
      <c r="B65" s="10" t="s">
        <v>203</v>
      </c>
      <c r="C65" s="50" t="s">
        <v>420</v>
      </c>
      <c r="D65" s="77" t="str">
        <f>IF(OR($E$34="full participating preferred",AND($E$34="non participating preferred",D61&gt;D62),IF($D$10="no",AND($E$34="participating preferred with a cap",D59&lt;&gt;0,D59&gt;D64,D64&lt;&gt;0),AND($E$34="participating preferred with a cap",D59&lt;&gt;0,D40&gt;D95,D64&lt;&gt;0))),"yes","no")</f>
        <v>no</v>
      </c>
      <c r="E65" s="77" t="str">
        <f>IF(OR($E$34="full participating preferred",AND($E$34="non participating preferred",E61&gt;E62),IF($D$10="no",AND($E$34="participating preferred with a cap",E59&lt;&gt;0,E59&gt;E64,E64&lt;&gt;0),AND($E$34="participating preferred with a cap",E59&lt;&gt;0,E40&gt;E95,E64&lt;&gt;0))),"yes","no")</f>
        <v>no</v>
      </c>
      <c r="F65" s="77" t="str">
        <f>IF(OR($E$34="full participating preferred",AND($E$34="non participating preferred",F61&gt;F62),IF($D$10="no",AND($E$34="participating preferred with a cap",F59&lt;&gt;0,F59&gt;F64,F64&lt;&gt;0),AND($E$34="participating preferred with a cap",F59&lt;&gt;0,F40&gt;F95,F64&lt;&gt;0))),"yes","no")</f>
        <v>yes</v>
      </c>
      <c r="G65" s="77" t="str">
        <f>IF(OR($E$34="full participating preferred",AND($E$34="non participating preferred",G61&gt;G62),IF($D$10="no",AND($E$34="participating preferred with a cap",G59&lt;&gt;0,G59&gt;G64,G64&lt;&gt;0),AND($E$34="participating preferred with a cap",G59&lt;&gt;0,G40&gt;G95,G64&lt;&gt;0))),"yes","no")</f>
        <v>yes</v>
      </c>
      <c r="H65" s="77" t="str">
        <f>IF(OR($E$34="full participating preferred",AND($E$34="non participating preferred",H61&gt;H62),IF($D$10="no",AND($E$34="participating preferred with a cap",H59&lt;&gt;0,H59&gt;H64,H64&lt;&gt;0),AND($E$34="participating preferred with a cap",H59&lt;&gt;0,H40&gt;H95,H64&lt;&gt;0))),"yes","no")</f>
        <v>yes</v>
      </c>
    </row>
    <row r="66" spans="2:9">
      <c r="B66" s="10" t="s">
        <v>202</v>
      </c>
      <c r="C66" s="50" t="s">
        <v>170</v>
      </c>
      <c r="D66" s="68">
        <f>IF(D65="yes",D64,0)</f>
        <v>0</v>
      </c>
      <c r="E66" s="68">
        <f>IF(E65="yes",E64,0)</f>
        <v>0</v>
      </c>
      <c r="F66" s="68">
        <f>IF(F65="yes",F64,0)</f>
        <v>3333333.333333333</v>
      </c>
      <c r="G66" s="68">
        <f>IF(G65="yes",G64,0)</f>
        <v>3333333.333333333</v>
      </c>
      <c r="H66" s="68">
        <f>IF(H65="yes",H64,0)</f>
        <v>3333333.333333333</v>
      </c>
    </row>
    <row r="67" spans="2:9" s="11" customFormat="1">
      <c r="B67" s="57" t="s">
        <v>200</v>
      </c>
      <c r="C67" s="58" t="e">
        <f>#REF!</f>
        <v>#REF!</v>
      </c>
      <c r="D67" s="59">
        <f>IF($E$34="full participating preferred",IF($D10="no",D66/$H$26*MAX(0,IF(D$40&lt;=$H$33,0,D59-D$95)),D66*D$80),IF($E$34="participating preferred with a cap",IF($D10="no",MIN(MAX(0,D61-D62),D63),IF(D61&gt;D63,0,MAX(0,IF($D10="no",D66/$H$26*MAX(0,IF(D$40&lt;=$H$33,0,D59-D$95))),D66*D$80))),0))</f>
        <v>0</v>
      </c>
      <c r="E67" s="59">
        <f>IF($E$34="full participating preferred",IF($D10="no",E66/$H$26*MAX(0,IF(E$40&lt;=$H$33,0,E59-E$95)),E66*E$80),IF($E$34="participating preferred with a cap",IF($D10="no",MIN(MAX(0,E61-E62),E63),IF(E61&gt;E63,0,MAX(0,IF($D10="no",E66/$H$26*MAX(0,IF(E$40&lt;=$H$33,0,E59-E$95))),E66*E$80))),0))</f>
        <v>0</v>
      </c>
      <c r="F67" s="59">
        <f>IF($E$34="full participating preferred",IF($D10="no",F66/$H$26*MAX(0,IF(F$40&lt;=$H$33,0,F59-F$95)),F66*F$80),IF($E$34="participating preferred with a cap",IF($D10="no",MIN(MAX(0,F61-F62),F63),IF(F61&gt;F63,0,MAX(0,IF($D10="no",F66/$H$26*MAX(0,IF(F$40&lt;=$H$33,0,F59-F$95))),F66*F$80))),0))</f>
        <v>0</v>
      </c>
      <c r="G67" s="59">
        <f>IF($E$34="full participating preferred",IF($D10="no",G66/$H$26*MAX(0,IF(G$40&lt;=$H$33,0,G59-G$95)),G66*G$80),IF($E$34="participating preferred with a cap",IF($D10="no",MIN(MAX(0,G61-G62),G63),IF(G61&gt;G63,0,MAX(0,IF($D10="no",G66/$H$26*MAX(0,IF(G$40&lt;=$H$33,0,G59-G$95))),G66*G$80))),0))</f>
        <v>0</v>
      </c>
      <c r="H67" s="59">
        <f>IF($E$34="full participating preferred",IF($D10="no",H66/$H$26*MAX(0,IF(H$40&lt;=$H$33,0,H59-H$95)),H66*H$80),IF($E$34="participating preferred with a cap",IF($D10="no",MIN(MAX(0,H61-H62),H63),IF(H61&gt;H63,0,MAX(0,IF($D10="no",H66/$H$26*MAX(0,IF(H$40&lt;=$H$33,0,H59-H$95))),H66*H$80))),0))</f>
        <v>0</v>
      </c>
      <c r="I67" s="62"/>
    </row>
    <row r="68" spans="2:9">
      <c r="B68" s="10" t="s">
        <v>23</v>
      </c>
      <c r="C68" s="50" t="e">
        <f>#REF!</f>
        <v>#REF!</v>
      </c>
      <c r="D68" s="68">
        <f>MIN(D59,MAX(D66*D$80,D62+D67))</f>
        <v>0</v>
      </c>
      <c r="E68" s="68">
        <f>MIN(E59,MAX(E66*E$80,E62+E67))</f>
        <v>165892.67469053576</v>
      </c>
      <c r="F68" s="68">
        <f>MIN(F59,MAX(F66*F$80,F62+F67))</f>
        <v>1891600.3453924903</v>
      </c>
      <c r="G68" s="68">
        <f>MIN(G59,MAX(G66*G$80,G62+G67))</f>
        <v>3755712.4645301555</v>
      </c>
      <c r="H68" s="68">
        <f>MIN(H59,MAX(H66*H$80,H62+H67))</f>
        <v>7017908.6730210688</v>
      </c>
    </row>
    <row r="69" spans="2:9">
      <c r="B69" s="10" t="s">
        <v>19</v>
      </c>
      <c r="C69" s="50" t="e">
        <f>#REF!</f>
        <v>#REF!</v>
      </c>
      <c r="D69" s="78">
        <f>IFERROR(D68/D64,0)</f>
        <v>0</v>
      </c>
      <c r="E69" s="78">
        <f>IFERROR(E68/E64,0)</f>
        <v>4.9767802407160729E-2</v>
      </c>
      <c r="F69" s="78">
        <f>IFERROR(F68/F64,0)</f>
        <v>0.56748010361774714</v>
      </c>
      <c r="G69" s="78">
        <f>IFERROR(G68/G64,0)</f>
        <v>1.1267137393590467</v>
      </c>
      <c r="H69" s="78">
        <f>IFERROR(H68/H64,0)</f>
        <v>2.1053726019063208</v>
      </c>
    </row>
    <row r="70" spans="2:9">
      <c r="D70" s="11"/>
      <c r="E70" s="11"/>
      <c r="F70" s="59"/>
      <c r="G70" s="11"/>
      <c r="H70" s="11"/>
    </row>
    <row r="71" spans="2:9">
      <c r="B71" s="9" t="s">
        <v>21</v>
      </c>
      <c r="D71" s="11"/>
      <c r="E71" s="11"/>
      <c r="F71" s="59"/>
      <c r="G71" s="11"/>
      <c r="H71" s="11"/>
    </row>
    <row r="72" spans="2:9">
      <c r="B72" s="10" t="s">
        <v>199</v>
      </c>
      <c r="C72" s="50" t="e">
        <f>#REF!</f>
        <v>#REF!</v>
      </c>
      <c r="D72" s="68">
        <f>IF(D65="no",MAX(0,D59-D62),IF($E34="full participating preferred",MAX(0,D59-D62),IF(AND($E34="participating preferred with a cap",D67&lt;&gt;0),MAX(0,D59-D62),D59)))</f>
        <v>0</v>
      </c>
      <c r="E72" s="68">
        <f>IF(E65="no",MAX(0,E59-E62),IF($E34="full participating preferred",MAX(0,E59-E62),IF(AND($E34="participating preferred with a cap",E67&lt;&gt;0),MAX(0,E59-E62),E59)))</f>
        <v>0</v>
      </c>
      <c r="F72" s="68">
        <f>IF(F65="no",MAX(0,F59-F62),IF($E34="full participating preferred",MAX(0,F59-F62),IF(AND($E34="participating preferred with a cap",F67&lt;&gt;0),MAX(0,F59-F62),F59)))</f>
        <v>11415892.674690535</v>
      </c>
      <c r="G72" s="68">
        <f>IF(G65="no",MAX(0,G59-G62),IF($E34="full participating preferred",MAX(0,G59-G62),IF(AND($E34="participating preferred with a cap",G67&lt;&gt;0),MAX(0,G59-G62),G59)))</f>
        <v>22665892.674690537</v>
      </c>
      <c r="H72" s="68">
        <f>IF(H65="no",MAX(0,H59-H62),IF($E34="full participating preferred",MAX(0,H59-H62),IF(AND($E34="participating preferred with a cap",H67&lt;&gt;0),MAX(0,H59-H62),H59)))</f>
        <v>42353392.674690537</v>
      </c>
    </row>
    <row r="73" spans="2:9">
      <c r="B73" s="10" t="s">
        <v>204</v>
      </c>
      <c r="C73" s="43" t="s">
        <v>170</v>
      </c>
      <c r="D73" s="68">
        <f>D60-D66</f>
        <v>20116815.729596477</v>
      </c>
      <c r="E73" s="68">
        <f>E60-E66</f>
        <v>20116815.729596477</v>
      </c>
      <c r="F73" s="68">
        <f>F60-F66</f>
        <v>11805555.555555556</v>
      </c>
      <c r="G73" s="68">
        <f>G60-G66</f>
        <v>11805555.555555556</v>
      </c>
      <c r="H73" s="68">
        <f>H60-H66</f>
        <v>11805555.555555556</v>
      </c>
    </row>
    <row r="74" spans="2:9">
      <c r="B74" s="10" t="s">
        <v>197</v>
      </c>
      <c r="C74" s="50" t="e">
        <f>#REF!</f>
        <v>#REF!</v>
      </c>
      <c r="D74" s="59">
        <f>D72</f>
        <v>0</v>
      </c>
      <c r="E74" s="59">
        <f>E72</f>
        <v>0</v>
      </c>
      <c r="F74" s="59">
        <f>F72</f>
        <v>11415892.674690535</v>
      </c>
      <c r="G74" s="59">
        <f>G72</f>
        <v>22665892.674690537</v>
      </c>
      <c r="H74" s="59">
        <f>H72</f>
        <v>42353392.674690537</v>
      </c>
    </row>
    <row r="75" spans="2:9">
      <c r="B75" s="10" t="s">
        <v>205</v>
      </c>
      <c r="C75" s="50" t="s">
        <v>170</v>
      </c>
      <c r="D75" s="59">
        <f>$F26+$G26</f>
        <v>11805555.555555554</v>
      </c>
      <c r="E75" s="59">
        <f>$F26+$G26</f>
        <v>11805555.555555554</v>
      </c>
      <c r="F75" s="59">
        <f>$F26+$G26</f>
        <v>11805555.555555554</v>
      </c>
      <c r="G75" s="59">
        <f>$F26+$G26</f>
        <v>11805555.555555554</v>
      </c>
      <c r="H75" s="59">
        <f>$F26+$G26</f>
        <v>11805555.555555554</v>
      </c>
    </row>
    <row r="76" spans="2:9">
      <c r="B76" s="10" t="s">
        <v>209</v>
      </c>
      <c r="C76" s="50" t="s">
        <v>170</v>
      </c>
      <c r="D76" s="59">
        <f>D53+D66</f>
        <v>0</v>
      </c>
      <c r="E76" s="59">
        <f>E53+E66</f>
        <v>0</v>
      </c>
      <c r="F76" s="59">
        <f>F53+F66</f>
        <v>8311260.174040922</v>
      </c>
      <c r="G76" s="59">
        <f>G53+G66</f>
        <v>8311260.174040922</v>
      </c>
      <c r="H76" s="59">
        <f>H53+H66</f>
        <v>8311260.174040922</v>
      </c>
    </row>
    <row r="77" spans="2:9">
      <c r="B77" s="10" t="s">
        <v>0</v>
      </c>
      <c r="C77" s="50" t="s">
        <v>170</v>
      </c>
      <c r="D77" s="68">
        <f>D76+D75</f>
        <v>11805555.555555554</v>
      </c>
      <c r="E77" s="68">
        <f>E76+E75</f>
        <v>11805555.555555554</v>
      </c>
      <c r="F77" s="68">
        <f>F76+F75</f>
        <v>20116815.729596477</v>
      </c>
      <c r="G77" s="68">
        <f>G76+G75</f>
        <v>20116815.729596477</v>
      </c>
      <c r="H77" s="68">
        <f>H76+H75</f>
        <v>20116815.729596477</v>
      </c>
    </row>
    <row r="78" spans="2:9">
      <c r="B78" s="57" t="s">
        <v>201</v>
      </c>
      <c r="C78" s="50" t="e">
        <f>#REF!</f>
        <v>#REF!</v>
      </c>
      <c r="D78" s="68">
        <f>D72</f>
        <v>0</v>
      </c>
      <c r="E78" s="68">
        <f>E72</f>
        <v>0</v>
      </c>
      <c r="F78" s="68">
        <f>F72</f>
        <v>11415892.674690535</v>
      </c>
      <c r="G78" s="68">
        <f>G72</f>
        <v>22665892.674690537</v>
      </c>
      <c r="H78" s="68">
        <f>H72</f>
        <v>42353392.674690537</v>
      </c>
    </row>
    <row r="79" spans="2:9">
      <c r="B79" s="10" t="s">
        <v>23</v>
      </c>
      <c r="C79" s="50" t="e">
        <f>#REF!</f>
        <v>#REF!</v>
      </c>
      <c r="D79" s="68">
        <f>D80*D75</f>
        <v>0</v>
      </c>
      <c r="E79" s="68">
        <f>E80*E75</f>
        <v>0</v>
      </c>
      <c r="F79" s="68">
        <f>F80*F75</f>
        <v>6699417.8899317365</v>
      </c>
      <c r="G79" s="68">
        <f>G80*G75</f>
        <v>13301481.645210966</v>
      </c>
      <c r="H79" s="68">
        <f>H80*H75</f>
        <v>24855093.216949619</v>
      </c>
    </row>
    <row r="80" spans="2:9">
      <c r="B80" s="10" t="s">
        <v>19</v>
      </c>
      <c r="C80" s="50" t="e">
        <f>#REF!</f>
        <v>#REF!</v>
      </c>
      <c r="D80" s="78">
        <f>D78/D77</f>
        <v>0</v>
      </c>
      <c r="E80" s="78">
        <f>E78/E77</f>
        <v>0</v>
      </c>
      <c r="F80" s="78">
        <f>F78/F77</f>
        <v>0.56748010361774714</v>
      </c>
      <c r="G80" s="78">
        <f>G78/G77</f>
        <v>1.1267137393590467</v>
      </c>
      <c r="H80" s="78">
        <f>H78/H77</f>
        <v>2.1053726019063208</v>
      </c>
      <c r="I80" s="30"/>
    </row>
    <row r="81" spans="2:9">
      <c r="D81" s="11"/>
      <c r="E81" s="11"/>
      <c r="F81" s="11"/>
      <c r="G81" s="11"/>
      <c r="H81" s="11"/>
      <c r="I81" s="30"/>
    </row>
    <row r="82" spans="2:9">
      <c r="B82" s="10" t="s">
        <v>213</v>
      </c>
      <c r="C82" s="50" t="e">
        <f>#REF!</f>
        <v>#REF!</v>
      </c>
      <c r="D82" s="70">
        <f>D79+D68+D55</f>
        <v>937500</v>
      </c>
      <c r="E82" s="70">
        <f>E79+E68+E55</f>
        <v>3750000</v>
      </c>
      <c r="F82" s="70">
        <f>F79+F68+F55</f>
        <v>12302783.7361017</v>
      </c>
      <c r="G82" s="70">
        <f>G79+G68+G55</f>
        <v>23552783.736101702</v>
      </c>
      <c r="H82" s="70">
        <f>H79+H68+H55</f>
        <v>42353392.674690537</v>
      </c>
      <c r="I82" s="30" t="s">
        <v>281</v>
      </c>
    </row>
    <row r="83" spans="2:9" s="34" customFormat="1">
      <c r="B83" s="9" t="s">
        <v>249</v>
      </c>
      <c r="C83" s="71" t="e">
        <f>#REF!</f>
        <v>#REF!</v>
      </c>
      <c r="D83" s="79">
        <f>D40-D82</f>
        <v>0</v>
      </c>
      <c r="E83" s="79">
        <f t="shared" ref="E83:H83" si="2">E40-E82</f>
        <v>0</v>
      </c>
      <c r="F83" s="79">
        <f t="shared" si="2"/>
        <v>2697216.2638983</v>
      </c>
      <c r="G83" s="79">
        <f t="shared" si="2"/>
        <v>2697216.2638982981</v>
      </c>
      <c r="H83" s="79">
        <f t="shared" si="2"/>
        <v>3584107.3253094628</v>
      </c>
      <c r="I83" s="9" t="s">
        <v>248</v>
      </c>
    </row>
    <row r="84" spans="2:9">
      <c r="D84" s="68"/>
      <c r="E84" s="11"/>
      <c r="F84" s="11"/>
      <c r="G84" s="11"/>
      <c r="H84" s="11"/>
      <c r="I84" s="30"/>
    </row>
    <row r="85" spans="2:9">
      <c r="B85" s="9" t="s">
        <v>208</v>
      </c>
      <c r="D85" s="11"/>
      <c r="E85" s="11"/>
      <c r="F85" s="11"/>
      <c r="G85" s="11"/>
      <c r="H85" s="11"/>
      <c r="I85" s="30"/>
    </row>
    <row r="86" spans="2:9">
      <c r="B86" s="10" t="str">
        <f>B45</f>
        <v>Preferred - A</v>
      </c>
      <c r="C86" s="50" t="e">
        <f>#REF!</f>
        <v>#REF!</v>
      </c>
      <c r="D86" s="68">
        <f>D55</f>
        <v>937500</v>
      </c>
      <c r="E86" s="68">
        <f>E55</f>
        <v>3584107.3253094642</v>
      </c>
      <c r="F86" s="68">
        <f>F55</f>
        <v>3711765.5007774741</v>
      </c>
      <c r="G86" s="68">
        <f>G55</f>
        <v>6495589.6263605794</v>
      </c>
      <c r="H86" s="68">
        <f>H55</f>
        <v>10480390.784719847</v>
      </c>
      <c r="I86" s="30"/>
    </row>
    <row r="87" spans="2:9">
      <c r="B87" s="10" t="str">
        <f>B58</f>
        <v>Preferred - Seed</v>
      </c>
      <c r="C87" s="50" t="e">
        <f>#REF!</f>
        <v>#REF!</v>
      </c>
      <c r="D87" s="68">
        <f>D68</f>
        <v>0</v>
      </c>
      <c r="E87" s="68">
        <f>E68</f>
        <v>165892.67469053576</v>
      </c>
      <c r="F87" s="68">
        <f>F68</f>
        <v>1891600.3453924903</v>
      </c>
      <c r="G87" s="68">
        <f>G68</f>
        <v>3755712.4645301555</v>
      </c>
      <c r="H87" s="68">
        <f>H68</f>
        <v>7017908.6730210688</v>
      </c>
      <c r="I87" s="30"/>
    </row>
    <row r="88" spans="2:9">
      <c r="B88" s="10" t="str">
        <f>B71&amp;" (including Options)"</f>
        <v>Common (including Options)</v>
      </c>
      <c r="C88" s="50" t="e">
        <f>#REF!</f>
        <v>#REF!</v>
      </c>
      <c r="D88" s="68">
        <f>D79</f>
        <v>0</v>
      </c>
      <c r="E88" s="68">
        <f>E79</f>
        <v>0</v>
      </c>
      <c r="F88" s="68">
        <f>F79</f>
        <v>6699417.8899317365</v>
      </c>
      <c r="G88" s="68">
        <f>G79</f>
        <v>13301481.645210966</v>
      </c>
      <c r="H88" s="68">
        <f>H79</f>
        <v>24855093.216949619</v>
      </c>
      <c r="I88" s="30"/>
    </row>
    <row r="89" spans="2:9">
      <c r="B89" s="57" t="s">
        <v>20</v>
      </c>
      <c r="C89" s="50" t="e">
        <f>#REF!</f>
        <v>#REF!</v>
      </c>
      <c r="D89" s="70">
        <f>SUM(D86:D88)</f>
        <v>937500</v>
      </c>
      <c r="E89" s="70">
        <f>SUM(E86:E88)</f>
        <v>3750000</v>
      </c>
      <c r="F89" s="70">
        <f>SUM(F86:F88)</f>
        <v>12302783.736101702</v>
      </c>
      <c r="G89" s="70">
        <f>SUM(G86:G88)</f>
        <v>23552783.736101702</v>
      </c>
      <c r="H89" s="70">
        <f>SUM(H86:H88)</f>
        <v>42353392.674690537</v>
      </c>
      <c r="I89" s="30" t="s">
        <v>282</v>
      </c>
    </row>
    <row r="90" spans="2:9">
      <c r="B90" s="11"/>
      <c r="D90" s="11"/>
      <c r="E90" s="11"/>
      <c r="F90" s="11"/>
      <c r="G90" s="11"/>
      <c r="H90" s="11"/>
      <c r="I90" s="30"/>
    </row>
    <row r="91" spans="2:9">
      <c r="B91" s="129" t="s">
        <v>247</v>
      </c>
      <c r="D91" s="63"/>
      <c r="E91" s="63"/>
      <c r="F91" s="63"/>
      <c r="G91" s="63"/>
      <c r="H91" s="63"/>
      <c r="I91" s="30"/>
    </row>
    <row r="92" spans="2:9">
      <c r="B92" s="57" t="str">
        <f>B45</f>
        <v>Preferred - A</v>
      </c>
      <c r="C92" s="50" t="e">
        <f>#REF!</f>
        <v>#REF!</v>
      </c>
      <c r="D92" s="68">
        <f>IF($D$34="full participating preferred",MIN(D46,$D33),IF($D$34="participating preferred with a cap",IF(AND(D54=0,D48&gt;D49),0,MIN(D46,$D33)),IF(D48&gt;D49,0,MIN(D46,$D33))))</f>
        <v>937500</v>
      </c>
      <c r="E92" s="68">
        <f t="shared" ref="E92:H92" si="3">IF($D$34="full participating preferred",MIN(E46,$D33),IF($D$34="participating preferred with a cap",IF(AND(E54=0,E48&gt;E49),0,MIN(E46,$D33)),IF(E48&gt;E49,0,MIN(E46,$D33))))</f>
        <v>3584107.3253094642</v>
      </c>
      <c r="F92" s="68">
        <f t="shared" si="3"/>
        <v>3584107.3253094642</v>
      </c>
      <c r="G92" s="68">
        <f t="shared" si="3"/>
        <v>3584107.3253094642</v>
      </c>
      <c r="H92" s="68">
        <f t="shared" si="3"/>
        <v>3584107.3253094642</v>
      </c>
      <c r="I92" s="30" t="s">
        <v>283</v>
      </c>
    </row>
    <row r="93" spans="2:9">
      <c r="B93" s="57" t="str">
        <f>B58</f>
        <v>Preferred - Seed</v>
      </c>
      <c r="C93" s="50" t="e">
        <f>#REF!</f>
        <v>#REF!</v>
      </c>
      <c r="D93" s="68">
        <f>IF($E$34="full participating preferred",MIN(D59,$E33),IF($E$34="participating preferred with a cap",IF(AND(D67=0,D61&gt;D62),0,MIN(D59,$E33)),IF(D61&gt;D62,0,MIN(D59,$E33))))</f>
        <v>0</v>
      </c>
      <c r="E93" s="68">
        <f t="shared" ref="E93:H93" si="4">IF($E$34="full participating preferred",MIN(E59,$E33),IF($E$34="participating preferred with a cap",IF(AND(E67=0,E61&gt;E62),0,MIN(E59,$E33)),IF(E61&gt;E62,0,MIN(E59,$E33))))</f>
        <v>165892.67469053576</v>
      </c>
      <c r="F93" s="68">
        <f t="shared" si="4"/>
        <v>0</v>
      </c>
      <c r="G93" s="68">
        <f t="shared" si="4"/>
        <v>0</v>
      </c>
      <c r="H93" s="68">
        <f t="shared" si="4"/>
        <v>0</v>
      </c>
      <c r="I93" s="68" t="s">
        <v>412</v>
      </c>
    </row>
    <row r="94" spans="2:9">
      <c r="B94" s="57" t="str">
        <f>B71&amp;" (including Options)"</f>
        <v>Common (including Options)</v>
      </c>
      <c r="C94" s="50" t="e">
        <f>#REF!</f>
        <v>#REF!</v>
      </c>
      <c r="D94" s="68">
        <v>0</v>
      </c>
      <c r="E94" s="68">
        <v>0</v>
      </c>
      <c r="F94" s="68">
        <v>0</v>
      </c>
      <c r="G94" s="68">
        <v>0</v>
      </c>
      <c r="H94" s="68">
        <v>0</v>
      </c>
      <c r="I94" s="68" t="s">
        <v>411</v>
      </c>
    </row>
    <row r="95" spans="2:9">
      <c r="B95" s="57" t="s">
        <v>20</v>
      </c>
      <c r="C95" s="50" t="e">
        <f>#REF!</f>
        <v>#REF!</v>
      </c>
      <c r="D95" s="70">
        <f>SUM(D92:D94)</f>
        <v>937500</v>
      </c>
      <c r="E95" s="70">
        <f>SUM(E92:E94)</f>
        <v>3750000</v>
      </c>
      <c r="F95" s="70">
        <f>SUM(F92:F94)</f>
        <v>3584107.3253094642</v>
      </c>
      <c r="G95" s="70">
        <f>SUM(G92:G94)</f>
        <v>3584107.3253094642</v>
      </c>
      <c r="H95" s="70">
        <f>SUM(H92:H94)</f>
        <v>3584107.3253094642</v>
      </c>
      <c r="I95" s="30"/>
    </row>
    <row r="96" spans="2:9">
      <c r="D96" s="11"/>
      <c r="E96" s="11"/>
      <c r="F96" s="11"/>
      <c r="G96" s="11"/>
      <c r="H96" s="11"/>
      <c r="I96" s="30"/>
    </row>
    <row r="97" spans="2:9">
      <c r="D97" s="11"/>
      <c r="E97" s="11"/>
      <c r="F97" s="11"/>
      <c r="G97" s="11"/>
      <c r="H97" s="11"/>
      <c r="I97" s="30"/>
    </row>
    <row r="98" spans="2:9">
      <c r="B98" s="47" t="s">
        <v>206</v>
      </c>
      <c r="D98" s="11"/>
      <c r="E98" s="11"/>
      <c r="F98" s="11"/>
      <c r="G98" s="11"/>
      <c r="H98" s="11"/>
      <c r="I98" s="30" t="s">
        <v>284</v>
      </c>
    </row>
    <row r="99" spans="2:9">
      <c r="B99" s="34"/>
      <c r="D99" s="11"/>
      <c r="E99" s="11"/>
      <c r="F99" s="11"/>
      <c r="G99" s="11"/>
      <c r="H99" s="11"/>
      <c r="I99" s="30"/>
    </row>
    <row r="100" spans="2:9">
      <c r="B100" s="6" t="str">
        <f>B$16</f>
        <v>A Investor</v>
      </c>
      <c r="C100" s="50" t="e">
        <f>#REF!</f>
        <v>#REF!</v>
      </c>
      <c r="D100" s="59">
        <f t="shared" ref="D100:H107" si="5">D$56*$D16+$E16*D$69+($F16+$G16)*D$80</f>
        <v>784714.22441490612</v>
      </c>
      <c r="E100" s="59">
        <f t="shared" si="5"/>
        <v>3000000</v>
      </c>
      <c r="F100" s="59">
        <f t="shared" si="5"/>
        <v>3106853.5318961078</v>
      </c>
      <c r="G100" s="59">
        <f t="shared" si="5"/>
        <v>5436993.680818188</v>
      </c>
      <c r="H100" s="59">
        <f t="shared" si="5"/>
        <v>8772385.8412763346</v>
      </c>
    </row>
    <row r="101" spans="2:9">
      <c r="B101" s="6" t="str">
        <f>B$17</f>
        <v>Seed Investor</v>
      </c>
      <c r="C101" s="50" t="e">
        <f>#REF!</f>
        <v>#REF!</v>
      </c>
      <c r="D101" s="59">
        <f t="shared" si="5"/>
        <v>152785.77558509397</v>
      </c>
      <c r="E101" s="59">
        <f t="shared" si="5"/>
        <v>694702.44176982192</v>
      </c>
      <c r="F101" s="59">
        <f t="shared" si="5"/>
        <v>1865978.8658096935</v>
      </c>
      <c r="G101" s="59">
        <f t="shared" si="5"/>
        <v>3562404.2552291611</v>
      </c>
      <c r="H101" s="59">
        <f t="shared" si="5"/>
        <v>6386610.7254575584</v>
      </c>
      <c r="I101" s="30"/>
    </row>
    <row r="102" spans="2:9">
      <c r="B102" s="6" t="str">
        <f>B$18&amp;" (Preferred and Common)"</f>
        <v>Seed Investor 2 (Preferred and Common)</v>
      </c>
      <c r="C102" s="50" t="e">
        <f>#REF!</f>
        <v>#REF!</v>
      </c>
      <c r="D102" s="59">
        <f t="shared" si="5"/>
        <v>0</v>
      </c>
      <c r="E102" s="59">
        <f t="shared" si="5"/>
        <v>55297.558230178583</v>
      </c>
      <c r="F102" s="59">
        <f t="shared" si="5"/>
        <v>709350.12952218391</v>
      </c>
      <c r="G102" s="59">
        <f t="shared" si="5"/>
        <v>1408392.1741988081</v>
      </c>
      <c r="H102" s="59">
        <f t="shared" si="5"/>
        <v>2631715.7523829006</v>
      </c>
      <c r="I102" s="30"/>
    </row>
    <row r="103" spans="2:9">
      <c r="B103" s="6" t="str">
        <f>B$19</f>
        <v>Co-Founder</v>
      </c>
      <c r="C103" s="50" t="e">
        <f>#REF!</f>
        <v>#REF!</v>
      </c>
      <c r="D103" s="59">
        <f t="shared" si="5"/>
        <v>0</v>
      </c>
      <c r="E103" s="59">
        <f t="shared" si="5"/>
        <v>0</v>
      </c>
      <c r="F103" s="59">
        <f t="shared" si="5"/>
        <v>3404880.621706483</v>
      </c>
      <c r="G103" s="59">
        <f t="shared" si="5"/>
        <v>6760282.4361542808</v>
      </c>
      <c r="H103" s="59">
        <f t="shared" si="5"/>
        <v>12632235.611437924</v>
      </c>
      <c r="I103" s="30"/>
    </row>
    <row r="104" spans="2:9">
      <c r="B104" s="6" t="str">
        <f>B$20</f>
        <v>Co-Founder</v>
      </c>
      <c r="C104" s="50" t="e">
        <f>#REF!</f>
        <v>#REF!</v>
      </c>
      <c r="D104" s="59">
        <f t="shared" si="5"/>
        <v>0</v>
      </c>
      <c r="E104" s="59">
        <f t="shared" si="5"/>
        <v>0</v>
      </c>
      <c r="F104" s="59">
        <f t="shared" si="5"/>
        <v>1702440.3108532415</v>
      </c>
      <c r="G104" s="59">
        <f t="shared" si="5"/>
        <v>3380141.2180771404</v>
      </c>
      <c r="H104" s="59">
        <f t="shared" si="5"/>
        <v>6316117.8057189621</v>
      </c>
      <c r="I104" s="30"/>
    </row>
    <row r="105" spans="2:9">
      <c r="B105" s="6" t="str">
        <f>B$21</f>
        <v>Employee</v>
      </c>
      <c r="C105" s="50" t="e">
        <f>#REF!</f>
        <v>#REF!</v>
      </c>
      <c r="D105" s="59">
        <f t="shared" si="5"/>
        <v>0</v>
      </c>
      <c r="E105" s="59">
        <f t="shared" si="5"/>
        <v>0</v>
      </c>
      <c r="F105" s="59">
        <f t="shared" si="5"/>
        <v>397236.07253242307</v>
      </c>
      <c r="G105" s="59">
        <f t="shared" si="5"/>
        <v>788699.61755133281</v>
      </c>
      <c r="H105" s="59">
        <f t="shared" si="5"/>
        <v>1473760.8213344249</v>
      </c>
      <c r="I105" s="30"/>
    </row>
    <row r="106" spans="2:9">
      <c r="B106" s="6" t="str">
        <f>B$22</f>
        <v>Employee</v>
      </c>
      <c r="C106" s="50" t="e">
        <f>#REF!</f>
        <v>#REF!</v>
      </c>
      <c r="D106" s="59">
        <f t="shared" si="5"/>
        <v>0</v>
      </c>
      <c r="E106" s="59">
        <f t="shared" si="5"/>
        <v>0</v>
      </c>
      <c r="F106" s="59">
        <f t="shared" si="5"/>
        <v>170244.03108532415</v>
      </c>
      <c r="G106" s="59">
        <f t="shared" si="5"/>
        <v>338014.12180771399</v>
      </c>
      <c r="H106" s="59">
        <f t="shared" si="5"/>
        <v>631611.78057189623</v>
      </c>
      <c r="I106" s="30"/>
    </row>
    <row r="107" spans="2:9">
      <c r="B107" s="6" t="str">
        <f>B$23</f>
        <v>Options Granted and Exercised</v>
      </c>
      <c r="C107" s="50" t="e">
        <f>#REF!</f>
        <v>#REF!</v>
      </c>
      <c r="D107" s="59">
        <f t="shared" si="5"/>
        <v>0</v>
      </c>
      <c r="E107" s="59">
        <f t="shared" si="5"/>
        <v>0</v>
      </c>
      <c r="F107" s="59">
        <f t="shared" si="5"/>
        <v>945800.17269624514</v>
      </c>
      <c r="G107" s="59">
        <f t="shared" si="5"/>
        <v>1877856.2322650778</v>
      </c>
      <c r="H107" s="59">
        <f t="shared" si="5"/>
        <v>3508954.3365105344</v>
      </c>
      <c r="I107" s="30"/>
    </row>
    <row r="108" spans="2:9">
      <c r="B108" s="6" t="s">
        <v>20</v>
      </c>
      <c r="C108" s="50" t="e">
        <f>#REF!</f>
        <v>#REF!</v>
      </c>
      <c r="D108" s="70">
        <f>SUM(D100:D107)</f>
        <v>937500.00000000012</v>
      </c>
      <c r="E108" s="70">
        <f t="shared" ref="E108:H108" si="6">SUM(E100:E107)</f>
        <v>3750000.0000000005</v>
      </c>
      <c r="F108" s="70">
        <f t="shared" si="6"/>
        <v>12302783.736101702</v>
      </c>
      <c r="G108" s="70">
        <f t="shared" si="6"/>
        <v>23552783.736101706</v>
      </c>
      <c r="H108" s="70">
        <f t="shared" si="6"/>
        <v>42353392.674690522</v>
      </c>
      <c r="I108" s="30"/>
    </row>
    <row r="109" spans="2:9">
      <c r="B109" s="6"/>
      <c r="C109" s="50"/>
      <c r="D109" s="11"/>
      <c r="E109" s="11"/>
      <c r="F109" s="11"/>
      <c r="G109" s="11"/>
      <c r="H109" s="11"/>
      <c r="I109" s="30"/>
    </row>
    <row r="110" spans="2:9">
      <c r="D110" s="11"/>
      <c r="E110" s="11"/>
      <c r="F110" s="11"/>
      <c r="G110" s="11"/>
      <c r="H110" s="11"/>
      <c r="I110" s="30"/>
    </row>
    <row r="111" spans="2:9">
      <c r="B111" s="47" t="s">
        <v>207</v>
      </c>
      <c r="D111" s="11"/>
      <c r="E111" s="11"/>
      <c r="F111" s="11"/>
      <c r="G111" s="11"/>
      <c r="H111" s="11"/>
      <c r="I111" s="30" t="s">
        <v>285</v>
      </c>
    </row>
    <row r="112" spans="2:9">
      <c r="D112" s="11"/>
      <c r="E112" s="11"/>
      <c r="F112" s="11"/>
      <c r="G112" s="11"/>
      <c r="H112" s="11"/>
      <c r="I112" s="30"/>
    </row>
    <row r="113" spans="2:9">
      <c r="B113" s="6" t="str">
        <f>B$16</f>
        <v>A Investor</v>
      </c>
      <c r="C113" s="43" t="s">
        <v>50</v>
      </c>
      <c r="D113" s="67">
        <f t="shared" ref="D113:H120" si="7">IFERROR((D100-$D16*$D$29-$E16*$E$29)/($D16*$D$29+$E16*$E$29),"na")</f>
        <v>-0.73842859186169796</v>
      </c>
      <c r="E113" s="67">
        <f t="shared" si="7"/>
        <v>0</v>
      </c>
      <c r="F113" s="67">
        <f t="shared" si="7"/>
        <v>3.5617843965369274E-2</v>
      </c>
      <c r="G113" s="67">
        <f t="shared" si="7"/>
        <v>0.81233122693939597</v>
      </c>
      <c r="H113" s="67">
        <f t="shared" si="7"/>
        <v>1.9241286137587783</v>
      </c>
      <c r="I113" s="30" t="s">
        <v>286</v>
      </c>
    </row>
    <row r="114" spans="2:9">
      <c r="B114" s="6" t="str">
        <f>B$17</f>
        <v>Seed Investor</v>
      </c>
      <c r="C114" s="43" t="s">
        <v>50</v>
      </c>
      <c r="D114" s="67">
        <f t="shared" si="7"/>
        <v>-0.85906766607127172</v>
      </c>
      <c r="E114" s="67">
        <f t="shared" si="7"/>
        <v>-0.3591940340671389</v>
      </c>
      <c r="F114" s="67">
        <f t="shared" si="7"/>
        <v>0.72121230273675996</v>
      </c>
      <c r="G114" s="67">
        <f t="shared" si="7"/>
        <v>2.2860254442172061</v>
      </c>
      <c r="H114" s="67">
        <f t="shared" si="7"/>
        <v>4.8911240394344384</v>
      </c>
      <c r="I114" s="30"/>
    </row>
    <row r="115" spans="2:9">
      <c r="B115" s="6" t="str">
        <f>B$18&amp;" (Preferred and Common)"</f>
        <v>Seed Investor 2 (Preferred and Common)</v>
      </c>
      <c r="C115" s="43" t="s">
        <v>50</v>
      </c>
      <c r="D115" s="67">
        <f>IFERROR((D102-$D18*$D$29-$E18*$E$29-$D$29*$F18)/($D18*$D$29+$E18*$E$29+$D$29*$F18),"na")</f>
        <v>-1</v>
      </c>
      <c r="E115" s="67">
        <f>IFERROR((E102-$D18*$D$29-$E18*$E$29-$D$29*$F18)/($D18*$D$29+$E18*$E$29+$D$29*$F18),"na")</f>
        <v>-0.84200697648520395</v>
      </c>
      <c r="F115" s="67">
        <f>IFERROR((F102-$D18*$D$29-$E18*$E$29-$D$29*$F18)/($D18*$D$29+$E18*$E$29+$D$29*$F18),"na")</f>
        <v>1.0267146557776683</v>
      </c>
      <c r="G115" s="67">
        <f>IFERROR((G102-$D18*$D$29-$E18*$E$29-$D$29*$F18)/($D18*$D$29+$E18*$E$29+$D$29*$F18),"na")</f>
        <v>3.0239776405680234</v>
      </c>
      <c r="H115" s="67">
        <f>IFERROR((H102-$D18*$D$29-$E18*$E$29-$D$29*$F18)/($D18*$D$29+$E18*$E$29+$D$29*$F18),"na")</f>
        <v>6.5191878639511449</v>
      </c>
      <c r="I115" s="30" t="s">
        <v>287</v>
      </c>
    </row>
    <row r="116" spans="2:9">
      <c r="B116" s="6" t="str">
        <f>B$19</f>
        <v>Co-Founder</v>
      </c>
      <c r="C116" s="43" t="s">
        <v>50</v>
      </c>
      <c r="D116" s="118" t="str">
        <f t="shared" si="7"/>
        <v>na</v>
      </c>
      <c r="E116" s="118" t="str">
        <f t="shared" si="7"/>
        <v>na</v>
      </c>
      <c r="F116" s="118" t="str">
        <f t="shared" si="7"/>
        <v>na</v>
      </c>
      <c r="G116" s="118" t="str">
        <f t="shared" si="7"/>
        <v>na</v>
      </c>
      <c r="H116" s="118" t="str">
        <f t="shared" si="7"/>
        <v>na</v>
      </c>
      <c r="I116" s="30" t="s">
        <v>288</v>
      </c>
    </row>
    <row r="117" spans="2:9">
      <c r="B117" s="6" t="str">
        <f>B$20</f>
        <v>Co-Founder</v>
      </c>
      <c r="C117" s="43" t="s">
        <v>50</v>
      </c>
      <c r="D117" s="118" t="str">
        <f t="shared" si="7"/>
        <v>na</v>
      </c>
      <c r="E117" s="118" t="str">
        <f t="shared" si="7"/>
        <v>na</v>
      </c>
      <c r="F117" s="118" t="str">
        <f t="shared" si="7"/>
        <v>na</v>
      </c>
      <c r="G117" s="118" t="str">
        <f t="shared" si="7"/>
        <v>na</v>
      </c>
      <c r="H117" s="118" t="str">
        <f t="shared" si="7"/>
        <v>na</v>
      </c>
      <c r="I117" s="30"/>
    </row>
    <row r="118" spans="2:9">
      <c r="B118" s="6" t="str">
        <f>B$21</f>
        <v>Employee</v>
      </c>
      <c r="C118" s="43" t="s">
        <v>50</v>
      </c>
      <c r="D118" s="118" t="str">
        <f t="shared" si="7"/>
        <v>na</v>
      </c>
      <c r="E118" s="118" t="str">
        <f t="shared" si="7"/>
        <v>na</v>
      </c>
      <c r="F118" s="118" t="str">
        <f t="shared" si="7"/>
        <v>na</v>
      </c>
      <c r="G118" s="118" t="str">
        <f t="shared" si="7"/>
        <v>na</v>
      </c>
      <c r="H118" s="118" t="str">
        <f t="shared" si="7"/>
        <v>na</v>
      </c>
      <c r="I118" s="30"/>
    </row>
    <row r="119" spans="2:9">
      <c r="B119" s="6" t="str">
        <f>B$22</f>
        <v>Employee</v>
      </c>
      <c r="C119" s="43" t="s">
        <v>50</v>
      </c>
      <c r="D119" s="118" t="str">
        <f t="shared" si="7"/>
        <v>na</v>
      </c>
      <c r="E119" s="118" t="str">
        <f t="shared" si="7"/>
        <v>na</v>
      </c>
      <c r="F119" s="118" t="str">
        <f t="shared" si="7"/>
        <v>na</v>
      </c>
      <c r="G119" s="118" t="str">
        <f t="shared" si="7"/>
        <v>na</v>
      </c>
      <c r="H119" s="118" t="str">
        <f t="shared" si="7"/>
        <v>na</v>
      </c>
      <c r="I119" s="30"/>
    </row>
    <row r="120" spans="2:9">
      <c r="B120" s="6" t="str">
        <f>B$23</f>
        <v>Options Granted and Exercised</v>
      </c>
      <c r="C120" s="43" t="s">
        <v>50</v>
      </c>
      <c r="D120" s="118" t="str">
        <f t="shared" si="7"/>
        <v>na</v>
      </c>
      <c r="E120" s="118" t="str">
        <f t="shared" si="7"/>
        <v>na</v>
      </c>
      <c r="F120" s="118" t="str">
        <f t="shared" si="7"/>
        <v>na</v>
      </c>
      <c r="G120" s="118" t="str">
        <f t="shared" si="7"/>
        <v>na</v>
      </c>
      <c r="H120" s="118" t="str">
        <f t="shared" si="7"/>
        <v>na</v>
      </c>
      <c r="I120" s="30"/>
    </row>
    <row r="121" spans="2:9">
      <c r="B121" s="6" t="s">
        <v>20</v>
      </c>
      <c r="C121" s="43" t="s">
        <v>50</v>
      </c>
      <c r="D121" s="7">
        <f>IFERROR((D108-$H30)/$H30,0)</f>
        <v>-0.78857074688994588</v>
      </c>
      <c r="E121" s="7">
        <f>IFERROR((E108-$H30)/$H30,0)</f>
        <v>-0.15428298755978331</v>
      </c>
      <c r="F121" s="7">
        <f>IFERROR((F108-$H30)/$H30,0)</f>
        <v>1.7745796015984046</v>
      </c>
      <c r="G121" s="7">
        <f>IFERROR((G108-$H30)/$H30,0)</f>
        <v>4.3117306389190544</v>
      </c>
      <c r="H121" s="7">
        <f>IFERROR((H108-$H30)/$H30,0)</f>
        <v>8.551729258545766</v>
      </c>
    </row>
    <row r="125" spans="2:9">
      <c r="I125" s="30" t="s">
        <v>289</v>
      </c>
    </row>
    <row r="154" spans="9:9">
      <c r="I154" s="30" t="s">
        <v>312</v>
      </c>
    </row>
  </sheetData>
  <dataValidations count="2">
    <dataValidation type="list" allowBlank="1" showInputMessage="1" showErrorMessage="1" sqref="D34:E34">
      <formula1>"Non Participating Preferred,Full Participating Preferred,Participating Preferred with a Cap"</formula1>
    </dataValidation>
    <dataValidation type="list" allowBlank="1" showInputMessage="1" showErrorMessage="1" sqref="D10">
      <formula1>"no,yes"</formula1>
    </dataValidation>
  </dataValidations>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P151"/>
  <sheetViews>
    <sheetView showGridLines="0" workbookViewId="0">
      <selection activeCell="B47" sqref="B47"/>
    </sheetView>
  </sheetViews>
  <sheetFormatPr baseColWidth="10" defaultRowHeight="17" outlineLevelRow="1" x14ac:dyDescent="0"/>
  <cols>
    <col min="1" max="1" width="6.83203125" style="43" customWidth="1"/>
    <col min="2" max="2" width="53.83203125" style="2" customWidth="1"/>
    <col min="3" max="3" width="5.1640625" style="43" customWidth="1"/>
    <col min="4" max="4" width="18" style="2" customWidth="1"/>
    <col min="5" max="5" width="18" style="95" customWidth="1"/>
    <col min="6" max="6" width="18" style="2" customWidth="1"/>
    <col min="7" max="9" width="18.1640625" style="2" customWidth="1"/>
    <col min="10" max="10" width="15.33203125" style="2" customWidth="1"/>
    <col min="11" max="11" width="18.1640625" style="111" customWidth="1"/>
    <col min="12" max="15" width="18.1640625" style="2" customWidth="1"/>
    <col min="16" max="16" width="14.33203125" style="2" bestFit="1" customWidth="1"/>
    <col min="17" max="16384" width="10.83203125" style="2"/>
  </cols>
  <sheetData>
    <row r="2" spans="2:11">
      <c r="B2" s="19" t="s">
        <v>326</v>
      </c>
      <c r="C2" s="94"/>
      <c r="D2" s="95"/>
    </row>
    <row r="3" spans="2:11">
      <c r="B3" s="34" t="s">
        <v>361</v>
      </c>
      <c r="D3" s="46"/>
      <c r="F3" s="109"/>
      <c r="K3" s="2" t="s">
        <v>327</v>
      </c>
    </row>
    <row r="4" spans="2:11">
      <c r="B4" s="34" t="s">
        <v>362</v>
      </c>
      <c r="D4" s="46"/>
      <c r="F4" s="109"/>
      <c r="K4" s="2" t="s">
        <v>328</v>
      </c>
    </row>
    <row r="5" spans="2:11">
      <c r="D5" s="46"/>
    </row>
    <row r="6" spans="2:11">
      <c r="B6" s="2" t="s">
        <v>358</v>
      </c>
      <c r="D6" s="119" t="s">
        <v>26</v>
      </c>
      <c r="E6" s="119" t="s">
        <v>33</v>
      </c>
      <c r="F6" s="119" t="s">
        <v>34</v>
      </c>
      <c r="G6" s="119" t="s">
        <v>35</v>
      </c>
      <c r="H6" s="119" t="s">
        <v>36</v>
      </c>
      <c r="I6" s="119" t="s">
        <v>37</v>
      </c>
      <c r="K6" s="111" t="s">
        <v>329</v>
      </c>
    </row>
    <row r="8" spans="2:11">
      <c r="B8" s="19" t="s">
        <v>352</v>
      </c>
      <c r="D8" s="43"/>
      <c r="E8" s="43"/>
      <c r="F8" s="43"/>
      <c r="G8" s="43"/>
      <c r="H8" s="43"/>
      <c r="I8" s="43"/>
    </row>
    <row r="9" spans="2:11">
      <c r="B9" s="2" t="s">
        <v>332</v>
      </c>
      <c r="C9" s="43" t="s">
        <v>50</v>
      </c>
      <c r="D9" s="110">
        <v>1</v>
      </c>
      <c r="E9" s="96">
        <v>0.5</v>
      </c>
      <c r="F9" s="96">
        <v>0.25</v>
      </c>
      <c r="G9" s="96">
        <v>0.25</v>
      </c>
      <c r="H9" s="96">
        <v>0.25</v>
      </c>
      <c r="I9" s="96">
        <v>0.25</v>
      </c>
      <c r="K9" s="111" t="s">
        <v>330</v>
      </c>
    </row>
    <row r="10" spans="2:11">
      <c r="B10" s="2" t="str">
        <f>"% of "&amp;D6&amp;" Companies that raise this round"</f>
        <v>% of Seed Companies that raise this round</v>
      </c>
      <c r="C10" s="43" t="s">
        <v>50</v>
      </c>
      <c r="D10" s="36">
        <f>D9</f>
        <v>1</v>
      </c>
      <c r="E10" s="98">
        <f>E9*D10</f>
        <v>0.5</v>
      </c>
      <c r="F10" s="98">
        <f>F9*E10</f>
        <v>0.125</v>
      </c>
      <c r="G10" s="98">
        <f>G9*F10</f>
        <v>3.125E-2</v>
      </c>
      <c r="H10" s="98">
        <f>H9*G10</f>
        <v>7.8125E-3</v>
      </c>
      <c r="I10" s="98">
        <f>I9*H10</f>
        <v>1.953125E-3</v>
      </c>
      <c r="J10" s="36"/>
      <c r="K10" s="111" t="s">
        <v>331</v>
      </c>
    </row>
    <row r="11" spans="2:11">
      <c r="B11" s="2" t="s">
        <v>333</v>
      </c>
      <c r="C11" s="43" t="s">
        <v>170</v>
      </c>
      <c r="D11" s="125">
        <v>0</v>
      </c>
      <c r="E11" s="99">
        <v>10</v>
      </c>
      <c r="F11" s="99">
        <v>6</v>
      </c>
      <c r="G11" s="99">
        <v>5</v>
      </c>
      <c r="H11" s="99">
        <v>2.5</v>
      </c>
      <c r="I11" s="99">
        <v>1.6</v>
      </c>
      <c r="K11" s="111" t="s">
        <v>334</v>
      </c>
    </row>
    <row r="12" spans="2:11">
      <c r="B12" s="2" t="s">
        <v>317</v>
      </c>
      <c r="C12" s="43" t="s">
        <v>170</v>
      </c>
      <c r="D12" s="125">
        <v>0</v>
      </c>
      <c r="E12" s="99">
        <v>5</v>
      </c>
      <c r="F12" s="99">
        <v>3.5</v>
      </c>
      <c r="G12" s="99">
        <v>2</v>
      </c>
      <c r="H12" s="99">
        <v>2</v>
      </c>
      <c r="I12" s="99">
        <v>2</v>
      </c>
      <c r="K12" s="111" t="s">
        <v>335</v>
      </c>
    </row>
    <row r="13" spans="2:11">
      <c r="B13" s="2" t="s">
        <v>318</v>
      </c>
      <c r="C13" s="43" t="s">
        <v>170</v>
      </c>
      <c r="D13" s="125">
        <v>0</v>
      </c>
      <c r="E13" s="103">
        <v>18</v>
      </c>
      <c r="F13" s="103">
        <v>18</v>
      </c>
      <c r="G13" s="103">
        <v>18</v>
      </c>
      <c r="H13" s="103">
        <v>18</v>
      </c>
      <c r="I13" s="103">
        <v>18</v>
      </c>
      <c r="K13" s="111" t="s">
        <v>336</v>
      </c>
    </row>
    <row r="14" spans="2:11">
      <c r="B14" s="2" t="s">
        <v>40</v>
      </c>
      <c r="C14" s="43" t="s">
        <v>301</v>
      </c>
      <c r="D14" s="100">
        <v>43101</v>
      </c>
      <c r="E14" s="101">
        <f>EDATE(D14,E13)</f>
        <v>43647</v>
      </c>
      <c r="F14" s="101">
        <f>EDATE(E14,F13)</f>
        <v>44197</v>
      </c>
      <c r="G14" s="101">
        <f>EDATE(F14,G13)</f>
        <v>44743</v>
      </c>
      <c r="H14" s="101">
        <f>EDATE(G14,H13)</f>
        <v>45292</v>
      </c>
      <c r="I14" s="101">
        <f>EDATE(H14,I13)</f>
        <v>45839</v>
      </c>
      <c r="K14" s="111" t="s">
        <v>337</v>
      </c>
    </row>
    <row r="15" spans="2:11">
      <c r="B15" s="2" t="s">
        <v>319</v>
      </c>
      <c r="C15" s="102" t="e">
        <f>#REF!</f>
        <v>#REF!</v>
      </c>
      <c r="D15" s="103">
        <v>1000000</v>
      </c>
      <c r="E15" s="104">
        <f>E12*D15</f>
        <v>5000000</v>
      </c>
      <c r="F15" s="104">
        <f>F12*E15</f>
        <v>17500000</v>
      </c>
      <c r="G15" s="104">
        <f>G12*F15</f>
        <v>35000000</v>
      </c>
      <c r="H15" s="104">
        <f>H12*G15</f>
        <v>70000000</v>
      </c>
      <c r="I15" s="104">
        <f>I12*H15</f>
        <v>140000000</v>
      </c>
      <c r="J15" s="6"/>
      <c r="K15" s="111" t="s">
        <v>338</v>
      </c>
    </row>
    <row r="16" spans="2:11">
      <c r="B16" s="2" t="s">
        <v>245</v>
      </c>
      <c r="C16" s="102" t="e">
        <f>#REF!</f>
        <v>#REF!</v>
      </c>
      <c r="D16" s="103">
        <v>3000000</v>
      </c>
      <c r="E16" s="6">
        <f>E11*D16</f>
        <v>30000000</v>
      </c>
      <c r="F16" s="6">
        <f>F11*E16</f>
        <v>180000000</v>
      </c>
      <c r="G16" s="6">
        <f>G11*F16</f>
        <v>900000000</v>
      </c>
      <c r="H16" s="6">
        <f>H11*G16</f>
        <v>2250000000</v>
      </c>
      <c r="I16" s="6">
        <f>I11*H16</f>
        <v>3600000000</v>
      </c>
      <c r="K16" s="111" t="s">
        <v>339</v>
      </c>
    </row>
    <row r="17" spans="2:11">
      <c r="B17" s="2" t="s">
        <v>320</v>
      </c>
      <c r="C17" s="102" t="e">
        <f>#REF!</f>
        <v>#REF!</v>
      </c>
      <c r="D17" s="6">
        <f t="shared" ref="D17:I17" si="0">D16+D15</f>
        <v>4000000</v>
      </c>
      <c r="E17" s="6">
        <f t="shared" si="0"/>
        <v>35000000</v>
      </c>
      <c r="F17" s="6">
        <f t="shared" si="0"/>
        <v>197500000</v>
      </c>
      <c r="G17" s="6">
        <f t="shared" si="0"/>
        <v>935000000</v>
      </c>
      <c r="H17" s="6">
        <f t="shared" si="0"/>
        <v>2320000000</v>
      </c>
      <c r="I17" s="6">
        <f t="shared" si="0"/>
        <v>3740000000</v>
      </c>
      <c r="K17" s="111" t="s">
        <v>340</v>
      </c>
    </row>
    <row r="18" spans="2:11">
      <c r="B18" s="2" t="s">
        <v>321</v>
      </c>
      <c r="C18" s="43" t="s">
        <v>170</v>
      </c>
      <c r="D18" s="103">
        <f>10000000</f>
        <v>10000000</v>
      </c>
      <c r="E18" s="104">
        <f>D22</f>
        <v>16666666.666666666</v>
      </c>
      <c r="F18" s="104">
        <f>E22</f>
        <v>24305555.555555552</v>
      </c>
      <c r="G18" s="104">
        <f>F22</f>
        <v>31374818.445896875</v>
      </c>
      <c r="H18" s="104">
        <f>G22</f>
        <v>38347000.322762847</v>
      </c>
      <c r="I18" s="104">
        <f>H22</f>
        <v>43933353.456202373</v>
      </c>
      <c r="K18" s="111" t="s">
        <v>341</v>
      </c>
    </row>
    <row r="19" spans="2:11">
      <c r="B19" s="2" t="s">
        <v>322</v>
      </c>
      <c r="C19" s="43" t="s">
        <v>170</v>
      </c>
      <c r="D19" s="6">
        <f t="shared" ref="D19:I19" si="1">D15/D23</f>
        <v>3333333.3333333335</v>
      </c>
      <c r="E19" s="6">
        <f t="shared" si="1"/>
        <v>2777777.7777777775</v>
      </c>
      <c r="F19" s="6">
        <f t="shared" si="1"/>
        <v>2363040.1234567896</v>
      </c>
      <c r="G19" s="6">
        <f t="shared" si="1"/>
        <v>1220131.8284515452</v>
      </c>
      <c r="H19" s="6">
        <f t="shared" si="1"/>
        <v>1193017.7878192884</v>
      </c>
      <c r="I19" s="6">
        <f t="shared" si="1"/>
        <v>1708519.3010745365</v>
      </c>
      <c r="K19" s="111" t="s">
        <v>343</v>
      </c>
    </row>
    <row r="20" spans="2:11">
      <c r="B20" s="2" t="s">
        <v>342</v>
      </c>
      <c r="C20" s="43" t="s">
        <v>50</v>
      </c>
      <c r="D20" s="96">
        <v>0.2</v>
      </c>
      <c r="E20" s="96">
        <v>0.2</v>
      </c>
      <c r="F20" s="96">
        <v>0.15</v>
      </c>
      <c r="G20" s="96">
        <v>0.15</v>
      </c>
      <c r="H20" s="96">
        <v>0.1</v>
      </c>
      <c r="I20" s="96">
        <v>0.05</v>
      </c>
      <c r="K20" s="111" t="s">
        <v>359</v>
      </c>
    </row>
    <row r="21" spans="2:11">
      <c r="B21" s="2" t="s">
        <v>344</v>
      </c>
      <c r="C21" s="43" t="s">
        <v>170</v>
      </c>
      <c r="D21" s="6">
        <f t="shared" ref="D21:I21" si="2">ROUND(D22-D18-D19,5)</f>
        <v>3333333.3333299998</v>
      </c>
      <c r="E21" s="6">
        <f t="shared" si="2"/>
        <v>4861111.1111099999</v>
      </c>
      <c r="F21" s="6">
        <f t="shared" si="2"/>
        <v>4706222.76688</v>
      </c>
      <c r="G21" s="6">
        <f t="shared" si="2"/>
        <v>5752050.0484100003</v>
      </c>
      <c r="H21" s="6">
        <f t="shared" si="2"/>
        <v>4393335.3456199998</v>
      </c>
      <c r="I21" s="6">
        <f t="shared" si="2"/>
        <v>2402203.8293300001</v>
      </c>
      <c r="K21" s="111" t="s">
        <v>345</v>
      </c>
    </row>
    <row r="22" spans="2:11">
      <c r="B22" s="2" t="s">
        <v>346</v>
      </c>
      <c r="C22" s="43" t="s">
        <v>170</v>
      </c>
      <c r="D22" s="6">
        <f t="shared" ref="D22:I22" si="3">(D18+D19)/(1-D20)</f>
        <v>16666666.666666666</v>
      </c>
      <c r="E22" s="6">
        <f t="shared" si="3"/>
        <v>24305555.555555552</v>
      </c>
      <c r="F22" s="6">
        <f t="shared" si="3"/>
        <v>31374818.445896875</v>
      </c>
      <c r="G22" s="6">
        <f t="shared" si="3"/>
        <v>38347000.322762847</v>
      </c>
      <c r="H22" s="6">
        <f t="shared" si="3"/>
        <v>43933353.456202373</v>
      </c>
      <c r="I22" s="6">
        <f t="shared" si="3"/>
        <v>48044076.58660727</v>
      </c>
      <c r="K22" s="112" t="s">
        <v>347</v>
      </c>
    </row>
    <row r="23" spans="2:11">
      <c r="B23" s="2" t="s">
        <v>62</v>
      </c>
      <c r="C23" s="102" t="e">
        <f>#REF!</f>
        <v>#REF!</v>
      </c>
      <c r="D23" s="105">
        <f t="shared" ref="D23:I23" si="4">D16/D18</f>
        <v>0.3</v>
      </c>
      <c r="E23" s="105">
        <f t="shared" si="4"/>
        <v>1.8</v>
      </c>
      <c r="F23" s="105">
        <f t="shared" si="4"/>
        <v>7.4057142857142866</v>
      </c>
      <c r="G23" s="105">
        <f t="shared" si="4"/>
        <v>28.685424954792044</v>
      </c>
      <c r="H23" s="105">
        <f t="shared" si="4"/>
        <v>58.674732862074642</v>
      </c>
      <c r="I23" s="105">
        <f t="shared" si="4"/>
        <v>81.942299341862864</v>
      </c>
      <c r="K23" s="111" t="s">
        <v>348</v>
      </c>
    </row>
    <row r="24" spans="2:11">
      <c r="B24" s="2" t="s">
        <v>323</v>
      </c>
      <c r="C24" s="43" t="s">
        <v>170</v>
      </c>
      <c r="D24" s="6">
        <f>SUM($D19:D19)</f>
        <v>3333333.3333333335</v>
      </c>
      <c r="E24" s="6">
        <f>SUM($D19:E19)</f>
        <v>6111111.111111111</v>
      </c>
      <c r="F24" s="6">
        <f>SUM($D19:F19)</f>
        <v>8474151.2345679011</v>
      </c>
      <c r="G24" s="6">
        <f>SUM($D19:G19)</f>
        <v>9694283.063019447</v>
      </c>
      <c r="H24" s="6">
        <f>SUM($D19:H19)</f>
        <v>10887300.850838736</v>
      </c>
      <c r="I24" s="6">
        <f>SUM($D19:I19)</f>
        <v>12595820.151913272</v>
      </c>
      <c r="K24" s="111" t="s">
        <v>349</v>
      </c>
    </row>
    <row r="25" spans="2:11">
      <c r="B25" s="2" t="s">
        <v>357</v>
      </c>
      <c r="C25" s="43" t="s">
        <v>50</v>
      </c>
      <c r="D25" s="5">
        <f t="shared" ref="D25:I25" si="5">IFERROR(D24/D22,0)</f>
        <v>0.2</v>
      </c>
      <c r="E25" s="5">
        <f t="shared" si="5"/>
        <v>0.25142857142857145</v>
      </c>
      <c r="F25" s="5">
        <f t="shared" si="5"/>
        <v>0.27009403254972875</v>
      </c>
      <c r="G25" s="5">
        <f t="shared" si="5"/>
        <v>0.25280420844977808</v>
      </c>
      <c r="H25" s="5">
        <f t="shared" si="5"/>
        <v>0.24781401815120718</v>
      </c>
      <c r="I25" s="5">
        <f t="shared" si="5"/>
        <v>0.26217217702597023</v>
      </c>
      <c r="K25" s="111" t="s">
        <v>350</v>
      </c>
    </row>
    <row r="26" spans="2:11">
      <c r="D26" s="43"/>
      <c r="E26" s="43"/>
      <c r="F26" s="43"/>
      <c r="G26" s="43"/>
      <c r="H26" s="43"/>
      <c r="I26" s="43"/>
      <c r="J26" s="43"/>
    </row>
    <row r="27" spans="2:11">
      <c r="D27" s="43"/>
      <c r="E27" s="43"/>
      <c r="F27" s="43"/>
      <c r="G27" s="43"/>
      <c r="H27" s="43"/>
      <c r="I27" s="43"/>
      <c r="J27" s="43"/>
    </row>
    <row r="28" spans="2:11">
      <c r="B28" s="19" t="s">
        <v>351</v>
      </c>
      <c r="C28" s="94"/>
      <c r="D28" s="94"/>
      <c r="E28" s="94"/>
      <c r="F28" s="94"/>
      <c r="G28" s="94"/>
      <c r="H28" s="94"/>
      <c r="I28" s="94"/>
      <c r="J28" s="94"/>
    </row>
    <row r="29" spans="2:11">
      <c r="B29" s="11" t="s">
        <v>386</v>
      </c>
      <c r="C29" s="93" t="s">
        <v>50</v>
      </c>
      <c r="D29" s="97">
        <f>1-E9</f>
        <v>0.5</v>
      </c>
      <c r="E29" s="97">
        <f>1-F9</f>
        <v>0.75</v>
      </c>
      <c r="F29" s="97">
        <f>1-G9</f>
        <v>0.75</v>
      </c>
      <c r="G29" s="97">
        <f>1-H9</f>
        <v>0.75</v>
      </c>
      <c r="H29" s="97">
        <f>1-I9</f>
        <v>0.75</v>
      </c>
      <c r="I29" s="96">
        <v>1</v>
      </c>
      <c r="K29" s="111" t="s">
        <v>353</v>
      </c>
    </row>
    <row r="30" spans="2:11">
      <c r="B30" s="11" t="str">
        <f>"% of "&amp;D6&amp;" Companies that fail or exit at each stage"</f>
        <v>% of Seed Companies that fail or exit at each stage</v>
      </c>
      <c r="C30" s="93" t="s">
        <v>50</v>
      </c>
      <c r="D30" s="113">
        <f>D29</f>
        <v>0.5</v>
      </c>
      <c r="E30" s="114">
        <f>(1-SUM($D30:D30))*E29</f>
        <v>0.375</v>
      </c>
      <c r="F30" s="114">
        <f>(1-SUM($D30:E30))*F29</f>
        <v>9.375E-2</v>
      </c>
      <c r="G30" s="114">
        <f>(1-SUM($D30:F30))*G29</f>
        <v>2.34375E-2</v>
      </c>
      <c r="H30" s="114">
        <f>(1-SUM($D30:G30))*H29</f>
        <v>5.859375E-3</v>
      </c>
      <c r="I30" s="98">
        <f>(1-SUM($D30:H30))*I29</f>
        <v>1.953125E-3</v>
      </c>
      <c r="J30" s="36"/>
      <c r="K30" s="111" t="s">
        <v>354</v>
      </c>
    </row>
    <row r="31" spans="2:11">
      <c r="B31" s="11" t="str">
        <f>"% of Companies that fail, of the % of Companies that raised this round and fail or exit"</f>
        <v>% of Companies that fail, of the % of Companies that raised this round and fail or exit</v>
      </c>
      <c r="C31" s="93" t="s">
        <v>50</v>
      </c>
      <c r="D31" s="115">
        <v>0.8</v>
      </c>
      <c r="E31" s="115">
        <v>0.6</v>
      </c>
      <c r="F31" s="115">
        <v>0.35</v>
      </c>
      <c r="G31" s="115">
        <v>0.15</v>
      </c>
      <c r="H31" s="115">
        <v>0.1</v>
      </c>
      <c r="I31" s="115">
        <v>0.05</v>
      </c>
      <c r="J31" s="36"/>
      <c r="K31" s="111" t="s">
        <v>387</v>
      </c>
    </row>
    <row r="32" spans="2:11">
      <c r="B32" s="2" t="s">
        <v>355</v>
      </c>
      <c r="C32" s="43" t="s">
        <v>170</v>
      </c>
      <c r="D32" s="106">
        <v>1.2</v>
      </c>
      <c r="E32" s="106">
        <v>1.4</v>
      </c>
      <c r="F32" s="106">
        <v>1.4</v>
      </c>
      <c r="G32" s="106">
        <v>1.4</v>
      </c>
      <c r="H32" s="106">
        <v>1.2</v>
      </c>
      <c r="I32" s="106">
        <v>1.1000000000000001</v>
      </c>
      <c r="K32" s="111" t="s">
        <v>389</v>
      </c>
    </row>
    <row r="33" spans="2:11">
      <c r="B33" s="2" t="s">
        <v>356</v>
      </c>
      <c r="C33" s="43" t="s">
        <v>170</v>
      </c>
      <c r="D33" s="103">
        <v>12</v>
      </c>
      <c r="E33" s="103">
        <f>D33</f>
        <v>12</v>
      </c>
      <c r="F33" s="103">
        <f t="shared" ref="F33:I33" si="6">E33</f>
        <v>12</v>
      </c>
      <c r="G33" s="103">
        <f t="shared" si="6"/>
        <v>12</v>
      </c>
      <c r="H33" s="103">
        <f t="shared" si="6"/>
        <v>12</v>
      </c>
      <c r="I33" s="103">
        <f t="shared" si="6"/>
        <v>12</v>
      </c>
      <c r="K33" s="111" t="s">
        <v>388</v>
      </c>
    </row>
    <row r="34" spans="2:11">
      <c r="B34" s="2" t="s">
        <v>40</v>
      </c>
      <c r="C34" s="43" t="s">
        <v>301</v>
      </c>
      <c r="D34" s="108">
        <f t="shared" ref="D34:I34" si="7">EDATE(D14,D33)</f>
        <v>43466</v>
      </c>
      <c r="E34" s="108">
        <f t="shared" si="7"/>
        <v>44013</v>
      </c>
      <c r="F34" s="108">
        <f t="shared" si="7"/>
        <v>44562</v>
      </c>
      <c r="G34" s="108">
        <f t="shared" si="7"/>
        <v>45108</v>
      </c>
      <c r="H34" s="108">
        <f t="shared" si="7"/>
        <v>45658</v>
      </c>
      <c r="I34" s="108">
        <f t="shared" si="7"/>
        <v>46204</v>
      </c>
    </row>
    <row r="35" spans="2:11">
      <c r="B35" s="2" t="s">
        <v>324</v>
      </c>
      <c r="C35" s="102" t="e">
        <f>#REF!</f>
        <v>#REF!</v>
      </c>
      <c r="D35" s="107">
        <f t="shared" ref="D35:I35" si="8">D22*D36</f>
        <v>1199999.9999999995</v>
      </c>
      <c r="E35" s="107">
        <f t="shared" si="8"/>
        <v>24499999.999999996</v>
      </c>
      <c r="F35" s="107">
        <f t="shared" si="8"/>
        <v>211441176.47058824</v>
      </c>
      <c r="G35" s="107">
        <f t="shared" si="8"/>
        <v>1308999999.9999998</v>
      </c>
      <c r="H35" s="107">
        <f t="shared" si="8"/>
        <v>2784000000</v>
      </c>
      <c r="I35" s="107">
        <f t="shared" si="8"/>
        <v>4114000000</v>
      </c>
      <c r="K35" s="111" t="s">
        <v>390</v>
      </c>
    </row>
    <row r="36" spans="2:11">
      <c r="B36" s="2" t="s">
        <v>325</v>
      </c>
      <c r="C36" s="102" t="e">
        <f>#REF!</f>
        <v>#REF!</v>
      </c>
      <c r="D36" s="105">
        <f>D32*D23*(1-D31)</f>
        <v>7.1999999999999981E-2</v>
      </c>
      <c r="E36" s="105">
        <f t="shared" ref="E36:I36" si="9">E32*E23*(1-E31)</f>
        <v>1.008</v>
      </c>
      <c r="F36" s="105">
        <f t="shared" si="9"/>
        <v>6.7392000000000003</v>
      </c>
      <c r="G36" s="105">
        <f t="shared" si="9"/>
        <v>34.135655696202527</v>
      </c>
      <c r="H36" s="105">
        <f t="shared" si="9"/>
        <v>63.368711491040607</v>
      </c>
      <c r="I36" s="105">
        <f t="shared" si="9"/>
        <v>85.629702812246691</v>
      </c>
      <c r="K36" s="111" t="s">
        <v>391</v>
      </c>
    </row>
    <row r="37" spans="2:11">
      <c r="B37" s="2" t="s">
        <v>368</v>
      </c>
      <c r="C37" s="102" t="e">
        <f>#REF!</f>
        <v>#REF!</v>
      </c>
      <c r="D37" s="107">
        <f t="shared" ref="D37:I37" si="10">D24*D36</f>
        <v>239999.99999999994</v>
      </c>
      <c r="E37" s="107">
        <f t="shared" si="10"/>
        <v>6160000</v>
      </c>
      <c r="F37" s="107">
        <f t="shared" si="10"/>
        <v>57109000</v>
      </c>
      <c r="G37" s="107">
        <f t="shared" si="10"/>
        <v>330920708.86075944</v>
      </c>
      <c r="H37" s="107">
        <f t="shared" si="10"/>
        <v>689914226.53296077</v>
      </c>
      <c r="I37" s="107">
        <f t="shared" si="10"/>
        <v>1078576336.2848415</v>
      </c>
      <c r="K37" s="111" t="s">
        <v>392</v>
      </c>
    </row>
    <row r="38" spans="2:11">
      <c r="C38" s="102"/>
      <c r="D38" s="107"/>
      <c r="E38" s="107"/>
      <c r="F38" s="107"/>
      <c r="G38" s="107"/>
      <c r="H38" s="107"/>
      <c r="I38" s="107"/>
    </row>
    <row r="39" spans="2:11">
      <c r="C39" s="102"/>
      <c r="D39" s="107"/>
      <c r="E39" s="107"/>
      <c r="F39" s="107"/>
      <c r="G39" s="107"/>
      <c r="H39" s="107"/>
      <c r="I39" s="107"/>
    </row>
    <row r="40" spans="2:11">
      <c r="B40" s="19" t="s">
        <v>393</v>
      </c>
      <c r="C40" s="102"/>
      <c r="D40" s="107"/>
      <c r="E40" s="107"/>
      <c r="F40" s="107"/>
      <c r="G40" s="107"/>
      <c r="H40" s="107"/>
      <c r="I40" s="107"/>
    </row>
    <row r="41" spans="2:11">
      <c r="B41" s="41" t="s">
        <v>405</v>
      </c>
      <c r="C41" s="102"/>
      <c r="D41" s="128" t="str">
        <f t="shared" ref="D41:I41" si="11">D6</f>
        <v>Seed</v>
      </c>
      <c r="E41" s="128" t="str">
        <f t="shared" si="11"/>
        <v>A</v>
      </c>
      <c r="F41" s="128" t="str">
        <f t="shared" si="11"/>
        <v>B</v>
      </c>
      <c r="G41" s="128" t="str">
        <f t="shared" si="11"/>
        <v>C</v>
      </c>
      <c r="H41" s="128" t="str">
        <f t="shared" si="11"/>
        <v>D</v>
      </c>
      <c r="I41" s="128" t="str">
        <f t="shared" si="11"/>
        <v>E</v>
      </c>
    </row>
    <row r="42" spans="2:11">
      <c r="C42" s="102"/>
      <c r="D42" s="107"/>
      <c r="E42" s="107"/>
      <c r="F42" s="107"/>
      <c r="G42" s="107"/>
      <c r="H42" s="107"/>
      <c r="I42" s="107"/>
    </row>
    <row r="43" spans="2:11">
      <c r="B43" s="2" t="s">
        <v>406</v>
      </c>
      <c r="C43" s="102"/>
      <c r="D43" s="127" t="e">
        <f>IF(D15&gt;=1000000,#REF!&amp;ROUNDUP(D15/1000000,2)&amp;"m",#REF!&amp;ROUNDUP(D15/1000,0)&amp;"k")&amp;" at "</f>
        <v>#REF!</v>
      </c>
      <c r="E43" s="127" t="e">
        <f>IF(E15&gt;=1000000,#REF!&amp;ROUNDUP(E15/1000000,2)&amp;"m",#REF!&amp;ROUNDUP(E15/1000,0)&amp;"k")&amp;" at "</f>
        <v>#REF!</v>
      </c>
      <c r="F43" s="127" t="e">
        <f>IF(F15&gt;=1000000,#REF!&amp;ROUNDUP(F15/1000000,2)&amp;"m",#REF!&amp;ROUNDUP(F15/1000,0)&amp;"k")&amp;" at "</f>
        <v>#REF!</v>
      </c>
      <c r="G43" s="127" t="e">
        <f>IF(G15&gt;=1000000,#REF!&amp;ROUNDUP(G15/1000000,2)&amp;"m",#REF!&amp;ROUNDUP(G15/1000,0)&amp;"k")&amp;" at "</f>
        <v>#REF!</v>
      </c>
      <c r="H43" s="127" t="e">
        <f>IF(H15&gt;=1000000,#REF!&amp;ROUNDUP(H15/1000000,2)&amp;"m",#REF!&amp;ROUNDUP(H15/1000,0)&amp;"k")&amp;" at "</f>
        <v>#REF!</v>
      </c>
      <c r="I43" s="127" t="e">
        <f>IF(I15&gt;=1000000,#REF!&amp;ROUNDUP(I15/1000000,2)&amp;"m",#REF!&amp;ROUNDUP(I15/1000,0)&amp;"k")&amp;" at "</f>
        <v>#REF!</v>
      </c>
    </row>
    <row r="44" spans="2:11">
      <c r="B44" s="2" t="s">
        <v>407</v>
      </c>
      <c r="C44" s="102"/>
      <c r="D44" s="127" t="e">
        <f>IF(D16&gt;=1000000,#REF!&amp;ROUNDUP(D16/1000000,2)&amp;"m",#REF!&amp;ROUNDUP(D16/1000,0)&amp;"k")&amp;" pre"</f>
        <v>#REF!</v>
      </c>
      <c r="E44" s="127" t="e">
        <f>IF(E16&gt;=1000000,#REF!&amp;ROUNDUP(E16/1000000,2)&amp;"m",#REF!&amp;ROUNDUP(E16/1000,0)&amp;"k")&amp;" pre"</f>
        <v>#REF!</v>
      </c>
      <c r="F44" s="127" t="e">
        <f>IF(F16&gt;=1000000,#REF!&amp;ROUNDUP(F16/1000000,2)&amp;"m",#REF!&amp;ROUNDUP(F16/1000,0)&amp;"k")&amp;" pre"</f>
        <v>#REF!</v>
      </c>
      <c r="G44" s="127" t="e">
        <f>IF(G16&gt;=1000000,#REF!&amp;ROUNDUP(G16/1000000,2)&amp;"m",#REF!&amp;ROUNDUP(G16/1000,0)&amp;"k")&amp;" pre"</f>
        <v>#REF!</v>
      </c>
      <c r="H44" s="127" t="e">
        <f>IF(H16&gt;=1000000,#REF!&amp;ROUNDUP(H16/1000000,2)&amp;"m",#REF!&amp;ROUNDUP(H16/1000,0)&amp;"k")&amp;" pre"</f>
        <v>#REF!</v>
      </c>
      <c r="I44" s="127" t="e">
        <f>IF(I16&gt;=1000000,#REF!&amp;ROUNDUP(I16/1000000,2)&amp;"m",#REF!&amp;ROUNDUP(I16/1000,0)&amp;"k")&amp;" pre"</f>
        <v>#REF!</v>
      </c>
    </row>
    <row r="45" spans="2:11">
      <c r="C45" s="102"/>
      <c r="D45" s="107"/>
      <c r="E45" s="107"/>
      <c r="F45" s="107"/>
      <c r="G45" s="107"/>
      <c r="H45" s="107"/>
      <c r="I45" s="107"/>
    </row>
    <row r="46" spans="2:11">
      <c r="B46" s="2" t="s">
        <v>408</v>
      </c>
      <c r="C46" s="102"/>
      <c r="D46" s="127" t="str">
        <f>E9*100&amp;"% raise an "&amp;E41</f>
        <v>50% raise an A</v>
      </c>
      <c r="E46" s="127" t="str">
        <f>F9*100&amp;"% raise an "&amp;F41</f>
        <v>25% raise an B</v>
      </c>
      <c r="F46" s="127" t="str">
        <f>G9*100&amp;"% raise an "&amp;G41</f>
        <v>25% raise an C</v>
      </c>
      <c r="G46" s="127" t="str">
        <f>H9*100&amp;"% raise an "&amp;H41</f>
        <v>25% raise an D</v>
      </c>
      <c r="H46" s="127" t="str">
        <f>I9*100&amp;"% raise an "&amp;I41</f>
        <v>25% raise an E</v>
      </c>
      <c r="I46" s="127" t="str">
        <f>J9*100&amp;"% raise"</f>
        <v>0% raise</v>
      </c>
      <c r="K46" s="111" t="s">
        <v>404</v>
      </c>
    </row>
    <row r="47" spans="2:11">
      <c r="B47" s="2" t="s">
        <v>409</v>
      </c>
      <c r="C47" s="102"/>
      <c r="D47" s="127" t="str">
        <f t="shared" ref="D47:I47" si="12">D29*D31*100&amp;"% fail"</f>
        <v>40% fail</v>
      </c>
      <c r="E47" s="127" t="str">
        <f t="shared" si="12"/>
        <v>45% fail</v>
      </c>
      <c r="F47" s="127" t="str">
        <f t="shared" si="12"/>
        <v>26.25% fail</v>
      </c>
      <c r="G47" s="127" t="str">
        <f t="shared" si="12"/>
        <v>11.25% fail</v>
      </c>
      <c r="H47" s="127" t="str">
        <f t="shared" si="12"/>
        <v>7.5% fail</v>
      </c>
      <c r="I47" s="127" t="str">
        <f t="shared" si="12"/>
        <v>5% fail</v>
      </c>
    </row>
    <row r="48" spans="2:11">
      <c r="B48" s="2" t="s">
        <v>410</v>
      </c>
      <c r="C48" s="102"/>
      <c r="D48" s="127" t="str">
        <f t="shared" ref="D48:I48" si="13">D29*(1-D31)*100&amp;"% sell"</f>
        <v>10% sell</v>
      </c>
      <c r="E48" s="127" t="str">
        <f t="shared" si="13"/>
        <v>30% sell</v>
      </c>
      <c r="F48" s="127" t="str">
        <f t="shared" si="13"/>
        <v>48.75% sell</v>
      </c>
      <c r="G48" s="127" t="str">
        <f t="shared" si="13"/>
        <v>63.75% sell</v>
      </c>
      <c r="H48" s="127" t="str">
        <f t="shared" si="13"/>
        <v>67.5% sell</v>
      </c>
      <c r="I48" s="127" t="str">
        <f t="shared" si="13"/>
        <v>95% sell</v>
      </c>
    </row>
    <row r="49" spans="2:11">
      <c r="C49" s="102"/>
      <c r="D49" s="107"/>
      <c r="E49" s="107"/>
      <c r="F49" s="107"/>
      <c r="G49" s="107"/>
      <c r="H49" s="107"/>
      <c r="I49" s="107"/>
    </row>
    <row r="50" spans="2:11">
      <c r="C50" s="102"/>
      <c r="D50" s="107"/>
      <c r="E50" s="107"/>
      <c r="F50" s="107"/>
      <c r="G50" s="107"/>
      <c r="H50" s="107"/>
      <c r="I50" s="107"/>
    </row>
    <row r="51" spans="2:11">
      <c r="B51" s="19" t="s">
        <v>377</v>
      </c>
      <c r="C51" s="102"/>
      <c r="D51" s="107"/>
      <c r="E51" s="107"/>
      <c r="F51" s="107"/>
      <c r="G51" s="107"/>
      <c r="H51" s="107"/>
      <c r="I51" s="107"/>
    </row>
    <row r="52" spans="2:11">
      <c r="B52" s="2" t="s">
        <v>364</v>
      </c>
      <c r="C52" s="93" t="s">
        <v>50</v>
      </c>
      <c r="D52" s="115">
        <v>1</v>
      </c>
      <c r="E52" s="115">
        <v>1</v>
      </c>
      <c r="F52" s="115">
        <v>1</v>
      </c>
      <c r="G52" s="115">
        <v>1</v>
      </c>
      <c r="H52" s="115">
        <v>1</v>
      </c>
      <c r="I52" s="115">
        <v>1</v>
      </c>
      <c r="K52" s="2" t="s">
        <v>394</v>
      </c>
    </row>
    <row r="53" spans="2:11">
      <c r="B53" s="2" t="s">
        <v>363</v>
      </c>
      <c r="C53" s="102" t="e">
        <f>#REF!</f>
        <v>#REF!</v>
      </c>
      <c r="D53" s="6">
        <f t="shared" ref="D53:I53" si="14">D52*D15</f>
        <v>1000000</v>
      </c>
      <c r="E53" s="6">
        <f t="shared" si="14"/>
        <v>5000000</v>
      </c>
      <c r="F53" s="6">
        <f t="shared" si="14"/>
        <v>17500000</v>
      </c>
      <c r="G53" s="6">
        <f t="shared" si="14"/>
        <v>35000000</v>
      </c>
      <c r="H53" s="6">
        <f t="shared" si="14"/>
        <v>70000000</v>
      </c>
      <c r="I53" s="6">
        <f t="shared" si="14"/>
        <v>140000000</v>
      </c>
      <c r="K53" s="2" t="s">
        <v>395</v>
      </c>
    </row>
    <row r="54" spans="2:11">
      <c r="B54" s="2" t="s">
        <v>366</v>
      </c>
      <c r="C54" s="102" t="s">
        <v>170</v>
      </c>
      <c r="D54" s="6">
        <f t="shared" ref="D54:I54" si="15">D53/D23</f>
        <v>3333333.3333333335</v>
      </c>
      <c r="E54" s="6">
        <f t="shared" si="15"/>
        <v>2777777.7777777775</v>
      </c>
      <c r="F54" s="6">
        <f t="shared" si="15"/>
        <v>2363040.1234567896</v>
      </c>
      <c r="G54" s="6">
        <f t="shared" si="15"/>
        <v>1220131.8284515452</v>
      </c>
      <c r="H54" s="6">
        <f t="shared" si="15"/>
        <v>1193017.7878192884</v>
      </c>
      <c r="I54" s="6">
        <f t="shared" si="15"/>
        <v>1708519.3010745365</v>
      </c>
      <c r="K54" s="2"/>
    </row>
    <row r="55" spans="2:11">
      <c r="B55" s="2" t="s">
        <v>367</v>
      </c>
      <c r="C55" s="102" t="s">
        <v>170</v>
      </c>
      <c r="D55" s="6">
        <f>SUM($D54:D54)</f>
        <v>3333333.3333333335</v>
      </c>
      <c r="E55" s="6">
        <f>SUM($D54:E54)</f>
        <v>6111111.111111111</v>
      </c>
      <c r="F55" s="6">
        <f>SUM($D54:F54)</f>
        <v>8474151.2345679011</v>
      </c>
      <c r="G55" s="6">
        <f>SUM($D54:G54)</f>
        <v>9694283.063019447</v>
      </c>
      <c r="H55" s="6">
        <f>SUM($D54:H54)</f>
        <v>10887300.850838736</v>
      </c>
      <c r="I55" s="6">
        <f>SUM($D54:I54)</f>
        <v>12595820.151913272</v>
      </c>
      <c r="K55" s="2"/>
    </row>
    <row r="56" spans="2:11">
      <c r="B56" s="2" t="s">
        <v>365</v>
      </c>
      <c r="C56" s="93" t="s">
        <v>50</v>
      </c>
      <c r="D56" s="116">
        <f t="shared" ref="D56:I56" si="16">D55/D22</f>
        <v>0.2</v>
      </c>
      <c r="E56" s="116">
        <f t="shared" si="16"/>
        <v>0.25142857142857145</v>
      </c>
      <c r="F56" s="116">
        <f t="shared" si="16"/>
        <v>0.27009403254972875</v>
      </c>
      <c r="G56" s="116">
        <f t="shared" si="16"/>
        <v>0.25280420844977808</v>
      </c>
      <c r="H56" s="116">
        <f t="shared" si="16"/>
        <v>0.24781401815120718</v>
      </c>
      <c r="I56" s="116">
        <f t="shared" si="16"/>
        <v>0.26217217702597023</v>
      </c>
      <c r="K56" s="117"/>
    </row>
    <row r="57" spans="2:11">
      <c r="B57" s="2" t="s">
        <v>369</v>
      </c>
      <c r="C57" s="102" t="e">
        <f>#REF!</f>
        <v>#REF!</v>
      </c>
      <c r="D57" s="107">
        <f t="shared" ref="D57:I57" si="17">D55*D36</f>
        <v>239999.99999999994</v>
      </c>
      <c r="E57" s="107">
        <f t="shared" si="17"/>
        <v>6160000</v>
      </c>
      <c r="F57" s="107">
        <f t="shared" si="17"/>
        <v>57109000</v>
      </c>
      <c r="G57" s="107">
        <f t="shared" si="17"/>
        <v>330920708.86075944</v>
      </c>
      <c r="H57" s="107">
        <f t="shared" si="17"/>
        <v>689914226.53296077</v>
      </c>
      <c r="I57" s="107">
        <f t="shared" si="17"/>
        <v>1078576336.2848415</v>
      </c>
    </row>
    <row r="58" spans="2:11">
      <c r="C58" s="102"/>
      <c r="D58" s="107"/>
      <c r="E58" s="107"/>
      <c r="F58" s="107"/>
      <c r="G58" s="107"/>
      <c r="H58" s="107"/>
      <c r="I58" s="107"/>
    </row>
    <row r="59" spans="2:11">
      <c r="B59" s="2" t="s">
        <v>371</v>
      </c>
      <c r="C59" s="102" t="s">
        <v>170</v>
      </c>
      <c r="D59" s="121">
        <f>IFERROR(D57/(SUM($D53:D53)),"na")</f>
        <v>0.23999999999999994</v>
      </c>
      <c r="E59" s="121">
        <f>IFERROR(E57/(SUM($D53:E53)),"na")</f>
        <v>1.0266666666666666</v>
      </c>
      <c r="F59" s="121">
        <f>IFERROR(F57/(SUM($D53:F53)),"na")</f>
        <v>2.4301702127659572</v>
      </c>
      <c r="G59" s="121">
        <f>IFERROR(G57/(SUM($D53:G53)),"na")</f>
        <v>5.656764254030076</v>
      </c>
      <c r="H59" s="121">
        <f>IFERROR(H57/(SUM($D53:H53)),"na")</f>
        <v>5.3689823076495005</v>
      </c>
      <c r="I59" s="121">
        <f>IFERROR(I57/(SUM($D53:I53)),"na")</f>
        <v>4.0170440829975478</v>
      </c>
      <c r="K59" s="111" t="s">
        <v>396</v>
      </c>
    </row>
    <row r="60" spans="2:11">
      <c r="B60" s="2" t="s">
        <v>372</v>
      </c>
      <c r="C60" s="102" t="s">
        <v>50</v>
      </c>
      <c r="D60" s="120">
        <f>IFERROR((D57-SUM($D53:D53))/(SUM($D53:D53)),"na")</f>
        <v>-0.76</v>
      </c>
      <c r="E60" s="120">
        <f>IFERROR((E57-SUM($D53:E53))/(SUM($D53:E53)),"na")</f>
        <v>2.6666666666666668E-2</v>
      </c>
      <c r="F60" s="120">
        <f>IFERROR((F57-SUM($D53:F53))/(SUM($D53:F53)),"na")</f>
        <v>1.4301702127659575</v>
      </c>
      <c r="G60" s="120">
        <f>IFERROR((G57-SUM($D53:G53))/(SUM($D53:G53)),"na")</f>
        <v>4.656764254030076</v>
      </c>
      <c r="H60" s="120">
        <f>IFERROR((H57-SUM($D53:H53))/(SUM($D53:H53)),"na")</f>
        <v>4.3689823076495005</v>
      </c>
      <c r="I60" s="120">
        <f>IFERROR((I57-SUM($D53:I53))/(SUM($D53:I53)),"na")</f>
        <v>3.0170440829975478</v>
      </c>
      <c r="K60" s="111" t="s">
        <v>397</v>
      </c>
    </row>
    <row r="61" spans="2:11">
      <c r="B61" s="11" t="s">
        <v>374</v>
      </c>
      <c r="C61" s="126" t="s">
        <v>50</v>
      </c>
      <c r="D61" s="118">
        <f t="shared" ref="D61:I61" ca="1" si="18">IFERROR(LOOKUP(2,1/(ISNUMBER(D85:D90)),D85:D90),"na")</f>
        <v>-0.75999999754130854</v>
      </c>
      <c r="E61" s="118">
        <f t="shared" ca="1" si="18"/>
        <v>2.1185663342475892E-2</v>
      </c>
      <c r="F61" s="118">
        <f t="shared" ca="1" si="18"/>
        <v>0.70131539106369023</v>
      </c>
      <c r="G61" s="118">
        <f t="shared" ca="1" si="18"/>
        <v>1.0787555575370791</v>
      </c>
      <c r="H61" s="118">
        <f t="shared" ca="1" si="18"/>
        <v>0.8280052304267882</v>
      </c>
      <c r="I61" s="118">
        <f t="shared" ca="1" si="18"/>
        <v>0.59170518517494208</v>
      </c>
      <c r="K61" s="111" t="s">
        <v>398</v>
      </c>
    </row>
    <row r="62" spans="2:11">
      <c r="C62" s="102"/>
      <c r="D62" s="102"/>
      <c r="E62" s="102"/>
      <c r="F62" s="102"/>
      <c r="G62" s="102"/>
      <c r="H62" s="102"/>
      <c r="I62" s="102"/>
    </row>
    <row r="63" spans="2:11">
      <c r="C63" s="102"/>
      <c r="D63" s="107"/>
      <c r="E63" s="107"/>
      <c r="F63" s="107"/>
      <c r="G63" s="107"/>
      <c r="H63" s="107"/>
      <c r="I63" s="107"/>
    </row>
    <row r="64" spans="2:11">
      <c r="B64" s="19" t="s">
        <v>380</v>
      </c>
      <c r="C64" s="102"/>
      <c r="D64" s="107"/>
      <c r="E64" s="107"/>
      <c r="F64" s="107"/>
      <c r="G64" s="107"/>
      <c r="H64" s="107"/>
      <c r="I64" s="107"/>
    </row>
    <row r="65" spans="2:11">
      <c r="B65" s="34" t="s">
        <v>384</v>
      </c>
      <c r="C65" s="102"/>
      <c r="D65" s="107"/>
      <c r="E65" s="107"/>
      <c r="F65" s="107"/>
      <c r="G65" s="107"/>
      <c r="H65" s="107"/>
      <c r="I65" s="107"/>
    </row>
    <row r="66" spans="2:11">
      <c r="B66" s="34" t="s">
        <v>385</v>
      </c>
      <c r="C66" s="102"/>
      <c r="D66" s="107"/>
      <c r="E66" s="107"/>
      <c r="F66" s="107"/>
      <c r="G66" s="107"/>
      <c r="H66" s="107"/>
      <c r="I66" s="107"/>
    </row>
    <row r="67" spans="2:11">
      <c r="B67" s="19"/>
      <c r="C67" s="102"/>
      <c r="D67" s="107"/>
      <c r="E67" s="107"/>
      <c r="F67" s="107"/>
      <c r="G67" s="107"/>
      <c r="H67" s="107"/>
      <c r="I67" s="107"/>
    </row>
    <row r="68" spans="2:11">
      <c r="B68" s="2" t="s">
        <v>378</v>
      </c>
      <c r="C68" s="102"/>
      <c r="D68" s="122" t="str">
        <f t="shared" ref="D68:I68" si="19">D6</f>
        <v>Seed</v>
      </c>
      <c r="E68" s="122" t="str">
        <f t="shared" si="19"/>
        <v>A</v>
      </c>
      <c r="F68" s="122" t="str">
        <f t="shared" si="19"/>
        <v>B</v>
      </c>
      <c r="G68" s="122" t="str">
        <f t="shared" si="19"/>
        <v>C</v>
      </c>
      <c r="H68" s="122" t="str">
        <f t="shared" si="19"/>
        <v>D</v>
      </c>
      <c r="I68" s="122" t="str">
        <f t="shared" si="19"/>
        <v>E</v>
      </c>
      <c r="K68" s="111" t="s">
        <v>399</v>
      </c>
    </row>
    <row r="69" spans="2:11">
      <c r="B69" s="41" t="str">
        <f>D$6</f>
        <v>Seed</v>
      </c>
      <c r="C69" s="102" t="e">
        <f>#REF!</f>
        <v>#REF!</v>
      </c>
      <c r="D69" s="107">
        <f t="shared" ref="D69:I69" si="20">IF(INDEX($D$54:$I$54,0,MATCH($B$69,$D$6:$I$6,0))=0,0,IF(INDEX($D$14:$I$14,0,MATCH($B69,$D$6:$I$6,0))&gt;INDEX($D$14:$I$14,0,MATCH(D$68,$D$6:$I$6,0)),0,SUM($D$54:$D$54)*D$36))</f>
        <v>239999.99999999994</v>
      </c>
      <c r="E69" s="107">
        <f t="shared" si="20"/>
        <v>3360000</v>
      </c>
      <c r="F69" s="107">
        <f t="shared" si="20"/>
        <v>22464000.000000004</v>
      </c>
      <c r="G69" s="107">
        <f t="shared" si="20"/>
        <v>113785518.98734176</v>
      </c>
      <c r="H69" s="107">
        <f t="shared" si="20"/>
        <v>211229038.3034687</v>
      </c>
      <c r="I69" s="107">
        <f t="shared" si="20"/>
        <v>285432342.70748901</v>
      </c>
    </row>
    <row r="70" spans="2:11">
      <c r="B70" s="41" t="str">
        <f>E$6</f>
        <v>A</v>
      </c>
      <c r="C70" s="102" t="e">
        <f>#REF!</f>
        <v>#REF!</v>
      </c>
      <c r="D70" s="107">
        <f t="shared" ref="D70:I70" si="21">IF(INDEX($D$54:$I$54,0,MATCH($B$70,$D$6:$I$6,0))=0,0,IF(INDEX($D$14:$I$14,0,MATCH($B70,$D$6:$I$6,0))&gt;INDEX($D$14:$I$14,0,MATCH(D$68,$D$6:$I$6,0)),0,SUM($D$54:$E$54)*D$36))</f>
        <v>0</v>
      </c>
      <c r="E70" s="107">
        <f t="shared" si="21"/>
        <v>6160000</v>
      </c>
      <c r="F70" s="107">
        <f t="shared" si="21"/>
        <v>41184000</v>
      </c>
      <c r="G70" s="107">
        <f t="shared" si="21"/>
        <v>208606784.81012654</v>
      </c>
      <c r="H70" s="107">
        <f t="shared" si="21"/>
        <v>387253236.8896926</v>
      </c>
      <c r="I70" s="107">
        <f t="shared" si="21"/>
        <v>523292628.29706311</v>
      </c>
    </row>
    <row r="71" spans="2:11">
      <c r="B71" s="41" t="str">
        <f>F$6</f>
        <v>B</v>
      </c>
      <c r="C71" s="102" t="e">
        <f>#REF!</f>
        <v>#REF!</v>
      </c>
      <c r="D71" s="107">
        <f t="shared" ref="D71:I71" si="22">IF(INDEX($D$54:$I$54,0,MATCH($B$71,$D$6:$I$6,0))=0,0,IF(INDEX($D$14:$I$14,0,MATCH($B71,$D$6:$I$6,0))&gt;INDEX($D$14:$I$14,0,MATCH(D$68,$D$6:$I$6,0)),0,SUM($D$54:$F$54)*D$36))</f>
        <v>0</v>
      </c>
      <c r="E71" s="107">
        <f t="shared" si="22"/>
        <v>0</v>
      </c>
      <c r="F71" s="107">
        <f t="shared" si="22"/>
        <v>57109000</v>
      </c>
      <c r="G71" s="107">
        <f t="shared" si="22"/>
        <v>289270708.86075944</v>
      </c>
      <c r="H71" s="107">
        <f t="shared" si="22"/>
        <v>536996044.7147789</v>
      </c>
      <c r="I71" s="107">
        <f t="shared" si="22"/>
        <v>725639051.80208278</v>
      </c>
    </row>
    <row r="72" spans="2:11">
      <c r="B72" s="41" t="str">
        <f>G$6</f>
        <v>C</v>
      </c>
      <c r="C72" s="102" t="e">
        <f>#REF!</f>
        <v>#REF!</v>
      </c>
      <c r="D72" s="107">
        <f t="shared" ref="D72:I72" si="23">IF(INDEX($D$54:$I$54,0,MATCH($B$72,$D$6:$I$6,0))=0,0,IF(INDEX($D$14:$I$14,0,MATCH($B72,$D$6:$I$6,0))&gt;INDEX($D$14:$I$14,0,MATCH(D$68,$D$6:$I$6,0)),0,SUM($D$54:$G$54)*D$36))</f>
        <v>0</v>
      </c>
      <c r="E72" s="107">
        <f t="shared" si="23"/>
        <v>0</v>
      </c>
      <c r="F72" s="107">
        <f t="shared" si="23"/>
        <v>0</v>
      </c>
      <c r="G72" s="107">
        <f t="shared" si="23"/>
        <v>330920708.86075944</v>
      </c>
      <c r="H72" s="107">
        <f t="shared" si="23"/>
        <v>614314226.53296077</v>
      </c>
      <c r="I72" s="107">
        <f t="shared" si="23"/>
        <v>830118577.66415179</v>
      </c>
    </row>
    <row r="73" spans="2:11">
      <c r="B73" s="41" t="str">
        <f>H$6</f>
        <v>D</v>
      </c>
      <c r="C73" s="102" t="e">
        <f>#REF!</f>
        <v>#REF!</v>
      </c>
      <c r="D73" s="107">
        <f t="shared" ref="D73:I73" si="24">IF(INDEX($D$54:$I$54,0,MATCH($B$73,$D$6:$I$6,0))=0,0,IF(INDEX($D$14:$I$14,0,MATCH($B73,$D$6:$I$6,0))&gt;INDEX($D$14:$I$14,0,MATCH(D$68,$D$6:$I$6,0)),0,SUM($D$54:$H$54)*D$36))</f>
        <v>0</v>
      </c>
      <c r="E73" s="107">
        <f t="shared" si="24"/>
        <v>0</v>
      </c>
      <c r="F73" s="107">
        <f t="shared" si="24"/>
        <v>0</v>
      </c>
      <c r="G73" s="107">
        <f t="shared" si="24"/>
        <v>0</v>
      </c>
      <c r="H73" s="107">
        <f t="shared" si="24"/>
        <v>689914226.53296077</v>
      </c>
      <c r="I73" s="107">
        <f t="shared" si="24"/>
        <v>932276336.28484154</v>
      </c>
    </row>
    <row r="74" spans="2:11">
      <c r="B74" s="41" t="str">
        <f>I$6</f>
        <v>E</v>
      </c>
      <c r="C74" s="102" t="e">
        <f>#REF!</f>
        <v>#REF!</v>
      </c>
      <c r="D74" s="107">
        <f t="shared" ref="D74:I74" si="25">IF(INDEX($D$54:$I$54,0,MATCH($B$74,$D$6:$I$6,0))=0,0,IF(INDEX($D$14:$I$14,0,MATCH($B74,$D$6:$I$6,0))&gt;INDEX($D$14:$I$14,0,MATCH(D$68,$D$6:$I$6,0)),0,SUM($D$54:$I$54)*D$36))</f>
        <v>0</v>
      </c>
      <c r="E74" s="107">
        <f t="shared" si="25"/>
        <v>0</v>
      </c>
      <c r="F74" s="107">
        <f t="shared" si="25"/>
        <v>0</v>
      </c>
      <c r="G74" s="107">
        <f t="shared" si="25"/>
        <v>0</v>
      </c>
      <c r="H74" s="107">
        <f t="shared" si="25"/>
        <v>0</v>
      </c>
      <c r="I74" s="107">
        <f t="shared" si="25"/>
        <v>1078576336.2848415</v>
      </c>
    </row>
    <row r="75" spans="2:11">
      <c r="C75" s="102"/>
      <c r="D75" s="107"/>
      <c r="E75" s="107"/>
      <c r="F75" s="107"/>
      <c r="G75" s="107"/>
      <c r="H75" s="107"/>
      <c r="I75" s="107"/>
    </row>
    <row r="76" spans="2:11">
      <c r="B76" s="2" t="s">
        <v>382</v>
      </c>
      <c r="C76" s="102"/>
      <c r="D76" s="122" t="str">
        <f t="shared" ref="D76:I76" si="26">D6</f>
        <v>Seed</v>
      </c>
      <c r="E76" s="122" t="str">
        <f t="shared" si="26"/>
        <v>A</v>
      </c>
      <c r="F76" s="122" t="str">
        <f t="shared" si="26"/>
        <v>B</v>
      </c>
      <c r="G76" s="122" t="str">
        <f t="shared" si="26"/>
        <v>C</v>
      </c>
      <c r="H76" s="122" t="str">
        <f t="shared" si="26"/>
        <v>D</v>
      </c>
      <c r="I76" s="122" t="str">
        <f t="shared" si="26"/>
        <v>E</v>
      </c>
    </row>
    <row r="77" spans="2:11">
      <c r="B77" s="41" t="str">
        <f>D$6</f>
        <v>Seed</v>
      </c>
      <c r="C77" s="102" t="s">
        <v>170</v>
      </c>
      <c r="D77" s="49">
        <f t="shared" ref="D77:I77" si="27">IFERROR(D69/(SUM($D$53:$D$53)),0)</f>
        <v>0.23999999999999994</v>
      </c>
      <c r="E77" s="49">
        <f t="shared" si="27"/>
        <v>3.36</v>
      </c>
      <c r="F77" s="49">
        <f t="shared" si="27"/>
        <v>22.464000000000002</v>
      </c>
      <c r="G77" s="49">
        <f t="shared" si="27"/>
        <v>113.78551898734176</v>
      </c>
      <c r="H77" s="49">
        <f t="shared" si="27"/>
        <v>211.22903830346871</v>
      </c>
      <c r="I77" s="49">
        <f t="shared" si="27"/>
        <v>285.432342707489</v>
      </c>
    </row>
    <row r="78" spans="2:11">
      <c r="B78" s="41" t="str">
        <f>E$6</f>
        <v>A</v>
      </c>
      <c r="C78" s="102" t="s">
        <v>170</v>
      </c>
      <c r="D78" s="49">
        <f>IFERROR(D70/(SUM($D$53:$D$53)),0)</f>
        <v>0</v>
      </c>
      <c r="E78" s="49">
        <f>IFERROR(E70/(SUM($D$53:$E$53)),0)</f>
        <v>1.0266666666666666</v>
      </c>
      <c r="F78" s="49">
        <f>IFERROR(F70/(SUM($D$53:$E$53)),0)</f>
        <v>6.8639999999999999</v>
      </c>
      <c r="G78" s="49">
        <f>IFERROR(G70/(SUM($D$53:$E$53)),0)</f>
        <v>34.767797468354424</v>
      </c>
      <c r="H78" s="49">
        <f>IFERROR(H70/(SUM($D$53:$E$53)),0)</f>
        <v>64.542206148282105</v>
      </c>
      <c r="I78" s="49">
        <f>IFERROR(I70/(SUM($D$53:$E$53)),0)</f>
        <v>87.215438049510524</v>
      </c>
    </row>
    <row r="79" spans="2:11">
      <c r="B79" s="41" t="str">
        <f>F$6</f>
        <v>B</v>
      </c>
      <c r="C79" s="102" t="s">
        <v>170</v>
      </c>
      <c r="D79" s="49">
        <f>IFERROR(D71/(SUM($D$53:$D$53)),0)</f>
        <v>0</v>
      </c>
      <c r="E79" s="49">
        <f>IFERROR(E71/(SUM($D$53:$E$53)),0)</f>
        <v>0</v>
      </c>
      <c r="F79" s="49">
        <f>IFERROR(F71/(SUM($D$53:$F$53)),0)</f>
        <v>2.4301702127659572</v>
      </c>
      <c r="G79" s="49">
        <f>IFERROR(G71/(SUM($D$53:$F$53)),0)</f>
        <v>12.309391866415295</v>
      </c>
      <c r="H79" s="49">
        <f>IFERROR(H71/(SUM($D$53:$F$53)),0)</f>
        <v>22.850895519777826</v>
      </c>
      <c r="I79" s="49">
        <f>IFERROR(I71/(SUM($D$53:$F$53)),0)</f>
        <v>30.878257523492884</v>
      </c>
    </row>
    <row r="80" spans="2:11">
      <c r="B80" s="41" t="str">
        <f>G$6</f>
        <v>C</v>
      </c>
      <c r="C80" s="102" t="s">
        <v>170</v>
      </c>
      <c r="D80" s="49">
        <f>IFERROR(D72/(SUM($D$53:$D$53)),0)</f>
        <v>0</v>
      </c>
      <c r="E80" s="49">
        <f>IFERROR(E72/(SUM($D$53:$E$53)),0)</f>
        <v>0</v>
      </c>
      <c r="F80" s="49">
        <f>IFERROR(F72/(SUM($D$53:$F$53)),0)</f>
        <v>0</v>
      </c>
      <c r="G80" s="49">
        <f>IFERROR(G72/(SUM($D$53:$G$53)),0)</f>
        <v>5.656764254030076</v>
      </c>
      <c r="H80" s="49">
        <f>IFERROR(H72/(SUM($D$53:$G$53)),0)</f>
        <v>10.501097889452321</v>
      </c>
      <c r="I80" s="49">
        <f>IFERROR(I72/(SUM($D$53:$G$53)),0)</f>
        <v>14.190061156652167</v>
      </c>
    </row>
    <row r="81" spans="2:11">
      <c r="B81" s="41" t="str">
        <f>H$6</f>
        <v>D</v>
      </c>
      <c r="C81" s="102" t="s">
        <v>170</v>
      </c>
      <c r="D81" s="49">
        <f>IFERROR(D73/(SUM($D$53:$D$53)),0)</f>
        <v>0</v>
      </c>
      <c r="E81" s="49">
        <f>IFERROR(E73/(SUM($D$53:$E$53)),0)</f>
        <v>0</v>
      </c>
      <c r="F81" s="49">
        <f>IFERROR(F73/(SUM($D$53:$F$53)),0)</f>
        <v>0</v>
      </c>
      <c r="G81" s="49">
        <f>IFERROR(G73/(SUM($D$53:$G$53)),0)</f>
        <v>0</v>
      </c>
      <c r="H81" s="49">
        <f>IFERROR(H73/(SUM($D$53:$H$53)),0)</f>
        <v>5.3689823076495005</v>
      </c>
      <c r="I81" s="49">
        <f>IFERROR(I73/(SUM($D$53:$H$53)),0)</f>
        <v>7.25506876486258</v>
      </c>
    </row>
    <row r="82" spans="2:11">
      <c r="B82" s="41" t="str">
        <f>I$6</f>
        <v>E</v>
      </c>
      <c r="C82" s="102" t="s">
        <v>170</v>
      </c>
      <c r="D82" s="49">
        <f>IFERROR(D74/(SUM($D$53:$D$53)),0)</f>
        <v>0</v>
      </c>
      <c r="E82" s="49">
        <f>IFERROR(E74/(SUM($D$53:$E$53)),0)</f>
        <v>0</v>
      </c>
      <c r="F82" s="49">
        <f>IFERROR(F74/(SUM($D$53:$F$53)),0)</f>
        <v>0</v>
      </c>
      <c r="G82" s="49">
        <f>IFERROR(G74/(SUM($D$53:$G$53)),0)</f>
        <v>0</v>
      </c>
      <c r="H82" s="49">
        <f>IFERROR(H74/(SUM($D$53:$H$53)),0)</f>
        <v>0</v>
      </c>
      <c r="I82" s="49">
        <f>IFERROR(I74/(SUM($D$53:$I$53)),0)</f>
        <v>4.0170440829975478</v>
      </c>
    </row>
    <row r="83" spans="2:11">
      <c r="C83" s="102"/>
      <c r="D83" s="107"/>
      <c r="E83" s="107"/>
      <c r="F83" s="107"/>
      <c r="G83" s="107"/>
      <c r="H83" s="107"/>
      <c r="I83" s="107"/>
    </row>
    <row r="84" spans="2:11">
      <c r="B84" s="2" t="s">
        <v>376</v>
      </c>
      <c r="C84" s="102"/>
      <c r="D84" s="122" t="str">
        <f t="shared" ref="D84:I84" si="28">D6</f>
        <v>Seed</v>
      </c>
      <c r="E84" s="122" t="str">
        <f t="shared" si="28"/>
        <v>A</v>
      </c>
      <c r="F84" s="122" t="str">
        <f t="shared" si="28"/>
        <v>B</v>
      </c>
      <c r="G84" s="122" t="str">
        <f t="shared" si="28"/>
        <v>C</v>
      </c>
      <c r="H84" s="122" t="str">
        <f t="shared" si="28"/>
        <v>D</v>
      </c>
      <c r="I84" s="122" t="str">
        <f t="shared" si="28"/>
        <v>E</v>
      </c>
      <c r="K84" s="111" t="s">
        <v>400</v>
      </c>
    </row>
    <row r="85" spans="2:11">
      <c r="B85" s="41" t="str">
        <f>D$6</f>
        <v>Seed</v>
      </c>
      <c r="C85" s="102" t="s">
        <v>50</v>
      </c>
      <c r="D85" s="123">
        <f t="shared" ref="D85:I85" ca="1" si="29">INDEX($P109:$P114,MATCH(D$34,$J$108:$O$108,0))</f>
        <v>-0.75999999754130854</v>
      </c>
      <c r="E85" s="123">
        <f t="shared" ca="1" si="29"/>
        <v>0.62424349188804629</v>
      </c>
      <c r="F85" s="123">
        <f t="shared" ca="1" si="29"/>
        <v>1.1759079098701479</v>
      </c>
      <c r="G85" s="123">
        <f t="shared" ca="1" si="29"/>
        <v>1.3655227541923527</v>
      </c>
      <c r="H85" s="123">
        <f t="shared" ca="1" si="29"/>
        <v>1.147078359127045</v>
      </c>
      <c r="I85" s="123">
        <f t="shared" ca="1" si="29"/>
        <v>0.94462641477584852</v>
      </c>
    </row>
    <row r="86" spans="2:11">
      <c r="B86" s="41" t="str">
        <f>E$6</f>
        <v>A</v>
      </c>
      <c r="C86" s="102" t="s">
        <v>50</v>
      </c>
      <c r="D86" s="123" t="str">
        <f t="shared" ref="D86:I86" ca="1" si="30">INDEX($P116:$P121,MATCH(D$34,$J$108:$O$108,0))</f>
        <v>na</v>
      </c>
      <c r="E86" s="123">
        <f t="shared" ca="1" si="30"/>
        <v>2.1185663342475892E-2</v>
      </c>
      <c r="F86" s="123">
        <f t="shared" ca="1" si="30"/>
        <v>0.95042604207992554</v>
      </c>
      <c r="G86" s="123">
        <f t="shared" ca="1" si="30"/>
        <v>1.2356731772422793</v>
      </c>
      <c r="H86" s="123">
        <f t="shared" ca="1" si="30"/>
        <v>1.0277454257011416</v>
      </c>
      <c r="I86" s="123">
        <f t="shared" ca="1" si="30"/>
        <v>0.83385850191116329</v>
      </c>
    </row>
    <row r="87" spans="2:11">
      <c r="B87" s="41" t="str">
        <f>F$6</f>
        <v>B</v>
      </c>
      <c r="C87" s="102" t="s">
        <v>50</v>
      </c>
      <c r="D87" s="123" t="str">
        <f t="shared" ref="D87:I87" ca="1" si="31">INDEX($P123:$P128,MATCH(D$34,$J$108:$O$108,0))</f>
        <v>na</v>
      </c>
      <c r="E87" s="123" t="str">
        <f t="shared" ca="1" si="31"/>
        <v>na</v>
      </c>
      <c r="F87" s="123">
        <f t="shared" ca="1" si="31"/>
        <v>0.70131539106369023</v>
      </c>
      <c r="G87" s="123">
        <f t="shared" ca="1" si="31"/>
        <v>1.1434364914894104</v>
      </c>
      <c r="H87" s="123">
        <f t="shared" ca="1" si="31"/>
        <v>0.93457933664321913</v>
      </c>
      <c r="I87" s="123">
        <f t="shared" ca="1" si="31"/>
        <v>0.74172877073287968</v>
      </c>
    </row>
    <row r="88" spans="2:11">
      <c r="B88" s="41" t="str">
        <f>G$6</f>
        <v>C</v>
      </c>
      <c r="C88" s="102" t="s">
        <v>50</v>
      </c>
      <c r="D88" s="123" t="str">
        <f t="shared" ref="D88:I88" ca="1" si="32">INDEX($P130:$P135,MATCH(D$34,$J$108:$O$108,0))</f>
        <v>na</v>
      </c>
      <c r="E88" s="123" t="str">
        <f t="shared" ca="1" si="32"/>
        <v>na</v>
      </c>
      <c r="F88" s="123" t="str">
        <f t="shared" ca="1" si="32"/>
        <v>na</v>
      </c>
      <c r="G88" s="123">
        <f t="shared" ca="1" si="32"/>
        <v>1.0787555575370791</v>
      </c>
      <c r="H88" s="123">
        <f t="shared" ca="1" si="32"/>
        <v>0.86607216596603398</v>
      </c>
      <c r="I88" s="123">
        <f t="shared" ca="1" si="32"/>
        <v>0.67146843075752261</v>
      </c>
    </row>
    <row r="89" spans="2:11">
      <c r="B89" s="41" t="str">
        <f>H$6</f>
        <v>D</v>
      </c>
      <c r="C89" s="102" t="s">
        <v>50</v>
      </c>
      <c r="D89" s="123" t="str">
        <f t="shared" ref="D89:I89" ca="1" si="33">INDEX($P137:$P142,MATCH(D$34,$J$108:$O$108,0))</f>
        <v>na</v>
      </c>
      <c r="E89" s="123" t="str">
        <f t="shared" ca="1" si="33"/>
        <v>na</v>
      </c>
      <c r="F89" s="123" t="str">
        <f t="shared" ca="1" si="33"/>
        <v>na</v>
      </c>
      <c r="G89" s="123" t="str">
        <f t="shared" ca="1" si="33"/>
        <v>na</v>
      </c>
      <c r="H89" s="123">
        <f t="shared" ca="1" si="33"/>
        <v>0.8280052304267882</v>
      </c>
      <c r="I89" s="123">
        <f t="shared" ca="1" si="33"/>
        <v>0.53287493586540235</v>
      </c>
    </row>
    <row r="90" spans="2:11">
      <c r="B90" s="41" t="str">
        <f>I$6</f>
        <v>E</v>
      </c>
      <c r="C90" s="102" t="s">
        <v>50</v>
      </c>
      <c r="D90" s="123" t="str">
        <f t="shared" ref="D90:I90" ca="1" si="34">INDEX($P144:$P149,MATCH(D$34,$J$108:$O$108,0))</f>
        <v>na</v>
      </c>
      <c r="E90" s="123" t="str">
        <f t="shared" ca="1" si="34"/>
        <v>na</v>
      </c>
      <c r="F90" s="123" t="str">
        <f t="shared" ca="1" si="34"/>
        <v>na</v>
      </c>
      <c r="G90" s="123" t="str">
        <f t="shared" ca="1" si="34"/>
        <v>na</v>
      </c>
      <c r="H90" s="123" t="str">
        <f t="shared" ca="1" si="34"/>
        <v>na</v>
      </c>
      <c r="I90" s="123">
        <f t="shared" ca="1" si="34"/>
        <v>0.59170518517494208</v>
      </c>
    </row>
    <row r="91" spans="2:11">
      <c r="C91" s="102"/>
      <c r="D91" s="107"/>
      <c r="E91" s="107"/>
      <c r="F91" s="107"/>
      <c r="G91" s="107"/>
      <c r="H91" s="107"/>
      <c r="I91" s="107"/>
    </row>
    <row r="92" spans="2:11">
      <c r="C92" s="102"/>
      <c r="D92" s="107"/>
      <c r="E92" s="107"/>
      <c r="F92" s="107"/>
      <c r="G92" s="107"/>
      <c r="H92" s="107"/>
      <c r="I92" s="107"/>
    </row>
    <row r="93" spans="2:11">
      <c r="B93" s="19" t="s">
        <v>381</v>
      </c>
      <c r="D93" s="6"/>
      <c r="E93" s="6"/>
      <c r="F93" s="6"/>
      <c r="G93" s="6"/>
      <c r="H93" s="6"/>
      <c r="I93" s="6"/>
    </row>
    <row r="94" spans="2:11">
      <c r="B94" s="34" t="s">
        <v>383</v>
      </c>
      <c r="D94" s="6"/>
      <c r="E94" s="6"/>
      <c r="F94" s="6"/>
      <c r="G94" s="6"/>
      <c r="H94" s="6"/>
      <c r="I94" s="6"/>
    </row>
    <row r="95" spans="2:11">
      <c r="B95" s="19"/>
      <c r="D95" s="6"/>
      <c r="E95" s="6"/>
      <c r="F95" s="6"/>
      <c r="G95" s="6"/>
      <c r="H95" s="6"/>
      <c r="I95" s="6"/>
    </row>
    <row r="96" spans="2:11">
      <c r="B96" s="2" t="s">
        <v>371</v>
      </c>
      <c r="C96" s="102" t="s">
        <v>170</v>
      </c>
      <c r="D96" s="87">
        <f>IFERROR(SUMPRODUCT($D59:D59,$D$30:D$30)/SUM($D$30:D$30),0)</f>
        <v>0.23999999999999994</v>
      </c>
      <c r="E96" s="87">
        <f>IFERROR(SUMPRODUCT($D59:E59,$D$30:E$30)/SUM($D$30:E$30),0)</f>
        <v>0.57714285714285718</v>
      </c>
      <c r="F96" s="87">
        <f>IFERROR(SUMPRODUCT($D59:F59,$D$30:F$30)/SUM($D$30:F$30),0)</f>
        <v>0.75646808510638297</v>
      </c>
      <c r="G96" s="87">
        <f>IFERROR(SUMPRODUCT($D59:G59,$D$30:G$30)/SUM($D$30:G$30),0)</f>
        <v>0.87222311271875363</v>
      </c>
      <c r="H96" s="87">
        <f>IFERROR(SUMPRODUCT($D59:H59,$D$30:H$30)/SUM($D$30:H$30),0)</f>
        <v>0.89862287315866018</v>
      </c>
      <c r="I96" s="87">
        <f>IFERROR(SUMPRODUCT($D59:I59,$D$30:I$30)/SUM($D$30:I$30),0)</f>
        <v>0.9047135395841267</v>
      </c>
    </row>
    <row r="97" spans="2:16">
      <c r="B97" s="2" t="s">
        <v>372</v>
      </c>
      <c r="C97" s="102" t="s">
        <v>50</v>
      </c>
      <c r="D97" s="5">
        <f>IFERROR(SUMPRODUCT($D60:D60,$D$30:D$30)/SUM($D$30:D$30),0)</f>
        <v>-0.76</v>
      </c>
      <c r="E97" s="5">
        <f>IFERROR(SUMPRODUCT($D60:E60,$D$30:E$30)/SUM($D$30:E$30),0)</f>
        <v>-0.42285714285714288</v>
      </c>
      <c r="F97" s="5">
        <f>IFERROR(SUMPRODUCT($D60:F60,$D$30:F$30)/SUM($D$30:F$30),0)</f>
        <v>-0.243531914893617</v>
      </c>
      <c r="G97" s="5">
        <f>IFERROR(SUMPRODUCT($D60:G60,$D$30:G$30)/SUM($D$30:G$30),0)</f>
        <v>-0.12777688728124631</v>
      </c>
      <c r="H97" s="5">
        <f>IFERROR(SUMPRODUCT($D60:H60,$D$30:H$30)/SUM($D$30:H$30),0)</f>
        <v>-0.10137712684133977</v>
      </c>
      <c r="I97" s="5">
        <f>IFERROR(SUMPRODUCT($D60:I60,$D$30:I$30)/SUM($D$30:I$30),0)</f>
        <v>-9.5286460415873186E-2</v>
      </c>
      <c r="K97" s="111" t="s">
        <v>401</v>
      </c>
    </row>
    <row r="98" spans="2:16">
      <c r="B98" s="2" t="s">
        <v>374</v>
      </c>
      <c r="C98" s="102" t="s">
        <v>50</v>
      </c>
      <c r="D98" s="5">
        <f ca="1">IFERROR(SUMPRODUCT($D61:D61,$D$30:D$30)/SUM($D$30:D$30),0)</f>
        <v>-0.75999999754130854</v>
      </c>
      <c r="E98" s="5">
        <f ca="1">IFERROR(SUMPRODUCT($D61:E61,$D$30:E$30)/SUM($D$30:E$30),0)</f>
        <v>-0.42520614287682951</v>
      </c>
      <c r="F98" s="5">
        <f ca="1">IFERROR(SUMPRODUCT($D61:F61,$D$30:F$30)/SUM($D$30:F$30),0)</f>
        <v>-0.31618792991484368</v>
      </c>
      <c r="G98" s="5">
        <f ca="1">IFERROR(SUMPRODUCT($D61:G61,$D$30:G$30)/SUM($D$30:G$30),0)</f>
        <v>-0.28323650895141245</v>
      </c>
      <c r="H98" s="5">
        <f ca="1">IFERROR(SUMPRODUCT($D61:H61,$D$30:H$30)/SUM($D$30:H$30),0)</f>
        <v>-0.2767125848454739</v>
      </c>
      <c r="I98" s="5">
        <f ca="1">IFERROR(SUMPRODUCT($D61:I61,$D$30:I$30)/SUM($D$30:I$30),0)</f>
        <v>-0.27501645638840277</v>
      </c>
      <c r="K98" s="111" t="s">
        <v>402</v>
      </c>
    </row>
    <row r="99" spans="2:16">
      <c r="D99" s="6"/>
      <c r="E99" s="6"/>
      <c r="F99" s="6"/>
      <c r="G99" s="6"/>
      <c r="H99" s="6"/>
      <c r="I99" s="6"/>
    </row>
    <row r="100" spans="2:16">
      <c r="D100" s="6"/>
      <c r="E100" s="6"/>
      <c r="F100" s="6"/>
      <c r="G100" s="6"/>
      <c r="H100" s="6"/>
      <c r="I100" s="6"/>
    </row>
    <row r="101" spans="2:16">
      <c r="B101" s="33" t="s">
        <v>54</v>
      </c>
      <c r="E101" s="2"/>
    </row>
    <row r="102" spans="2:16">
      <c r="B102" s="2" t="s">
        <v>327</v>
      </c>
    </row>
    <row r="103" spans="2:16">
      <c r="B103" s="2" t="s">
        <v>328</v>
      </c>
    </row>
    <row r="106" spans="2:16">
      <c r="B106" s="34" t="s">
        <v>379</v>
      </c>
      <c r="E106" s="108"/>
      <c r="K106" s="111" t="s">
        <v>403</v>
      </c>
    </row>
    <row r="107" spans="2:16" hidden="1" outlineLevel="1">
      <c r="E107" s="2"/>
      <c r="J107" s="124" t="str">
        <f t="shared" ref="J107:O107" si="35">D68</f>
        <v>Seed</v>
      </c>
      <c r="K107" s="124" t="str">
        <f t="shared" si="35"/>
        <v>A</v>
      </c>
      <c r="L107" s="124" t="str">
        <f t="shared" si="35"/>
        <v>B</v>
      </c>
      <c r="M107" s="124" t="str">
        <f t="shared" si="35"/>
        <v>C</v>
      </c>
      <c r="N107" s="124" t="str">
        <f t="shared" si="35"/>
        <v>D</v>
      </c>
      <c r="O107" s="124" t="str">
        <f t="shared" si="35"/>
        <v>E</v>
      </c>
    </row>
    <row r="108" spans="2:16" hidden="1" outlineLevel="1">
      <c r="B108" s="2" t="s">
        <v>373</v>
      </c>
      <c r="C108" s="43" t="s">
        <v>301</v>
      </c>
      <c r="D108" s="108">
        <f t="shared" ref="D108:I108" si="36">D14</f>
        <v>43101</v>
      </c>
      <c r="E108" s="108">
        <f t="shared" si="36"/>
        <v>43647</v>
      </c>
      <c r="F108" s="108">
        <f t="shared" si="36"/>
        <v>44197</v>
      </c>
      <c r="G108" s="108">
        <f t="shared" si="36"/>
        <v>44743</v>
      </c>
      <c r="H108" s="108">
        <f t="shared" si="36"/>
        <v>45292</v>
      </c>
      <c r="I108" s="108">
        <f t="shared" si="36"/>
        <v>45839</v>
      </c>
      <c r="J108" s="108">
        <f t="shared" ref="J108:O108" si="37">D34</f>
        <v>43466</v>
      </c>
      <c r="K108" s="108">
        <f t="shared" si="37"/>
        <v>44013</v>
      </c>
      <c r="L108" s="108">
        <f t="shared" si="37"/>
        <v>44562</v>
      </c>
      <c r="M108" s="108">
        <f t="shared" si="37"/>
        <v>45108</v>
      </c>
      <c r="N108" s="108">
        <f t="shared" si="37"/>
        <v>45658</v>
      </c>
      <c r="O108" s="108">
        <f t="shared" si="37"/>
        <v>46204</v>
      </c>
      <c r="P108" s="46" t="s">
        <v>370</v>
      </c>
    </row>
    <row r="109" spans="2:16" hidden="1" outlineLevel="1">
      <c r="B109" s="41" t="str">
        <f>D$6</f>
        <v>Seed</v>
      </c>
      <c r="C109" s="102" t="e">
        <f>#REF!</f>
        <v>#REF!</v>
      </c>
      <c r="D109" s="4">
        <f t="shared" ref="D109:I114" si="38">IF(D$108&lt;=INDEX($D$14:$I$14,0,MATCH($B109,$D$6:$I$6,0)),-1*INDEX($D$53:$I$53,0,MATCH(D$108,$D$14:$I$14,0)),0)</f>
        <v>-1000000</v>
      </c>
      <c r="E109" s="4">
        <f t="shared" si="38"/>
        <v>0</v>
      </c>
      <c r="F109" s="4">
        <f t="shared" si="38"/>
        <v>0</v>
      </c>
      <c r="G109" s="4">
        <f t="shared" si="38"/>
        <v>0</v>
      </c>
      <c r="H109" s="4">
        <f t="shared" si="38"/>
        <v>0</v>
      </c>
      <c r="I109" s="4">
        <f t="shared" si="38"/>
        <v>0</v>
      </c>
      <c r="J109" s="4">
        <f>INDEX($D$69:$I$69,0,MATCH(J$107,$D$68:$I$68,0))</f>
        <v>239999.99999999994</v>
      </c>
      <c r="K109" s="4">
        <v>0</v>
      </c>
      <c r="L109" s="4">
        <v>0</v>
      </c>
      <c r="M109" s="4">
        <v>0</v>
      </c>
      <c r="N109" s="4">
        <v>0</v>
      </c>
      <c r="O109" s="4">
        <v>0</v>
      </c>
      <c r="P109" s="120">
        <f ca="1">IFERROR(XIRR(INDIRECT(ADDRESS(ROW(D109),COLUMN(D109)+MATCH(INDEX(D109:O109,MATCH(TRUE,INDEX(D109:O109&lt;&gt;0,),0)),D109:O109,0)-1,4)&amp;":"&amp;ADDRESS(ROW(D109),COLUMN(C109)+MATCH(O$108,D$108:O$108,1),4)),INDIRECT(ADDRESS(ROW(D$108),COLUMN(D$108)+MATCH(INDEX(D109:O109,MATCH(TRUE,INDEX(D109:O109&lt;&gt;0,),0)),D109:O109,0)-1,4)&amp;":"&amp;ADDRESS(ROW(D$108),COLUMN(C$108)+MATCH(O$108,D$108:O$108,1),4))),"na")</f>
        <v>-0.75999999754130854</v>
      </c>
    </row>
    <row r="110" spans="2:16" hidden="1" outlineLevel="1">
      <c r="B110" s="41" t="str">
        <f t="shared" ref="B110:B114" si="39">D$6</f>
        <v>Seed</v>
      </c>
      <c r="C110" s="102" t="e">
        <f>#REF!</f>
        <v>#REF!</v>
      </c>
      <c r="D110" s="4">
        <f t="shared" si="38"/>
        <v>-1000000</v>
      </c>
      <c r="E110" s="4">
        <f t="shared" si="38"/>
        <v>0</v>
      </c>
      <c r="F110" s="4">
        <f t="shared" si="38"/>
        <v>0</v>
      </c>
      <c r="G110" s="4">
        <f t="shared" si="38"/>
        <v>0</v>
      </c>
      <c r="H110" s="4">
        <f t="shared" si="38"/>
        <v>0</v>
      </c>
      <c r="I110" s="4">
        <f t="shared" si="38"/>
        <v>0</v>
      </c>
      <c r="J110" s="4">
        <v>0</v>
      </c>
      <c r="K110" s="4">
        <f>INDEX($D$69:$I$69,0,MATCH(K$107,$D$68:$I$68,0))</f>
        <v>3360000</v>
      </c>
      <c r="L110" s="4">
        <v>0</v>
      </c>
      <c r="M110" s="4">
        <v>0</v>
      </c>
      <c r="N110" s="4">
        <v>0</v>
      </c>
      <c r="O110" s="4">
        <v>0</v>
      </c>
      <c r="P110" s="120">
        <f t="shared" ref="P110:P114" ca="1" si="40">IFERROR(XIRR(INDIRECT(ADDRESS(ROW(D110),COLUMN(D110)+MATCH(INDEX(D110:O110,MATCH(TRUE,INDEX(D110:O110&lt;&gt;0,),0)),D110:O110,0)-1,4)&amp;":"&amp;ADDRESS(ROW(D110),COLUMN(C110)+MATCH(O$108,D$108:O$108,1),4)),INDIRECT(ADDRESS(ROW(D$108),COLUMN(D$108)+MATCH(INDEX(D110:O110,MATCH(TRUE,INDEX(D110:O110&lt;&gt;0,),0)),D110:O110,0)-1,4)&amp;":"&amp;ADDRESS(ROW(D$108),COLUMN(C$108)+MATCH(O$108,D$108:O$108,1),4))),"na")</f>
        <v>0.62424349188804629</v>
      </c>
    </row>
    <row r="111" spans="2:16" hidden="1" outlineLevel="1">
      <c r="B111" s="41" t="str">
        <f t="shared" si="39"/>
        <v>Seed</v>
      </c>
      <c r="C111" s="102" t="e">
        <f>#REF!</f>
        <v>#REF!</v>
      </c>
      <c r="D111" s="4">
        <f t="shared" si="38"/>
        <v>-1000000</v>
      </c>
      <c r="E111" s="4">
        <f t="shared" si="38"/>
        <v>0</v>
      </c>
      <c r="F111" s="4">
        <f t="shared" si="38"/>
        <v>0</v>
      </c>
      <c r="G111" s="4">
        <f t="shared" si="38"/>
        <v>0</v>
      </c>
      <c r="H111" s="4">
        <f t="shared" si="38"/>
        <v>0</v>
      </c>
      <c r="I111" s="4">
        <f t="shared" si="38"/>
        <v>0</v>
      </c>
      <c r="J111" s="4">
        <v>0</v>
      </c>
      <c r="K111" s="4">
        <v>0</v>
      </c>
      <c r="L111" s="4">
        <f>INDEX($D$69:$I$69,0,MATCH(L$107,$D$68:$I$68,0))</f>
        <v>22464000.000000004</v>
      </c>
      <c r="M111" s="4">
        <v>0</v>
      </c>
      <c r="N111" s="4">
        <v>0</v>
      </c>
      <c r="O111" s="4">
        <v>0</v>
      </c>
      <c r="P111" s="120">
        <f t="shared" ca="1" si="40"/>
        <v>1.1759079098701479</v>
      </c>
    </row>
    <row r="112" spans="2:16" hidden="1" outlineLevel="1">
      <c r="B112" s="41" t="str">
        <f t="shared" si="39"/>
        <v>Seed</v>
      </c>
      <c r="C112" s="102" t="e">
        <f>#REF!</f>
        <v>#REF!</v>
      </c>
      <c r="D112" s="4">
        <f t="shared" si="38"/>
        <v>-1000000</v>
      </c>
      <c r="E112" s="4">
        <f t="shared" si="38"/>
        <v>0</v>
      </c>
      <c r="F112" s="4">
        <f t="shared" si="38"/>
        <v>0</v>
      </c>
      <c r="G112" s="4">
        <f t="shared" si="38"/>
        <v>0</v>
      </c>
      <c r="H112" s="4">
        <f t="shared" si="38"/>
        <v>0</v>
      </c>
      <c r="I112" s="4">
        <f t="shared" si="38"/>
        <v>0</v>
      </c>
      <c r="J112" s="4">
        <v>0</v>
      </c>
      <c r="K112" s="4">
        <v>0</v>
      </c>
      <c r="L112" s="4">
        <v>0</v>
      </c>
      <c r="M112" s="4">
        <f>INDEX($D$69:$I$69,0,MATCH(M$107,$D$68:$I$68,0))</f>
        <v>113785518.98734176</v>
      </c>
      <c r="N112" s="4">
        <v>0</v>
      </c>
      <c r="O112" s="4">
        <v>0</v>
      </c>
      <c r="P112" s="120">
        <f t="shared" ca="1" si="40"/>
        <v>1.3655227541923527</v>
      </c>
    </row>
    <row r="113" spans="2:16" hidden="1" outlineLevel="1">
      <c r="B113" s="41" t="str">
        <f t="shared" si="39"/>
        <v>Seed</v>
      </c>
      <c r="C113" s="102" t="e">
        <f>#REF!</f>
        <v>#REF!</v>
      </c>
      <c r="D113" s="4">
        <f t="shared" si="38"/>
        <v>-1000000</v>
      </c>
      <c r="E113" s="4">
        <f t="shared" si="38"/>
        <v>0</v>
      </c>
      <c r="F113" s="4">
        <f t="shared" si="38"/>
        <v>0</v>
      </c>
      <c r="G113" s="4">
        <f t="shared" si="38"/>
        <v>0</v>
      </c>
      <c r="H113" s="4">
        <f t="shared" si="38"/>
        <v>0</v>
      </c>
      <c r="I113" s="4">
        <f t="shared" si="38"/>
        <v>0</v>
      </c>
      <c r="J113" s="4">
        <v>0</v>
      </c>
      <c r="K113" s="4">
        <v>0</v>
      </c>
      <c r="L113" s="4">
        <v>0</v>
      </c>
      <c r="M113" s="4">
        <v>0</v>
      </c>
      <c r="N113" s="4">
        <f>INDEX($D$69:$I$69,0,MATCH(N$107,$D$68:$I$68,0))</f>
        <v>211229038.3034687</v>
      </c>
      <c r="O113" s="4">
        <v>0</v>
      </c>
      <c r="P113" s="120">
        <f t="shared" ca="1" si="40"/>
        <v>1.147078359127045</v>
      </c>
    </row>
    <row r="114" spans="2:16" hidden="1" outlineLevel="1">
      <c r="B114" s="41" t="str">
        <f t="shared" si="39"/>
        <v>Seed</v>
      </c>
      <c r="C114" s="102" t="e">
        <f>#REF!</f>
        <v>#REF!</v>
      </c>
      <c r="D114" s="4">
        <f t="shared" si="38"/>
        <v>-1000000</v>
      </c>
      <c r="E114" s="4">
        <f t="shared" si="38"/>
        <v>0</v>
      </c>
      <c r="F114" s="4">
        <f t="shared" si="38"/>
        <v>0</v>
      </c>
      <c r="G114" s="4">
        <f t="shared" si="38"/>
        <v>0</v>
      </c>
      <c r="H114" s="4">
        <f t="shared" si="38"/>
        <v>0</v>
      </c>
      <c r="I114" s="4">
        <f t="shared" si="38"/>
        <v>0</v>
      </c>
      <c r="J114" s="4">
        <v>0</v>
      </c>
      <c r="K114" s="4">
        <v>0</v>
      </c>
      <c r="L114" s="4">
        <v>0</v>
      </c>
      <c r="M114" s="4">
        <v>0</v>
      </c>
      <c r="N114" s="4">
        <v>0</v>
      </c>
      <c r="O114" s="4">
        <f>INDEX($D$69:$I$69,0,MATCH(O$107,$D$68:$I$68,0))</f>
        <v>285432342.70748901</v>
      </c>
      <c r="P114" s="120">
        <f t="shared" ca="1" si="40"/>
        <v>0.94462641477584852</v>
      </c>
    </row>
    <row r="115" spans="2:16" hidden="1" outlineLevel="1">
      <c r="P115" s="5"/>
    </row>
    <row r="116" spans="2:16" hidden="1" outlineLevel="1">
      <c r="B116" s="41" t="str">
        <f>E$6</f>
        <v>A</v>
      </c>
      <c r="C116" s="102" t="e">
        <f>#REF!</f>
        <v>#REF!</v>
      </c>
      <c r="D116" s="4">
        <f t="shared" ref="D116:I121" si="41">IF(D$108&lt;=INDEX($D$14:$I$14,0,MATCH($B116,$D$6:$I$6,0)),-1*INDEX($D$53:$I$53,0,MATCH(D$108,$D$14:$I$14,0)),0)</f>
        <v>-1000000</v>
      </c>
      <c r="E116" s="4">
        <f t="shared" si="41"/>
        <v>-5000000</v>
      </c>
      <c r="F116" s="4">
        <f t="shared" si="41"/>
        <v>0</v>
      </c>
      <c r="G116" s="4">
        <f t="shared" si="41"/>
        <v>0</v>
      </c>
      <c r="H116" s="4">
        <f t="shared" si="41"/>
        <v>0</v>
      </c>
      <c r="I116" s="4">
        <f t="shared" si="41"/>
        <v>0</v>
      </c>
      <c r="J116" s="4">
        <v>0</v>
      </c>
      <c r="K116" s="4">
        <v>0</v>
      </c>
      <c r="L116" s="4">
        <v>0</v>
      </c>
      <c r="M116" s="4">
        <v>0</v>
      </c>
      <c r="N116" s="4">
        <v>0</v>
      </c>
      <c r="O116" s="4">
        <v>0</v>
      </c>
      <c r="P116" s="120" t="str">
        <f t="shared" ref="P116:P121" ca="1" si="42">IFERROR(XIRR(INDIRECT(ADDRESS(ROW(D116),COLUMN(D116)+MATCH(INDEX(D116:O116,MATCH(TRUE,INDEX(D116:O116&lt;&gt;0,),0)),D116:O116,0)-1,4)&amp;":"&amp;ADDRESS(ROW(D116),COLUMN(C116)+MATCH(O$108,D$108:O$108,1),4)),INDIRECT(ADDRESS(ROW(D$108),COLUMN(D$108)+MATCH(INDEX(D116:O116,MATCH(TRUE,INDEX(D116:O116&lt;&gt;0,),0)),D116:O116,0)-1,4)&amp;":"&amp;ADDRESS(ROW(D$108),COLUMN(C$108)+MATCH(O$108,D$108:O$108,1),4))),"na")</f>
        <v>na</v>
      </c>
    </row>
    <row r="117" spans="2:16" hidden="1" outlineLevel="1">
      <c r="B117" s="41" t="str">
        <f t="shared" ref="B117:B121" si="43">E$6</f>
        <v>A</v>
      </c>
      <c r="C117" s="102" t="e">
        <f>#REF!</f>
        <v>#REF!</v>
      </c>
      <c r="D117" s="4">
        <f t="shared" si="41"/>
        <v>-1000000</v>
      </c>
      <c r="E117" s="4">
        <f t="shared" si="41"/>
        <v>-5000000</v>
      </c>
      <c r="F117" s="4">
        <f t="shared" si="41"/>
        <v>0</v>
      </c>
      <c r="G117" s="4">
        <f t="shared" si="41"/>
        <v>0</v>
      </c>
      <c r="H117" s="4">
        <f t="shared" si="41"/>
        <v>0</v>
      </c>
      <c r="I117" s="4">
        <f t="shared" si="41"/>
        <v>0</v>
      </c>
      <c r="J117" s="4">
        <v>0</v>
      </c>
      <c r="K117" s="4">
        <f>INDEX($D$70:$I$70,0,MATCH(K$107,$D$68:$I$68,0))</f>
        <v>6160000</v>
      </c>
      <c r="L117" s="4">
        <v>0</v>
      </c>
      <c r="M117" s="4">
        <v>0</v>
      </c>
      <c r="N117" s="4">
        <v>0</v>
      </c>
      <c r="O117" s="4">
        <v>0</v>
      </c>
      <c r="P117" s="120">
        <f t="shared" ca="1" si="42"/>
        <v>2.1185663342475892E-2</v>
      </c>
    </row>
    <row r="118" spans="2:16" hidden="1" outlineLevel="1">
      <c r="B118" s="41" t="str">
        <f t="shared" si="43"/>
        <v>A</v>
      </c>
      <c r="C118" s="102" t="e">
        <f>#REF!</f>
        <v>#REF!</v>
      </c>
      <c r="D118" s="4">
        <f t="shared" si="41"/>
        <v>-1000000</v>
      </c>
      <c r="E118" s="4">
        <f t="shared" si="41"/>
        <v>-5000000</v>
      </c>
      <c r="F118" s="4">
        <f t="shared" si="41"/>
        <v>0</v>
      </c>
      <c r="G118" s="4">
        <f t="shared" si="41"/>
        <v>0</v>
      </c>
      <c r="H118" s="4">
        <f t="shared" si="41"/>
        <v>0</v>
      </c>
      <c r="I118" s="4">
        <f t="shared" si="41"/>
        <v>0</v>
      </c>
      <c r="J118" s="4">
        <v>0</v>
      </c>
      <c r="K118" s="4">
        <v>0</v>
      </c>
      <c r="L118" s="4">
        <f>INDEX($D$70:$I$70,0,MATCH(L$107,$D$68:$I$68,0))</f>
        <v>41184000</v>
      </c>
      <c r="M118" s="4">
        <v>0</v>
      </c>
      <c r="N118" s="4">
        <v>0</v>
      </c>
      <c r="O118" s="4">
        <v>0</v>
      </c>
      <c r="P118" s="120">
        <f t="shared" ca="1" si="42"/>
        <v>0.95042604207992554</v>
      </c>
    </row>
    <row r="119" spans="2:16" hidden="1" outlineLevel="1">
      <c r="B119" s="41" t="str">
        <f t="shared" si="43"/>
        <v>A</v>
      </c>
      <c r="C119" s="102" t="e">
        <f>#REF!</f>
        <v>#REF!</v>
      </c>
      <c r="D119" s="4">
        <f t="shared" si="41"/>
        <v>-1000000</v>
      </c>
      <c r="E119" s="4">
        <f t="shared" si="41"/>
        <v>-5000000</v>
      </c>
      <c r="F119" s="4">
        <f t="shared" si="41"/>
        <v>0</v>
      </c>
      <c r="G119" s="4">
        <f t="shared" si="41"/>
        <v>0</v>
      </c>
      <c r="H119" s="4">
        <f t="shared" si="41"/>
        <v>0</v>
      </c>
      <c r="I119" s="4">
        <f t="shared" si="41"/>
        <v>0</v>
      </c>
      <c r="J119" s="4">
        <v>0</v>
      </c>
      <c r="K119" s="4">
        <v>0</v>
      </c>
      <c r="L119" s="4">
        <v>0</v>
      </c>
      <c r="M119" s="4">
        <f>INDEX($D$70:$I$70,0,MATCH(M$107,$D$68:$I$68,0))</f>
        <v>208606784.81012654</v>
      </c>
      <c r="N119" s="4">
        <v>0</v>
      </c>
      <c r="O119" s="4">
        <v>0</v>
      </c>
      <c r="P119" s="120">
        <f t="shared" ca="1" si="42"/>
        <v>1.2356731772422793</v>
      </c>
    </row>
    <row r="120" spans="2:16" hidden="1" outlineLevel="1">
      <c r="B120" s="41" t="str">
        <f t="shared" si="43"/>
        <v>A</v>
      </c>
      <c r="C120" s="102" t="e">
        <f>#REF!</f>
        <v>#REF!</v>
      </c>
      <c r="D120" s="4">
        <f t="shared" si="41"/>
        <v>-1000000</v>
      </c>
      <c r="E120" s="4">
        <f t="shared" si="41"/>
        <v>-5000000</v>
      </c>
      <c r="F120" s="4">
        <f t="shared" si="41"/>
        <v>0</v>
      </c>
      <c r="G120" s="4">
        <f t="shared" si="41"/>
        <v>0</v>
      </c>
      <c r="H120" s="4">
        <f t="shared" si="41"/>
        <v>0</v>
      </c>
      <c r="I120" s="4">
        <f t="shared" si="41"/>
        <v>0</v>
      </c>
      <c r="J120" s="4">
        <v>0</v>
      </c>
      <c r="K120" s="4">
        <v>0</v>
      </c>
      <c r="L120" s="4">
        <v>0</v>
      </c>
      <c r="M120" s="4">
        <v>0</v>
      </c>
      <c r="N120" s="4">
        <f>INDEX($D$70:$I$70,0,MATCH(N$107,$D$68:$I$68,0))</f>
        <v>387253236.8896926</v>
      </c>
      <c r="O120" s="4">
        <v>0</v>
      </c>
      <c r="P120" s="120">
        <f t="shared" ca="1" si="42"/>
        <v>1.0277454257011416</v>
      </c>
    </row>
    <row r="121" spans="2:16" hidden="1" outlineLevel="1">
      <c r="B121" s="41" t="str">
        <f t="shared" si="43"/>
        <v>A</v>
      </c>
      <c r="C121" s="102" t="e">
        <f>#REF!</f>
        <v>#REF!</v>
      </c>
      <c r="D121" s="4">
        <f t="shared" si="41"/>
        <v>-1000000</v>
      </c>
      <c r="E121" s="4">
        <f t="shared" si="41"/>
        <v>-5000000</v>
      </c>
      <c r="F121" s="4">
        <f t="shared" si="41"/>
        <v>0</v>
      </c>
      <c r="G121" s="4">
        <f t="shared" si="41"/>
        <v>0</v>
      </c>
      <c r="H121" s="4">
        <f t="shared" si="41"/>
        <v>0</v>
      </c>
      <c r="I121" s="4">
        <f t="shared" si="41"/>
        <v>0</v>
      </c>
      <c r="J121" s="4">
        <v>0</v>
      </c>
      <c r="K121" s="4">
        <v>0</v>
      </c>
      <c r="L121" s="4">
        <v>0</v>
      </c>
      <c r="M121" s="4">
        <v>0</v>
      </c>
      <c r="N121" s="4">
        <v>0</v>
      </c>
      <c r="O121" s="4">
        <f>INDEX($D$70:$I$70,0,MATCH(O$107,$D$68:$I$68,0))</f>
        <v>523292628.29706311</v>
      </c>
      <c r="P121" s="120">
        <f t="shared" ca="1" si="42"/>
        <v>0.83385850191116329</v>
      </c>
    </row>
    <row r="122" spans="2:16" hidden="1" outlineLevel="1"/>
    <row r="123" spans="2:16" hidden="1" outlineLevel="1">
      <c r="B123" s="41" t="str">
        <f>F$6</f>
        <v>B</v>
      </c>
      <c r="C123" s="102" t="e">
        <f>#REF!</f>
        <v>#REF!</v>
      </c>
      <c r="D123" s="4">
        <f t="shared" ref="D123:I128" si="44">IF(D$108&lt;=INDEX($D$14:$I$14,0,MATCH($B123,$D$6:$I$6,0)),-1*INDEX($D$53:$I$53,0,MATCH(D$108,$D$14:$I$14,0)),0)</f>
        <v>-1000000</v>
      </c>
      <c r="E123" s="4">
        <f t="shared" si="44"/>
        <v>-5000000</v>
      </c>
      <c r="F123" s="4">
        <f t="shared" si="44"/>
        <v>-17500000</v>
      </c>
      <c r="G123" s="4">
        <f t="shared" si="44"/>
        <v>0</v>
      </c>
      <c r="H123" s="4">
        <f t="shared" si="44"/>
        <v>0</v>
      </c>
      <c r="I123" s="4">
        <f t="shared" si="44"/>
        <v>0</v>
      </c>
      <c r="J123" s="4">
        <v>0</v>
      </c>
      <c r="K123" s="4">
        <v>0</v>
      </c>
      <c r="L123" s="4">
        <v>0</v>
      </c>
      <c r="M123" s="4">
        <v>0</v>
      </c>
      <c r="N123" s="4">
        <v>0</v>
      </c>
      <c r="O123" s="4">
        <v>0</v>
      </c>
      <c r="P123" s="120" t="str">
        <f t="shared" ref="P123:P135" ca="1" si="45">IFERROR(XIRR(INDIRECT(ADDRESS(ROW(D123),COLUMN(D123)+MATCH(INDEX(D123:O123,MATCH(TRUE,INDEX(D123:O123&lt;&gt;0,),0)),D123:O123,0)-1,4)&amp;":"&amp;ADDRESS(ROW(D123),COLUMN(C123)+MATCH(O$108,D$108:O$108,1),4)),INDIRECT(ADDRESS(ROW(D$108),COLUMN(D$108)+MATCH(INDEX(D123:O123,MATCH(TRUE,INDEX(D123:O123&lt;&gt;0,),0)),D123:O123,0)-1,4)&amp;":"&amp;ADDRESS(ROW(D$108),COLUMN(C$108)+MATCH(O$108,D$108:O$108,1),4))),"na")</f>
        <v>na</v>
      </c>
    </row>
    <row r="124" spans="2:16" hidden="1" outlineLevel="1">
      <c r="B124" s="41" t="str">
        <f>F$6</f>
        <v>B</v>
      </c>
      <c r="C124" s="102" t="e">
        <f>#REF!</f>
        <v>#REF!</v>
      </c>
      <c r="D124" s="4">
        <f t="shared" si="44"/>
        <v>-1000000</v>
      </c>
      <c r="E124" s="4">
        <f t="shared" si="44"/>
        <v>-5000000</v>
      </c>
      <c r="F124" s="4">
        <f t="shared" si="44"/>
        <v>-17500000</v>
      </c>
      <c r="G124" s="4">
        <f t="shared" si="44"/>
        <v>0</v>
      </c>
      <c r="H124" s="4">
        <f t="shared" si="44"/>
        <v>0</v>
      </c>
      <c r="I124" s="4">
        <f t="shared" si="44"/>
        <v>0</v>
      </c>
      <c r="J124" s="4">
        <v>0</v>
      </c>
      <c r="K124" s="4">
        <v>0</v>
      </c>
      <c r="L124" s="4">
        <v>0</v>
      </c>
      <c r="M124" s="4">
        <v>0</v>
      </c>
      <c r="N124" s="4">
        <v>0</v>
      </c>
      <c r="O124" s="4">
        <v>0</v>
      </c>
      <c r="P124" s="120" t="str">
        <f t="shared" ca="1" si="45"/>
        <v>na</v>
      </c>
    </row>
    <row r="125" spans="2:16" hidden="1" outlineLevel="1">
      <c r="B125" s="41" t="str">
        <f>F$6</f>
        <v>B</v>
      </c>
      <c r="C125" s="102" t="e">
        <f>#REF!</f>
        <v>#REF!</v>
      </c>
      <c r="D125" s="4">
        <f t="shared" si="44"/>
        <v>-1000000</v>
      </c>
      <c r="E125" s="4">
        <f t="shared" si="44"/>
        <v>-5000000</v>
      </c>
      <c r="F125" s="4">
        <f t="shared" si="44"/>
        <v>-17500000</v>
      </c>
      <c r="G125" s="4">
        <f t="shared" si="44"/>
        <v>0</v>
      </c>
      <c r="H125" s="4">
        <f t="shared" si="44"/>
        <v>0</v>
      </c>
      <c r="I125" s="4">
        <f t="shared" si="44"/>
        <v>0</v>
      </c>
      <c r="J125" s="4">
        <v>0</v>
      </c>
      <c r="K125" s="4">
        <v>0</v>
      </c>
      <c r="L125" s="4">
        <f>INDEX($D$71:$I$71,0,MATCH(L$107,$D$68:$I$68,0))</f>
        <v>57109000</v>
      </c>
      <c r="M125" s="4">
        <v>0</v>
      </c>
      <c r="N125" s="4">
        <v>0</v>
      </c>
      <c r="O125" s="4">
        <v>0</v>
      </c>
      <c r="P125" s="120">
        <f t="shared" ca="1" si="45"/>
        <v>0.70131539106369023</v>
      </c>
    </row>
    <row r="126" spans="2:16" hidden="1" outlineLevel="1">
      <c r="B126" s="41" t="str">
        <f t="shared" ref="B126:B128" si="46">F$6</f>
        <v>B</v>
      </c>
      <c r="C126" s="102" t="e">
        <f>#REF!</f>
        <v>#REF!</v>
      </c>
      <c r="D126" s="4">
        <f t="shared" si="44"/>
        <v>-1000000</v>
      </c>
      <c r="E126" s="4">
        <f t="shared" si="44"/>
        <v>-5000000</v>
      </c>
      <c r="F126" s="4">
        <f t="shared" si="44"/>
        <v>-17500000</v>
      </c>
      <c r="G126" s="4">
        <f t="shared" si="44"/>
        <v>0</v>
      </c>
      <c r="H126" s="4">
        <f t="shared" si="44"/>
        <v>0</v>
      </c>
      <c r="I126" s="4">
        <f t="shared" si="44"/>
        <v>0</v>
      </c>
      <c r="J126" s="4">
        <v>0</v>
      </c>
      <c r="K126" s="4">
        <v>0</v>
      </c>
      <c r="L126" s="4">
        <v>0</v>
      </c>
      <c r="M126" s="4">
        <f>INDEX($D$71:$I$71,0,MATCH(M$107,$D$68:$I$68,0))</f>
        <v>289270708.86075944</v>
      </c>
      <c r="N126" s="4">
        <v>0</v>
      </c>
      <c r="O126" s="4">
        <v>0</v>
      </c>
      <c r="P126" s="120">
        <f t="shared" ca="1" si="45"/>
        <v>1.1434364914894104</v>
      </c>
    </row>
    <row r="127" spans="2:16" hidden="1" outlineLevel="1">
      <c r="B127" s="41" t="str">
        <f t="shared" si="46"/>
        <v>B</v>
      </c>
      <c r="C127" s="102" t="e">
        <f>#REF!</f>
        <v>#REF!</v>
      </c>
      <c r="D127" s="4">
        <f t="shared" si="44"/>
        <v>-1000000</v>
      </c>
      <c r="E127" s="4">
        <f t="shared" si="44"/>
        <v>-5000000</v>
      </c>
      <c r="F127" s="4">
        <f t="shared" si="44"/>
        <v>-17500000</v>
      </c>
      <c r="G127" s="4">
        <f t="shared" si="44"/>
        <v>0</v>
      </c>
      <c r="H127" s="4">
        <f t="shared" si="44"/>
        <v>0</v>
      </c>
      <c r="I127" s="4">
        <f t="shared" si="44"/>
        <v>0</v>
      </c>
      <c r="J127" s="4">
        <v>0</v>
      </c>
      <c r="K127" s="4">
        <v>0</v>
      </c>
      <c r="L127" s="4">
        <v>0</v>
      </c>
      <c r="M127" s="4">
        <v>0</v>
      </c>
      <c r="N127" s="4">
        <f>INDEX($D$71:$I$71,0,MATCH(N$107,$D$68:$I$68,0))</f>
        <v>536996044.7147789</v>
      </c>
      <c r="O127" s="4">
        <v>0</v>
      </c>
      <c r="P127" s="120">
        <f t="shared" ca="1" si="45"/>
        <v>0.93457933664321913</v>
      </c>
    </row>
    <row r="128" spans="2:16" hidden="1" outlineLevel="1">
      <c r="B128" s="41" t="str">
        <f t="shared" si="46"/>
        <v>B</v>
      </c>
      <c r="C128" s="102" t="e">
        <f>#REF!</f>
        <v>#REF!</v>
      </c>
      <c r="D128" s="4">
        <f t="shared" si="44"/>
        <v>-1000000</v>
      </c>
      <c r="E128" s="4">
        <f t="shared" si="44"/>
        <v>-5000000</v>
      </c>
      <c r="F128" s="4">
        <f t="shared" si="44"/>
        <v>-17500000</v>
      </c>
      <c r="G128" s="4">
        <f t="shared" si="44"/>
        <v>0</v>
      </c>
      <c r="H128" s="4">
        <f t="shared" si="44"/>
        <v>0</v>
      </c>
      <c r="I128" s="4">
        <f t="shared" si="44"/>
        <v>0</v>
      </c>
      <c r="J128" s="4">
        <v>0</v>
      </c>
      <c r="K128" s="4">
        <v>0</v>
      </c>
      <c r="L128" s="4">
        <v>0</v>
      </c>
      <c r="M128" s="4">
        <v>0</v>
      </c>
      <c r="N128" s="4">
        <v>0</v>
      </c>
      <c r="O128" s="4">
        <f>INDEX($D$71:$I$71,0,MATCH(O$107,$D$68:$I$68,0))</f>
        <v>725639051.80208278</v>
      </c>
      <c r="P128" s="120">
        <f t="shared" ca="1" si="45"/>
        <v>0.74172877073287968</v>
      </c>
    </row>
    <row r="129" spans="2:16" hidden="1" outlineLevel="1"/>
    <row r="130" spans="2:16" hidden="1" outlineLevel="1">
      <c r="B130" s="41" t="str">
        <f t="shared" ref="B130:B135" si="47">G$6</f>
        <v>C</v>
      </c>
      <c r="C130" s="102" t="e">
        <f>#REF!</f>
        <v>#REF!</v>
      </c>
      <c r="D130" s="4">
        <f t="shared" ref="D130:I135" si="48">IF(D$108&lt;=INDEX($D$14:$I$14,0,MATCH($B130,$D$6:$I$6,0)),-1*INDEX($D$53:$I$53,0,MATCH(D$108,$D$14:$I$14,0)),0)</f>
        <v>-1000000</v>
      </c>
      <c r="E130" s="4">
        <f t="shared" si="48"/>
        <v>-5000000</v>
      </c>
      <c r="F130" s="4">
        <f t="shared" si="48"/>
        <v>-17500000</v>
      </c>
      <c r="G130" s="4">
        <f t="shared" si="48"/>
        <v>-35000000</v>
      </c>
      <c r="H130" s="4">
        <f t="shared" si="48"/>
        <v>0</v>
      </c>
      <c r="I130" s="4">
        <f t="shared" si="48"/>
        <v>0</v>
      </c>
      <c r="J130" s="4">
        <v>0</v>
      </c>
      <c r="K130" s="4">
        <v>0</v>
      </c>
      <c r="L130" s="4">
        <v>0</v>
      </c>
      <c r="M130" s="4">
        <v>0</v>
      </c>
      <c r="N130" s="4">
        <v>0</v>
      </c>
      <c r="O130" s="4">
        <v>0</v>
      </c>
      <c r="P130" s="120" t="str">
        <f t="shared" ca="1" si="45"/>
        <v>na</v>
      </c>
    </row>
    <row r="131" spans="2:16" hidden="1" outlineLevel="1">
      <c r="B131" s="41" t="str">
        <f t="shared" si="47"/>
        <v>C</v>
      </c>
      <c r="C131" s="102" t="e">
        <f>#REF!</f>
        <v>#REF!</v>
      </c>
      <c r="D131" s="4">
        <f t="shared" si="48"/>
        <v>-1000000</v>
      </c>
      <c r="E131" s="4">
        <f t="shared" si="48"/>
        <v>-5000000</v>
      </c>
      <c r="F131" s="4">
        <f t="shared" si="48"/>
        <v>-17500000</v>
      </c>
      <c r="G131" s="4">
        <f t="shared" si="48"/>
        <v>-35000000</v>
      </c>
      <c r="H131" s="4">
        <f t="shared" si="48"/>
        <v>0</v>
      </c>
      <c r="I131" s="4">
        <f t="shared" si="48"/>
        <v>0</v>
      </c>
      <c r="J131" s="4">
        <v>0</v>
      </c>
      <c r="K131" s="4">
        <v>0</v>
      </c>
      <c r="L131" s="4">
        <v>0</v>
      </c>
      <c r="M131" s="4">
        <v>0</v>
      </c>
      <c r="N131" s="4">
        <v>0</v>
      </c>
      <c r="O131" s="4">
        <v>0</v>
      </c>
      <c r="P131" s="120" t="str">
        <f t="shared" ca="1" si="45"/>
        <v>na</v>
      </c>
    </row>
    <row r="132" spans="2:16" hidden="1" outlineLevel="1">
      <c r="B132" s="41" t="str">
        <f t="shared" si="47"/>
        <v>C</v>
      </c>
      <c r="C132" s="102" t="e">
        <f>#REF!</f>
        <v>#REF!</v>
      </c>
      <c r="D132" s="4">
        <f t="shared" si="48"/>
        <v>-1000000</v>
      </c>
      <c r="E132" s="4">
        <f t="shared" si="48"/>
        <v>-5000000</v>
      </c>
      <c r="F132" s="4">
        <f t="shared" si="48"/>
        <v>-17500000</v>
      </c>
      <c r="G132" s="4">
        <f t="shared" si="48"/>
        <v>-35000000</v>
      </c>
      <c r="H132" s="4">
        <f t="shared" si="48"/>
        <v>0</v>
      </c>
      <c r="I132" s="4">
        <f t="shared" si="48"/>
        <v>0</v>
      </c>
      <c r="J132" s="4">
        <v>0</v>
      </c>
      <c r="K132" s="4">
        <v>0</v>
      </c>
      <c r="L132" s="4">
        <v>0</v>
      </c>
      <c r="M132" s="4">
        <v>0</v>
      </c>
      <c r="N132" s="4">
        <v>0</v>
      </c>
      <c r="O132" s="4">
        <v>0</v>
      </c>
      <c r="P132" s="120" t="str">
        <f t="shared" ca="1" si="45"/>
        <v>na</v>
      </c>
    </row>
    <row r="133" spans="2:16" hidden="1" outlineLevel="1">
      <c r="B133" s="41" t="str">
        <f t="shared" si="47"/>
        <v>C</v>
      </c>
      <c r="C133" s="102" t="e">
        <f>#REF!</f>
        <v>#REF!</v>
      </c>
      <c r="D133" s="4">
        <f t="shared" si="48"/>
        <v>-1000000</v>
      </c>
      <c r="E133" s="4">
        <f t="shared" si="48"/>
        <v>-5000000</v>
      </c>
      <c r="F133" s="4">
        <f t="shared" si="48"/>
        <v>-17500000</v>
      </c>
      <c r="G133" s="4">
        <f t="shared" si="48"/>
        <v>-35000000</v>
      </c>
      <c r="H133" s="4">
        <f t="shared" si="48"/>
        <v>0</v>
      </c>
      <c r="I133" s="4">
        <f t="shared" si="48"/>
        <v>0</v>
      </c>
      <c r="J133" s="4">
        <v>0</v>
      </c>
      <c r="K133" s="4">
        <v>0</v>
      </c>
      <c r="L133" s="4">
        <v>0</v>
      </c>
      <c r="M133" s="4">
        <f>INDEX($D$72:$I$72,0,MATCH(M$107,$D$68:$I$68,0))</f>
        <v>330920708.86075944</v>
      </c>
      <c r="N133" s="4">
        <v>0</v>
      </c>
      <c r="O133" s="4">
        <v>0</v>
      </c>
      <c r="P133" s="120">
        <f t="shared" ca="1" si="45"/>
        <v>1.0787555575370791</v>
      </c>
    </row>
    <row r="134" spans="2:16" hidden="1" outlineLevel="1">
      <c r="B134" s="41" t="str">
        <f t="shared" si="47"/>
        <v>C</v>
      </c>
      <c r="C134" s="102" t="e">
        <f>#REF!</f>
        <v>#REF!</v>
      </c>
      <c r="D134" s="4">
        <f t="shared" si="48"/>
        <v>-1000000</v>
      </c>
      <c r="E134" s="4">
        <f t="shared" si="48"/>
        <v>-5000000</v>
      </c>
      <c r="F134" s="4">
        <f t="shared" si="48"/>
        <v>-17500000</v>
      </c>
      <c r="G134" s="4">
        <f t="shared" si="48"/>
        <v>-35000000</v>
      </c>
      <c r="H134" s="4">
        <f t="shared" si="48"/>
        <v>0</v>
      </c>
      <c r="I134" s="4">
        <f t="shared" si="48"/>
        <v>0</v>
      </c>
      <c r="J134" s="4">
        <v>0</v>
      </c>
      <c r="K134" s="4">
        <v>0</v>
      </c>
      <c r="L134" s="4">
        <v>0</v>
      </c>
      <c r="M134" s="4">
        <v>0</v>
      </c>
      <c r="N134" s="4">
        <f>INDEX($D$72:$I$72,0,MATCH(N$107,$D$68:$I$68,0))</f>
        <v>614314226.53296077</v>
      </c>
      <c r="O134" s="4">
        <v>0</v>
      </c>
      <c r="P134" s="120">
        <f t="shared" ca="1" si="45"/>
        <v>0.86607216596603398</v>
      </c>
    </row>
    <row r="135" spans="2:16" hidden="1" outlineLevel="1">
      <c r="B135" s="41" t="str">
        <f t="shared" si="47"/>
        <v>C</v>
      </c>
      <c r="C135" s="102" t="e">
        <f>#REF!</f>
        <v>#REF!</v>
      </c>
      <c r="D135" s="4">
        <f t="shared" si="48"/>
        <v>-1000000</v>
      </c>
      <c r="E135" s="4">
        <f t="shared" si="48"/>
        <v>-5000000</v>
      </c>
      <c r="F135" s="4">
        <f t="shared" si="48"/>
        <v>-17500000</v>
      </c>
      <c r="G135" s="4">
        <f t="shared" si="48"/>
        <v>-35000000</v>
      </c>
      <c r="H135" s="4">
        <f t="shared" si="48"/>
        <v>0</v>
      </c>
      <c r="I135" s="4">
        <f t="shared" si="48"/>
        <v>0</v>
      </c>
      <c r="J135" s="4">
        <v>0</v>
      </c>
      <c r="K135" s="4">
        <v>0</v>
      </c>
      <c r="L135" s="4">
        <v>0</v>
      </c>
      <c r="M135" s="4">
        <v>0</v>
      </c>
      <c r="N135" s="4">
        <v>0</v>
      </c>
      <c r="O135" s="4">
        <f>INDEX($D$72:$I$72,0,MATCH(O$107,$D$68:$I$68,0))</f>
        <v>830118577.66415179</v>
      </c>
      <c r="P135" s="120">
        <f t="shared" ca="1" si="45"/>
        <v>0.67146843075752261</v>
      </c>
    </row>
    <row r="136" spans="2:16" hidden="1" outlineLevel="1"/>
    <row r="137" spans="2:16" hidden="1" outlineLevel="1">
      <c r="B137" s="41" t="str">
        <f t="shared" ref="B137:B140" si="49">H$6</f>
        <v>D</v>
      </c>
      <c r="C137" s="102" t="e">
        <f>#REF!</f>
        <v>#REF!</v>
      </c>
      <c r="D137" s="4">
        <f t="shared" ref="D137:I142" si="50">IF(D$108&lt;=INDEX($D$14:$I$14,0,MATCH($B137,$D$6:$I$6,0)),-1*INDEX($D$53:$I$53,0,MATCH(D$108,$D$14:$I$14,0)),0)</f>
        <v>-1000000</v>
      </c>
      <c r="E137" s="4">
        <f t="shared" si="50"/>
        <v>-5000000</v>
      </c>
      <c r="F137" s="4">
        <f t="shared" si="50"/>
        <v>-17500000</v>
      </c>
      <c r="G137" s="4">
        <f t="shared" si="50"/>
        <v>-35000000</v>
      </c>
      <c r="H137" s="4">
        <f t="shared" si="50"/>
        <v>-70000000</v>
      </c>
      <c r="I137" s="4">
        <f t="shared" si="50"/>
        <v>0</v>
      </c>
      <c r="J137" s="4">
        <v>0</v>
      </c>
      <c r="K137" s="4">
        <v>0</v>
      </c>
      <c r="L137" s="4">
        <v>0</v>
      </c>
      <c r="M137" s="4">
        <v>0</v>
      </c>
      <c r="N137" s="4">
        <v>0</v>
      </c>
      <c r="O137" s="4">
        <v>0</v>
      </c>
      <c r="P137" s="120" t="str">
        <f t="shared" ref="P137:P142" ca="1" si="51">IFERROR(XIRR(INDIRECT(ADDRESS(ROW(D137),COLUMN(D137)+MATCH(INDEX(D137:O137,MATCH(TRUE,INDEX(D137:O137&lt;&gt;0,),0)),D137:O137,0)-1,4)&amp;":"&amp;ADDRESS(ROW(D137),COLUMN(C137)+MATCH(O$108,D$108:O$108,1),4)),INDIRECT(ADDRESS(ROW(D$108),COLUMN(D$108)+MATCH(INDEX(D137:O137,MATCH(TRUE,INDEX(D137:O137&lt;&gt;0,),0)),D137:O137,0)-1,4)&amp;":"&amp;ADDRESS(ROW(D$108),COLUMN(C$108)+MATCH(O$108,D$108:O$108,1),4))),"na")</f>
        <v>na</v>
      </c>
    </row>
    <row r="138" spans="2:16" hidden="1" outlineLevel="1">
      <c r="B138" s="41" t="str">
        <f t="shared" si="49"/>
        <v>D</v>
      </c>
      <c r="C138" s="102" t="e">
        <f>#REF!</f>
        <v>#REF!</v>
      </c>
      <c r="D138" s="4">
        <f t="shared" si="50"/>
        <v>-1000000</v>
      </c>
      <c r="E138" s="4">
        <f t="shared" si="50"/>
        <v>-5000000</v>
      </c>
      <c r="F138" s="4">
        <f t="shared" si="50"/>
        <v>-17500000</v>
      </c>
      <c r="G138" s="4">
        <f t="shared" si="50"/>
        <v>-35000000</v>
      </c>
      <c r="H138" s="4">
        <f t="shared" si="50"/>
        <v>-70000000</v>
      </c>
      <c r="I138" s="4">
        <f t="shared" si="50"/>
        <v>0</v>
      </c>
      <c r="J138" s="4">
        <v>0</v>
      </c>
      <c r="K138" s="4">
        <v>0</v>
      </c>
      <c r="L138" s="4">
        <v>0</v>
      </c>
      <c r="M138" s="4">
        <v>0</v>
      </c>
      <c r="N138" s="4">
        <v>0</v>
      </c>
      <c r="O138" s="4">
        <v>0</v>
      </c>
      <c r="P138" s="120" t="str">
        <f t="shared" ca="1" si="51"/>
        <v>na</v>
      </c>
    </row>
    <row r="139" spans="2:16" hidden="1" outlineLevel="1">
      <c r="B139" s="41" t="str">
        <f t="shared" si="49"/>
        <v>D</v>
      </c>
      <c r="C139" s="102" t="e">
        <f>#REF!</f>
        <v>#REF!</v>
      </c>
      <c r="D139" s="4">
        <f t="shared" si="50"/>
        <v>-1000000</v>
      </c>
      <c r="E139" s="4">
        <f t="shared" si="50"/>
        <v>-5000000</v>
      </c>
      <c r="F139" s="4">
        <f t="shared" si="50"/>
        <v>-17500000</v>
      </c>
      <c r="G139" s="4">
        <f t="shared" si="50"/>
        <v>-35000000</v>
      </c>
      <c r="H139" s="4">
        <f t="shared" si="50"/>
        <v>-70000000</v>
      </c>
      <c r="I139" s="4">
        <f t="shared" si="50"/>
        <v>0</v>
      </c>
      <c r="J139" s="4">
        <v>0</v>
      </c>
      <c r="K139" s="4">
        <v>0</v>
      </c>
      <c r="L139" s="4">
        <v>0</v>
      </c>
      <c r="M139" s="4">
        <v>0</v>
      </c>
      <c r="N139" s="4">
        <v>0</v>
      </c>
      <c r="O139" s="4">
        <v>0</v>
      </c>
      <c r="P139" s="120" t="str">
        <f t="shared" ca="1" si="51"/>
        <v>na</v>
      </c>
    </row>
    <row r="140" spans="2:16" hidden="1" outlineLevel="1">
      <c r="B140" s="41" t="str">
        <f t="shared" si="49"/>
        <v>D</v>
      </c>
      <c r="C140" s="102" t="e">
        <f>#REF!</f>
        <v>#REF!</v>
      </c>
      <c r="D140" s="4">
        <f t="shared" si="50"/>
        <v>-1000000</v>
      </c>
      <c r="E140" s="4">
        <f t="shared" si="50"/>
        <v>-5000000</v>
      </c>
      <c r="F140" s="4">
        <f t="shared" si="50"/>
        <v>-17500000</v>
      </c>
      <c r="G140" s="4">
        <f t="shared" si="50"/>
        <v>-35000000</v>
      </c>
      <c r="H140" s="4">
        <f t="shared" si="50"/>
        <v>-70000000</v>
      </c>
      <c r="I140" s="4">
        <f t="shared" si="50"/>
        <v>0</v>
      </c>
      <c r="J140" s="4">
        <v>0</v>
      </c>
      <c r="K140" s="4">
        <v>0</v>
      </c>
      <c r="L140" s="4">
        <v>0</v>
      </c>
      <c r="M140" s="4">
        <v>0</v>
      </c>
      <c r="N140" s="4">
        <v>0</v>
      </c>
      <c r="O140" s="4">
        <v>0</v>
      </c>
      <c r="P140" s="120" t="str">
        <f t="shared" ca="1" si="51"/>
        <v>na</v>
      </c>
    </row>
    <row r="141" spans="2:16" hidden="1" outlineLevel="1">
      <c r="B141" s="41" t="str">
        <f>H$6</f>
        <v>D</v>
      </c>
      <c r="C141" s="102" t="e">
        <f>#REF!</f>
        <v>#REF!</v>
      </c>
      <c r="D141" s="4">
        <f t="shared" si="50"/>
        <v>-1000000</v>
      </c>
      <c r="E141" s="4">
        <f t="shared" si="50"/>
        <v>-5000000</v>
      </c>
      <c r="F141" s="4">
        <f t="shared" si="50"/>
        <v>-17500000</v>
      </c>
      <c r="G141" s="4">
        <f t="shared" si="50"/>
        <v>-35000000</v>
      </c>
      <c r="H141" s="4">
        <f t="shared" si="50"/>
        <v>-70000000</v>
      </c>
      <c r="I141" s="4">
        <f t="shared" si="50"/>
        <v>0</v>
      </c>
      <c r="J141" s="4">
        <v>0</v>
      </c>
      <c r="K141" s="4">
        <v>0</v>
      </c>
      <c r="L141" s="4">
        <v>0</v>
      </c>
      <c r="M141" s="4">
        <v>0</v>
      </c>
      <c r="N141" s="4">
        <f>INDEX($D$73:$I$73,0,MATCH(N$107,$D$68:$I$68,0))</f>
        <v>689914226.53296077</v>
      </c>
      <c r="O141" s="4">
        <v>0</v>
      </c>
      <c r="P141" s="120">
        <f t="shared" ca="1" si="51"/>
        <v>0.8280052304267882</v>
      </c>
    </row>
    <row r="142" spans="2:16" hidden="1" outlineLevel="1">
      <c r="B142" s="41" t="str">
        <f>I$6</f>
        <v>E</v>
      </c>
      <c r="C142" s="102" t="e">
        <f>#REF!</f>
        <v>#REF!</v>
      </c>
      <c r="D142" s="4">
        <f t="shared" si="50"/>
        <v>-1000000</v>
      </c>
      <c r="E142" s="4">
        <f t="shared" si="50"/>
        <v>-5000000</v>
      </c>
      <c r="F142" s="4">
        <f t="shared" si="50"/>
        <v>-17500000</v>
      </c>
      <c r="G142" s="4">
        <f t="shared" si="50"/>
        <v>-35000000</v>
      </c>
      <c r="H142" s="4">
        <f t="shared" si="50"/>
        <v>-70000000</v>
      </c>
      <c r="I142" s="4">
        <f t="shared" si="50"/>
        <v>-140000000</v>
      </c>
      <c r="J142" s="4">
        <v>0</v>
      </c>
      <c r="K142" s="4">
        <v>0</v>
      </c>
      <c r="L142" s="4">
        <v>0</v>
      </c>
      <c r="M142" s="4">
        <v>0</v>
      </c>
      <c r="N142" s="4">
        <v>0</v>
      </c>
      <c r="O142" s="4">
        <f>INDEX($D$73:$I$73,0,MATCH(O$107,$D$68:$I$68,0))</f>
        <v>932276336.28484154</v>
      </c>
      <c r="P142" s="120">
        <f t="shared" ca="1" si="51"/>
        <v>0.53287493586540235</v>
      </c>
    </row>
    <row r="143" spans="2:16" hidden="1" outlineLevel="1"/>
    <row r="144" spans="2:16" hidden="1" outlineLevel="1">
      <c r="B144" s="41" t="str">
        <f>I$6</f>
        <v>E</v>
      </c>
      <c r="C144" s="102" t="e">
        <f>#REF!</f>
        <v>#REF!</v>
      </c>
      <c r="D144" s="4">
        <f t="shared" ref="D144:I149" si="52">IF(D$108&lt;=INDEX($D$14:$I$14,0,MATCH($B144,$D$6:$I$6,0)),-1*INDEX($D$53:$I$53,0,MATCH(D$108,$D$14:$I$14,0)),0)</f>
        <v>-1000000</v>
      </c>
      <c r="E144" s="4">
        <f t="shared" si="52"/>
        <v>-5000000</v>
      </c>
      <c r="F144" s="4">
        <f t="shared" si="52"/>
        <v>-17500000</v>
      </c>
      <c r="G144" s="4">
        <f t="shared" si="52"/>
        <v>-35000000</v>
      </c>
      <c r="H144" s="4">
        <f t="shared" si="52"/>
        <v>-70000000</v>
      </c>
      <c r="I144" s="4">
        <f t="shared" si="52"/>
        <v>-140000000</v>
      </c>
      <c r="J144" s="4">
        <v>0</v>
      </c>
      <c r="K144" s="4">
        <v>0</v>
      </c>
      <c r="L144" s="4">
        <v>0</v>
      </c>
      <c r="M144" s="4">
        <v>0</v>
      </c>
      <c r="N144" s="4">
        <v>0</v>
      </c>
      <c r="O144" s="4">
        <v>0</v>
      </c>
      <c r="P144" s="120" t="str">
        <f t="shared" ref="P144:P149" ca="1" si="53">IFERROR(XIRR(INDIRECT(ADDRESS(ROW(D144),COLUMN(D144)+MATCH(INDEX(D144:O144,MATCH(TRUE,INDEX(D144:O144&lt;&gt;0,),0)),D144:O144,0)-1,4)&amp;":"&amp;ADDRESS(ROW(D144),COLUMN(C144)+MATCH(O$108,D$108:O$108,1),4)),INDIRECT(ADDRESS(ROW(D$108),COLUMN(D$108)+MATCH(INDEX(D144:O144,MATCH(TRUE,INDEX(D144:O144&lt;&gt;0,),0)),D144:O144,0)-1,4)&amp;":"&amp;ADDRESS(ROW(D$108),COLUMN(C$108)+MATCH(O$108,D$108:O$108,1),4))),"na")</f>
        <v>na</v>
      </c>
    </row>
    <row r="145" spans="2:16" hidden="1" outlineLevel="1">
      <c r="B145" s="41" t="str">
        <f t="shared" ref="B145:B149" si="54">I$6</f>
        <v>E</v>
      </c>
      <c r="C145" s="102" t="e">
        <f>#REF!</f>
        <v>#REF!</v>
      </c>
      <c r="D145" s="4">
        <f t="shared" si="52"/>
        <v>-1000000</v>
      </c>
      <c r="E145" s="4">
        <f t="shared" si="52"/>
        <v>-5000000</v>
      </c>
      <c r="F145" s="4">
        <f t="shared" si="52"/>
        <v>-17500000</v>
      </c>
      <c r="G145" s="4">
        <f t="shared" si="52"/>
        <v>-35000000</v>
      </c>
      <c r="H145" s="4">
        <f t="shared" si="52"/>
        <v>-70000000</v>
      </c>
      <c r="I145" s="4">
        <f t="shared" si="52"/>
        <v>-140000000</v>
      </c>
      <c r="J145" s="4">
        <v>0</v>
      </c>
      <c r="K145" s="4">
        <v>0</v>
      </c>
      <c r="L145" s="4">
        <v>0</v>
      </c>
      <c r="M145" s="4">
        <v>0</v>
      </c>
      <c r="N145" s="4">
        <v>0</v>
      </c>
      <c r="O145" s="4">
        <v>0</v>
      </c>
      <c r="P145" s="120" t="str">
        <f t="shared" ca="1" si="53"/>
        <v>na</v>
      </c>
    </row>
    <row r="146" spans="2:16" hidden="1" outlineLevel="1">
      <c r="B146" s="41" t="str">
        <f t="shared" si="54"/>
        <v>E</v>
      </c>
      <c r="C146" s="102" t="e">
        <f>#REF!</f>
        <v>#REF!</v>
      </c>
      <c r="D146" s="4">
        <f t="shared" si="52"/>
        <v>-1000000</v>
      </c>
      <c r="E146" s="4">
        <f t="shared" si="52"/>
        <v>-5000000</v>
      </c>
      <c r="F146" s="4">
        <f t="shared" si="52"/>
        <v>-17500000</v>
      </c>
      <c r="G146" s="4">
        <f t="shared" si="52"/>
        <v>-35000000</v>
      </c>
      <c r="H146" s="4">
        <f t="shared" si="52"/>
        <v>-70000000</v>
      </c>
      <c r="I146" s="4">
        <f t="shared" si="52"/>
        <v>-140000000</v>
      </c>
      <c r="J146" s="4">
        <v>0</v>
      </c>
      <c r="K146" s="4">
        <v>0</v>
      </c>
      <c r="L146" s="4">
        <v>0</v>
      </c>
      <c r="M146" s="4">
        <v>0</v>
      </c>
      <c r="N146" s="4">
        <v>0</v>
      </c>
      <c r="O146" s="4">
        <v>0</v>
      </c>
      <c r="P146" s="120" t="str">
        <f t="shared" ca="1" si="53"/>
        <v>na</v>
      </c>
    </row>
    <row r="147" spans="2:16" hidden="1" outlineLevel="1">
      <c r="B147" s="41" t="str">
        <f t="shared" si="54"/>
        <v>E</v>
      </c>
      <c r="C147" s="102" t="e">
        <f>#REF!</f>
        <v>#REF!</v>
      </c>
      <c r="D147" s="4">
        <f t="shared" si="52"/>
        <v>-1000000</v>
      </c>
      <c r="E147" s="4">
        <f t="shared" si="52"/>
        <v>-5000000</v>
      </c>
      <c r="F147" s="4">
        <f t="shared" si="52"/>
        <v>-17500000</v>
      </c>
      <c r="G147" s="4">
        <f t="shared" si="52"/>
        <v>-35000000</v>
      </c>
      <c r="H147" s="4">
        <f t="shared" si="52"/>
        <v>-70000000</v>
      </c>
      <c r="I147" s="4">
        <f t="shared" si="52"/>
        <v>-140000000</v>
      </c>
      <c r="J147" s="4">
        <v>0</v>
      </c>
      <c r="K147" s="4">
        <v>0</v>
      </c>
      <c r="L147" s="4">
        <v>0</v>
      </c>
      <c r="M147" s="4">
        <v>0</v>
      </c>
      <c r="N147" s="4">
        <v>0</v>
      </c>
      <c r="O147" s="4">
        <v>0</v>
      </c>
      <c r="P147" s="120" t="str">
        <f t="shared" ca="1" si="53"/>
        <v>na</v>
      </c>
    </row>
    <row r="148" spans="2:16" hidden="1" outlineLevel="1">
      <c r="B148" s="41" t="str">
        <f t="shared" si="54"/>
        <v>E</v>
      </c>
      <c r="C148" s="102" t="e">
        <f>#REF!</f>
        <v>#REF!</v>
      </c>
      <c r="D148" s="4">
        <f t="shared" si="52"/>
        <v>-1000000</v>
      </c>
      <c r="E148" s="4">
        <f t="shared" si="52"/>
        <v>-5000000</v>
      </c>
      <c r="F148" s="4">
        <f t="shared" si="52"/>
        <v>-17500000</v>
      </c>
      <c r="G148" s="4">
        <f t="shared" si="52"/>
        <v>-35000000</v>
      </c>
      <c r="H148" s="4">
        <f t="shared" si="52"/>
        <v>-70000000</v>
      </c>
      <c r="I148" s="4">
        <f t="shared" si="52"/>
        <v>-140000000</v>
      </c>
      <c r="J148" s="4">
        <v>0</v>
      </c>
      <c r="K148" s="4">
        <v>0</v>
      </c>
      <c r="L148" s="4">
        <v>0</v>
      </c>
      <c r="M148" s="4">
        <v>0</v>
      </c>
      <c r="N148" s="4">
        <v>0</v>
      </c>
      <c r="O148" s="4">
        <v>0</v>
      </c>
      <c r="P148" s="120" t="str">
        <f t="shared" ca="1" si="53"/>
        <v>na</v>
      </c>
    </row>
    <row r="149" spans="2:16" hidden="1" outlineLevel="1">
      <c r="B149" s="41" t="str">
        <f t="shared" si="54"/>
        <v>E</v>
      </c>
      <c r="C149" s="102" t="e">
        <f>#REF!</f>
        <v>#REF!</v>
      </c>
      <c r="D149" s="4">
        <f t="shared" si="52"/>
        <v>-1000000</v>
      </c>
      <c r="E149" s="4">
        <f t="shared" si="52"/>
        <v>-5000000</v>
      </c>
      <c r="F149" s="4">
        <f t="shared" si="52"/>
        <v>-17500000</v>
      </c>
      <c r="G149" s="4">
        <f t="shared" si="52"/>
        <v>-35000000</v>
      </c>
      <c r="H149" s="4">
        <f t="shared" si="52"/>
        <v>-70000000</v>
      </c>
      <c r="I149" s="4">
        <f t="shared" si="52"/>
        <v>-140000000</v>
      </c>
      <c r="J149" s="4">
        <v>0</v>
      </c>
      <c r="K149" s="4">
        <v>0</v>
      </c>
      <c r="L149" s="4">
        <v>0</v>
      </c>
      <c r="M149" s="4">
        <v>0</v>
      </c>
      <c r="N149" s="4">
        <v>0</v>
      </c>
      <c r="O149" s="4">
        <f>INDEX($D$74:$I$74,0,MATCH(O$107,$D$68:$I$68,0))</f>
        <v>1078576336.2848415</v>
      </c>
      <c r="P149" s="120">
        <f t="shared" ca="1" si="53"/>
        <v>0.59170518517494208</v>
      </c>
    </row>
    <row r="150" spans="2:16" hidden="1" outlineLevel="1"/>
    <row r="151" spans="2:16" collapsed="1"/>
  </sheetData>
  <conditionalFormatting sqref="D85:I90">
    <cfRule type="colorScale" priority="3">
      <colorScale>
        <cfvo type="min"/>
        <cfvo type="percentile" val="50"/>
        <cfvo type="max"/>
        <color theme="0"/>
        <color rgb="FFFFEB84"/>
        <color rgb="FF63BE7B"/>
      </colorScale>
    </cfRule>
  </conditionalFormatting>
  <conditionalFormatting sqref="D77:I82">
    <cfRule type="colorScale" priority="2">
      <colorScale>
        <cfvo type="min"/>
        <cfvo type="percentile" val="50"/>
        <cfvo type="max"/>
        <color theme="0"/>
        <color rgb="FFFFEB84"/>
        <color rgb="FF63BE7B"/>
      </colorScale>
    </cfRule>
  </conditionalFormatting>
  <conditionalFormatting sqref="D69:I74">
    <cfRule type="colorScale" priority="1">
      <colorScale>
        <cfvo type="min"/>
        <cfvo type="percentile" val="50"/>
        <cfvo type="max"/>
        <color theme="0"/>
        <color rgb="FFFFEB84"/>
        <color rgb="FF63BE7B"/>
      </colorScale>
    </cfRule>
  </conditionalFormatting>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B38"/>
  <sheetViews>
    <sheetView showGridLines="0" workbookViewId="0">
      <pane ySplit="2" topLeftCell="A3" activePane="bottomLeft" state="frozen"/>
      <selection activeCell="B47" sqref="B47"/>
      <selection pane="bottomLeft" activeCell="B7" sqref="B7"/>
    </sheetView>
  </sheetViews>
  <sheetFormatPr baseColWidth="10" defaultRowHeight="17" x14ac:dyDescent="0"/>
  <cols>
    <col min="1" max="1" width="3.6640625" style="15" customWidth="1"/>
    <col min="2" max="2" width="152.83203125" style="17" customWidth="1"/>
    <col min="3" max="3" width="16.6640625" style="15" customWidth="1"/>
    <col min="4" max="8" width="16.1640625" style="15" customWidth="1"/>
    <col min="9" max="10" width="14.33203125" style="15" customWidth="1"/>
    <col min="11" max="18" width="12.6640625" style="15" customWidth="1"/>
    <col min="19" max="23" width="14.33203125" style="15" customWidth="1"/>
    <col min="24" max="26" width="12.6640625" style="15" customWidth="1"/>
    <col min="27" max="27" width="15.33203125" style="15" bestFit="1" customWidth="1"/>
    <col min="28" max="16384" width="10.83203125" style="15"/>
  </cols>
  <sheetData>
    <row r="2" spans="2:2">
      <c r="B2" s="16" t="s">
        <v>30</v>
      </c>
    </row>
    <row r="4" spans="2:2">
      <c r="B4" s="16" t="s">
        <v>678</v>
      </c>
    </row>
    <row r="5" spans="2:2" ht="85">
      <c r="B5" s="17" t="s">
        <v>653</v>
      </c>
    </row>
    <row r="6" spans="2:2" ht="34">
      <c r="B6" s="17" t="s">
        <v>426</v>
      </c>
    </row>
    <row r="7" spans="2:2" ht="34">
      <c r="B7" s="17" t="s">
        <v>652</v>
      </c>
    </row>
    <row r="8" spans="2:2" ht="68">
      <c r="B8" s="17" t="s">
        <v>654</v>
      </c>
    </row>
    <row r="10" spans="2:2">
      <c r="B10" s="16" t="s">
        <v>418</v>
      </c>
    </row>
    <row r="11" spans="2:2" ht="85">
      <c r="B11" s="17" t="s">
        <v>419</v>
      </c>
    </row>
    <row r="13" spans="2:2">
      <c r="B13" s="16" t="s">
        <v>416</v>
      </c>
    </row>
    <row r="14" spans="2:2" ht="34">
      <c r="B14" s="17" t="s">
        <v>417</v>
      </c>
    </row>
    <row r="16" spans="2:2">
      <c r="B16" s="16" t="s">
        <v>360</v>
      </c>
    </row>
    <row r="17" spans="2:2">
      <c r="B17" s="17" t="s">
        <v>31</v>
      </c>
    </row>
    <row r="19" spans="2:2">
      <c r="B19" s="16" t="s">
        <v>104</v>
      </c>
    </row>
    <row r="20" spans="2:2" ht="51">
      <c r="B20" s="17" t="s">
        <v>105</v>
      </c>
    </row>
    <row r="22" spans="2:2">
      <c r="B22" s="16" t="s">
        <v>106</v>
      </c>
    </row>
    <row r="23" spans="2:2" ht="68">
      <c r="B23" s="17" t="s">
        <v>107</v>
      </c>
    </row>
    <row r="25" spans="2:2">
      <c r="B25" s="16" t="s">
        <v>108</v>
      </c>
    </row>
    <row r="26" spans="2:2" ht="51">
      <c r="B26" s="17" t="s">
        <v>109</v>
      </c>
    </row>
    <row r="28" spans="2:2">
      <c r="B28" s="16" t="s">
        <v>110</v>
      </c>
    </row>
    <row r="29" spans="2:2" ht="51">
      <c r="B29" s="17" t="s">
        <v>111</v>
      </c>
    </row>
    <row r="31" spans="2:2">
      <c r="B31" s="16" t="s">
        <v>162</v>
      </c>
    </row>
    <row r="32" spans="2:2" ht="34">
      <c r="B32" s="17" t="s">
        <v>314</v>
      </c>
    </row>
    <row r="33" spans="2:2" s="2" customFormat="1"/>
    <row r="34" spans="2:2">
      <c r="B34" s="16" t="s">
        <v>239</v>
      </c>
    </row>
    <row r="35" spans="2:2" ht="34">
      <c r="B35" s="17" t="s">
        <v>315</v>
      </c>
    </row>
    <row r="36" spans="2:2">
      <c r="B36" s="17" t="s">
        <v>316</v>
      </c>
    </row>
    <row r="37" spans="2:2">
      <c r="B37" s="17" t="s">
        <v>240</v>
      </c>
    </row>
    <row r="38" spans="2:2" ht="34">
      <c r="B38" s="17" t="s">
        <v>241</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14"/>
  <sheetViews>
    <sheetView showGridLines="0" workbookViewId="0">
      <pane ySplit="2" topLeftCell="A3" activePane="bottomLeft" state="frozen"/>
      <selection activeCell="B47" sqref="B47"/>
      <selection pane="bottomLeft" activeCell="B4" sqref="B4"/>
    </sheetView>
  </sheetViews>
  <sheetFormatPr baseColWidth="10" defaultRowHeight="17" x14ac:dyDescent="0"/>
  <cols>
    <col min="1" max="1" width="4.1640625" style="263" customWidth="1"/>
    <col min="2" max="2" width="156.33203125" style="263" customWidth="1"/>
    <col min="3" max="16384" width="10.83203125" style="263"/>
  </cols>
  <sheetData>
    <row r="1" spans="2:2">
      <c r="B1" s="262"/>
    </row>
    <row r="2" spans="2:2">
      <c r="B2" s="264" t="s">
        <v>584</v>
      </c>
    </row>
    <row r="3" spans="2:2">
      <c r="B3" s="264"/>
    </row>
    <row r="4" spans="2:2" ht="34">
      <c r="B4" s="262" t="str">
        <f>"This Investor Presentation is provided for informational purposes only and does not constitute an offer to buy or a solicitation of an offer to invest, or to procure an investment in "&amp;'Cap Table'!D62&amp;" (the “Company”)."</f>
        <v>This Investor Presentation is provided for informational purposes only and does not constitute an offer to buy or a solicitation of an offer to invest, or to procure an investment in Company (the “Company”).</v>
      </c>
    </row>
    <row r="5" spans="2:2" ht="9" customHeight="1">
      <c r="B5" s="262"/>
    </row>
    <row r="6" spans="2:2" ht="51">
      <c r="B6" s="262" t="s">
        <v>585</v>
      </c>
    </row>
    <row r="7" spans="2:2" ht="8" customHeight="1">
      <c r="B7" s="262"/>
    </row>
    <row r="8" spans="2:2" ht="119">
      <c r="B8" s="262" t="s">
        <v>586</v>
      </c>
    </row>
    <row r="9" spans="2:2" ht="9" customHeight="1">
      <c r="B9" s="262"/>
    </row>
    <row r="10" spans="2:2" ht="170">
      <c r="B10" s="262" t="s">
        <v>587</v>
      </c>
    </row>
    <row r="11" spans="2:2" ht="9" customHeight="1">
      <c r="B11" s="262"/>
    </row>
    <row r="12" spans="2:2" ht="34">
      <c r="B12" s="262" t="s">
        <v>588</v>
      </c>
    </row>
    <row r="13" spans="2:2" ht="9" customHeight="1">
      <c r="B13" s="262"/>
    </row>
    <row r="14" spans="2:2" ht="170">
      <c r="B14" s="262" t="s">
        <v>589</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B25"/>
  <sheetViews>
    <sheetView showGridLines="0" workbookViewId="0">
      <selection activeCell="B47" sqref="B47"/>
    </sheetView>
  </sheetViews>
  <sheetFormatPr baseColWidth="10" defaultRowHeight="17" x14ac:dyDescent="0"/>
  <cols>
    <col min="1" max="1" width="10.83203125" style="268" customWidth="1"/>
    <col min="2" max="2" width="83.1640625" style="268" customWidth="1"/>
    <col min="3" max="3" width="14.33203125" style="268" customWidth="1"/>
    <col min="4" max="4" width="59.5" style="268" customWidth="1"/>
    <col min="5" max="5" width="13.1640625" style="268" customWidth="1"/>
    <col min="6" max="6" width="59.5" style="268" customWidth="1"/>
    <col min="7" max="16384" width="10.83203125" style="268"/>
  </cols>
  <sheetData>
    <row r="3" spans="2:2" s="266" customFormat="1" ht="23">
      <c r="B3" s="265" t="s">
        <v>590</v>
      </c>
    </row>
    <row r="4" spans="2:2" s="266" customFormat="1"/>
    <row r="5" spans="2:2" s="267" customFormat="1" ht="20">
      <c r="B5" s="267" t="s">
        <v>591</v>
      </c>
    </row>
    <row r="6" spans="2:2" s="267" customFormat="1" ht="20">
      <c r="B6" s="267" t="s">
        <v>592</v>
      </c>
    </row>
    <row r="7" spans="2:2" s="267" customFormat="1" ht="20"/>
    <row r="8" spans="2:2" s="267" customFormat="1" ht="100">
      <c r="B8" s="267" t="s">
        <v>593</v>
      </c>
    </row>
    <row r="12" spans="2:2" ht="23">
      <c r="B12" s="265" t="s">
        <v>594</v>
      </c>
    </row>
    <row r="13" spans="2:2">
      <c r="B13" s="266"/>
    </row>
    <row r="14" spans="2:2" ht="20">
      <c r="B14" s="267" t="s">
        <v>595</v>
      </c>
    </row>
    <row r="15" spans="2:2" ht="20">
      <c r="B15" s="267" t="s">
        <v>645</v>
      </c>
    </row>
    <row r="16" spans="2:2" ht="20">
      <c r="B16" s="267"/>
    </row>
    <row r="17" spans="2:2" ht="60">
      <c r="B17" s="267" t="s">
        <v>596</v>
      </c>
    </row>
    <row r="21" spans="2:2" ht="23">
      <c r="B21" s="265" t="s">
        <v>597</v>
      </c>
    </row>
    <row r="22" spans="2:2">
      <c r="B22" s="266"/>
    </row>
    <row r="23" spans="2:2" ht="20">
      <c r="B23" s="267" t="s">
        <v>598</v>
      </c>
    </row>
    <row r="24" spans="2:2" ht="20">
      <c r="B24" s="267"/>
    </row>
    <row r="25" spans="2:2" ht="80">
      <c r="B25" s="267" t="s">
        <v>599</v>
      </c>
    </row>
  </sheetData>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B1:L46"/>
  <sheetViews>
    <sheetView showGridLines="0" workbookViewId="0">
      <selection activeCell="G26" sqref="G26"/>
    </sheetView>
  </sheetViews>
  <sheetFormatPr baseColWidth="10" defaultRowHeight="17" x14ac:dyDescent="0"/>
  <cols>
    <col min="1" max="1" width="6.5" style="2" customWidth="1"/>
    <col min="2" max="2" width="34.5" style="2" customWidth="1"/>
    <col min="3" max="3" width="12.5" style="2" customWidth="1"/>
    <col min="4" max="6" width="15.83203125" style="2" customWidth="1"/>
    <col min="7" max="7" width="15" style="2" customWidth="1"/>
    <col min="8" max="8" width="9" style="2" customWidth="1"/>
    <col min="9" max="12" width="15.6640625" style="2" customWidth="1"/>
    <col min="13" max="16384" width="10.83203125" style="2"/>
  </cols>
  <sheetData>
    <row r="1" spans="2:12" ht="18" thickBot="1"/>
    <row r="2" spans="2:12">
      <c r="B2" s="80"/>
      <c r="C2" s="81"/>
    </row>
    <row r="3" spans="2:12">
      <c r="B3" s="85" t="s">
        <v>300</v>
      </c>
      <c r="C3" s="82"/>
    </row>
    <row r="4" spans="2:12">
      <c r="B4" s="86"/>
      <c r="C4" s="82"/>
    </row>
    <row r="5" spans="2:12">
      <c r="B5" s="86" t="s">
        <v>299</v>
      </c>
      <c r="C5" s="82"/>
    </row>
    <row r="6" spans="2:12">
      <c r="B6" s="82"/>
      <c r="C6" s="82"/>
    </row>
    <row r="7" spans="2:12" ht="18" thickBot="1">
      <c r="B7" s="83"/>
      <c r="C7" s="84"/>
    </row>
    <row r="8" spans="2:12">
      <c r="D8" s="90"/>
      <c r="E8" s="91" t="str">
        <f>"  Series "&amp;C35</f>
        <v xml:space="preserve">  Series Founding</v>
      </c>
      <c r="F8" s="90"/>
      <c r="G8" s="90"/>
      <c r="I8" s="82"/>
      <c r="J8" s="92" t="str">
        <f>IF($C$36="na","","  Series "&amp;C36)</f>
        <v/>
      </c>
      <c r="K8" s="82"/>
      <c r="L8" s="82"/>
    </row>
    <row r="10" spans="2:12">
      <c r="B10" s="142" t="str">
        <f>'Cap Table'!D61&amp;"holder"</f>
        <v>Shareholder</v>
      </c>
      <c r="C10" s="142" t="str">
        <f>'Cap Table'!B31</f>
        <v>Share Class</v>
      </c>
      <c r="D10" s="143" t="str">
        <f>'Cap Table'!$D61&amp;"s [1]"</f>
        <v>Shares [1]</v>
      </c>
      <c r="E10" s="143" t="s">
        <v>304</v>
      </c>
      <c r="F10" s="143" t="s">
        <v>305</v>
      </c>
      <c r="G10" s="143" t="s">
        <v>39</v>
      </c>
      <c r="I10" s="144" t="str">
        <f>IF($C$36="na","",D10)</f>
        <v/>
      </c>
      <c r="J10" s="144" t="str">
        <f>IF($C$36="na","",E10)</f>
        <v/>
      </c>
      <c r="K10" s="144" t="str">
        <f>IF($C$36="na","",F10)</f>
        <v/>
      </c>
      <c r="L10" s="144" t="str">
        <f>IF($C$36="na","",G10)</f>
        <v/>
      </c>
    </row>
    <row r="12" spans="2:12">
      <c r="B12" s="145" t="str">
        <f>'Cap Table'!B6</f>
        <v>Co-Founder 1</v>
      </c>
      <c r="C12" s="146" t="str">
        <f>INDEX('Cap Table'!FE$6:FE$26,MATCH($B12,'Cap Table'!$B$6:$B$26,0))</f>
        <v>Common</v>
      </c>
      <c r="D12" s="146">
        <f ca="1">INDEX('Cap Table'!FF$6:FF$26,MATCH($B12,'Cap Table'!$B$6:$B$26,0))</f>
        <v>0</v>
      </c>
      <c r="E12" s="146">
        <f ca="1">INDEX('Cap Table'!FG$6:FG$26,MATCH($B12,'Cap Table'!$B$6:$B$26,0))</f>
        <v>0</v>
      </c>
      <c r="F12" s="146">
        <f ca="1">INDEX('Cap Table'!FH$6:FH$26,MATCH($B12,'Cap Table'!$B$6:$B$26,0))</f>
        <v>0</v>
      </c>
      <c r="G12" s="147">
        <f ca="1">IFERROR(F12/F$25,0)</f>
        <v>0</v>
      </c>
      <c r="I12" s="146" t="str">
        <f>IF($C$36="na","",INDEX('Cap Table'!FK$6:FK$26,MATCH($B12,'Cap Table'!$B$6:$B$26,0)))</f>
        <v/>
      </c>
      <c r="J12" s="146" t="str">
        <f>IF($C$36="na","",INDEX('Cap Table'!FL$6:FL$26,MATCH($B12,'Cap Table'!$B$6:$B$26,0)))</f>
        <v/>
      </c>
      <c r="K12" s="146" t="str">
        <f>IF($C$36="na","",INDEX('Cap Table'!FM$6:FM$26,MATCH($B12,'Cap Table'!$B$6:$B$26,0)))</f>
        <v/>
      </c>
      <c r="L12" s="148" t="str">
        <f t="shared" ref="L12:L23" si="0">IF($C$36="na","",IFERROR(K12/K$25,0))</f>
        <v/>
      </c>
    </row>
    <row r="13" spans="2:12">
      <c r="B13" s="145" t="str">
        <f>'Cap Table'!B7</f>
        <v>Employee</v>
      </c>
      <c r="C13" s="146" t="str">
        <f>INDEX('Cap Table'!FE$6:FE$26,MATCH($B13,'Cap Table'!$B$6:$B$26,0))</f>
        <v>Common</v>
      </c>
      <c r="D13" s="146">
        <f ca="1">INDEX('Cap Table'!FF$6:FF$26,MATCH($B13,'Cap Table'!$B$6:$B$26,0))</f>
        <v>0</v>
      </c>
      <c r="E13" s="146">
        <f ca="1">INDEX('Cap Table'!FG$6:FG$26,MATCH($B13,'Cap Table'!$B$6:$B$26,0))</f>
        <v>0</v>
      </c>
      <c r="F13" s="146">
        <f ca="1">INDEX('Cap Table'!FH$6:FH$26,MATCH($B13,'Cap Table'!$B$6:$B$26,0))</f>
        <v>0</v>
      </c>
      <c r="G13" s="147">
        <f t="shared" ref="G13:G23" ca="1" si="1">IFERROR(F13/F$25,0)</f>
        <v>0</v>
      </c>
      <c r="I13" s="146" t="str">
        <f>IF($C$36="na","",INDEX('Cap Table'!FK$6:FK$26,MATCH($B13,'Cap Table'!$B$6:$B$26,0)))</f>
        <v/>
      </c>
      <c r="J13" s="146" t="str">
        <f>IF($C$36="na","",INDEX('Cap Table'!FL$6:FL$26,MATCH($B13,'Cap Table'!$B$6:$B$26,0)))</f>
        <v/>
      </c>
      <c r="K13" s="146" t="str">
        <f>IF($C$36="na","",INDEX('Cap Table'!FM$6:FM$26,MATCH($B13,'Cap Table'!$B$6:$B$26,0)))</f>
        <v/>
      </c>
      <c r="L13" s="148" t="str">
        <f t="shared" si="0"/>
        <v/>
      </c>
    </row>
    <row r="14" spans="2:12">
      <c r="B14" s="145" t="str">
        <f>'Cap Table'!B8</f>
        <v>Seed</v>
      </c>
      <c r="C14" s="146" t="str">
        <f>INDEX('Cap Table'!FE$6:FE$26,MATCH($B14,'Cap Table'!$B$6:$B$26,0))</f>
        <v>Common</v>
      </c>
      <c r="D14" s="146">
        <f ca="1">INDEX('Cap Table'!FF$6:FF$26,MATCH($B14,'Cap Table'!$B$6:$B$26,0))</f>
        <v>0</v>
      </c>
      <c r="E14" s="146">
        <f ca="1">INDEX('Cap Table'!FG$6:FG$26,MATCH($B14,'Cap Table'!$B$6:$B$26,0))</f>
        <v>0</v>
      </c>
      <c r="F14" s="146">
        <f ca="1">INDEX('Cap Table'!FH$6:FH$26,MATCH($B14,'Cap Table'!$B$6:$B$26,0))</f>
        <v>0</v>
      </c>
      <c r="G14" s="147">
        <f t="shared" ca="1" si="1"/>
        <v>0</v>
      </c>
      <c r="I14" s="146" t="str">
        <f>IF($C$36="na","",INDEX('Cap Table'!FK$6:FK$26,MATCH($B14,'Cap Table'!$B$6:$B$26,0)))</f>
        <v/>
      </c>
      <c r="J14" s="146" t="str">
        <f>IF($C$36="na","",INDEX('Cap Table'!FL$6:FL$26,MATCH($B14,'Cap Table'!$B$6:$B$26,0)))</f>
        <v/>
      </c>
      <c r="K14" s="146" t="str">
        <f>IF($C$36="na","",INDEX('Cap Table'!FM$6:FM$26,MATCH($B14,'Cap Table'!$B$6:$B$26,0)))</f>
        <v/>
      </c>
      <c r="L14" s="148" t="str">
        <f t="shared" si="0"/>
        <v/>
      </c>
    </row>
    <row r="15" spans="2:12">
      <c r="B15" s="145" t="str">
        <f>'Cap Table'!B9</f>
        <v>na</v>
      </c>
      <c r="C15" s="146" t="str">
        <f>INDEX('Cap Table'!FE$6:FE$26,MATCH($B15,'Cap Table'!$B$6:$B$26,0))</f>
        <v>Common</v>
      </c>
      <c r="D15" s="146">
        <f ca="1">INDEX('Cap Table'!FF$6:FF$26,MATCH($B15,'Cap Table'!$B$6:$B$26,0))</f>
        <v>0</v>
      </c>
      <c r="E15" s="146">
        <f ca="1">INDEX('Cap Table'!FG$6:FG$26,MATCH($B15,'Cap Table'!$B$6:$B$26,0))</f>
        <v>0</v>
      </c>
      <c r="F15" s="146">
        <f ca="1">INDEX('Cap Table'!FH$6:FH$26,MATCH($B15,'Cap Table'!$B$6:$B$26,0))</f>
        <v>0</v>
      </c>
      <c r="G15" s="147">
        <f t="shared" ca="1" si="1"/>
        <v>0</v>
      </c>
      <c r="I15" s="146" t="str">
        <f>IF($C$36="na","",INDEX('Cap Table'!FK$6:FK$26,MATCH($B15,'Cap Table'!$B$6:$B$26,0)))</f>
        <v/>
      </c>
      <c r="J15" s="146" t="str">
        <f>IF($C$36="na","",INDEX('Cap Table'!FL$6:FL$26,MATCH($B15,'Cap Table'!$B$6:$B$26,0)))</f>
        <v/>
      </c>
      <c r="K15" s="146" t="str">
        <f>IF($C$36="na","",INDEX('Cap Table'!FM$6:FM$26,MATCH($B15,'Cap Table'!$B$6:$B$26,0)))</f>
        <v/>
      </c>
      <c r="L15" s="148" t="str">
        <f t="shared" si="0"/>
        <v/>
      </c>
    </row>
    <row r="16" spans="2:12">
      <c r="B16" s="145" t="str">
        <f>'Cap Table'!B10</f>
        <v>na</v>
      </c>
      <c r="C16" s="146" t="str">
        <f>INDEX('Cap Table'!FE$6:FE$26,MATCH($B16,'Cap Table'!$B$6:$B$26,0))</f>
        <v>Common</v>
      </c>
      <c r="D16" s="146">
        <f ca="1">INDEX('Cap Table'!FF$6:FF$26,MATCH($B16,'Cap Table'!$B$6:$B$26,0))</f>
        <v>0</v>
      </c>
      <c r="E16" s="146">
        <f ca="1">INDEX('Cap Table'!FG$6:FG$26,MATCH($B16,'Cap Table'!$B$6:$B$26,0))</f>
        <v>0</v>
      </c>
      <c r="F16" s="146">
        <f ca="1">INDEX('Cap Table'!FH$6:FH$26,MATCH($B16,'Cap Table'!$B$6:$B$26,0))</f>
        <v>0</v>
      </c>
      <c r="G16" s="147">
        <f t="shared" ca="1" si="1"/>
        <v>0</v>
      </c>
      <c r="I16" s="146" t="str">
        <f>IF($C$36="na","",INDEX('Cap Table'!FK$6:FK$26,MATCH($B16,'Cap Table'!$B$6:$B$26,0)))</f>
        <v/>
      </c>
      <c r="J16" s="146" t="str">
        <f>IF($C$36="na","",INDEX('Cap Table'!FL$6:FL$26,MATCH($B16,'Cap Table'!$B$6:$B$26,0)))</f>
        <v/>
      </c>
      <c r="K16" s="146" t="str">
        <f>IF($C$36="na","",INDEX('Cap Table'!FM$6:FM$26,MATCH($B16,'Cap Table'!$B$6:$B$26,0)))</f>
        <v/>
      </c>
      <c r="L16" s="148" t="str">
        <f t="shared" si="0"/>
        <v/>
      </c>
    </row>
    <row r="17" spans="2:12">
      <c r="B17" s="145" t="str">
        <f>'Cap Table'!B11</f>
        <v>na</v>
      </c>
      <c r="C17" s="146" t="str">
        <f>INDEX('Cap Table'!FE$6:FE$26,MATCH($B17,'Cap Table'!$B$6:$B$26,0))</f>
        <v>Common</v>
      </c>
      <c r="D17" s="146">
        <f ca="1">INDEX('Cap Table'!FF$6:FF$26,MATCH($B17,'Cap Table'!$B$6:$B$26,0))</f>
        <v>0</v>
      </c>
      <c r="E17" s="146">
        <f ca="1">INDEX('Cap Table'!FG$6:FG$26,MATCH($B17,'Cap Table'!$B$6:$B$26,0))</f>
        <v>0</v>
      </c>
      <c r="F17" s="146">
        <f ca="1">INDEX('Cap Table'!FH$6:FH$26,MATCH($B17,'Cap Table'!$B$6:$B$26,0))</f>
        <v>0</v>
      </c>
      <c r="G17" s="147">
        <f t="shared" ca="1" si="1"/>
        <v>0</v>
      </c>
      <c r="I17" s="146" t="str">
        <f>IF($C$36="na","",INDEX('Cap Table'!FK$6:FK$26,MATCH($B17,'Cap Table'!$B$6:$B$26,0)))</f>
        <v/>
      </c>
      <c r="J17" s="146" t="str">
        <f>IF($C$36="na","",INDEX('Cap Table'!FL$6:FL$26,MATCH($B17,'Cap Table'!$B$6:$B$26,0)))</f>
        <v/>
      </c>
      <c r="K17" s="146" t="str">
        <f>IF($C$36="na","",INDEX('Cap Table'!FM$6:FM$26,MATCH($B17,'Cap Table'!$B$6:$B$26,0)))</f>
        <v/>
      </c>
      <c r="L17" s="148" t="str">
        <f t="shared" si="0"/>
        <v/>
      </c>
    </row>
    <row r="18" spans="2:12">
      <c r="B18" s="145" t="str">
        <f>'Cap Table'!B12</f>
        <v>na</v>
      </c>
      <c r="C18" s="146" t="str">
        <f>INDEX('Cap Table'!FE$6:FE$26,MATCH($B18,'Cap Table'!$B$6:$B$26,0))</f>
        <v>Common</v>
      </c>
      <c r="D18" s="146">
        <f ca="1">INDEX('Cap Table'!FF$6:FF$26,MATCH($B18,'Cap Table'!$B$6:$B$26,0))</f>
        <v>0</v>
      </c>
      <c r="E18" s="146">
        <f ca="1">INDEX('Cap Table'!FG$6:FG$26,MATCH($B18,'Cap Table'!$B$6:$B$26,0))</f>
        <v>0</v>
      </c>
      <c r="F18" s="146">
        <f ca="1">INDEX('Cap Table'!FH$6:FH$26,MATCH($B18,'Cap Table'!$B$6:$B$26,0))</f>
        <v>0</v>
      </c>
      <c r="G18" s="147">
        <f t="shared" ca="1" si="1"/>
        <v>0</v>
      </c>
      <c r="I18" s="146" t="str">
        <f>IF($C$36="na","",INDEX('Cap Table'!FK$6:FK$26,MATCH($B18,'Cap Table'!$B$6:$B$26,0)))</f>
        <v/>
      </c>
      <c r="J18" s="146" t="str">
        <f>IF($C$36="na","",INDEX('Cap Table'!FL$6:FL$26,MATCH($B18,'Cap Table'!$B$6:$B$26,0)))</f>
        <v/>
      </c>
      <c r="K18" s="146" t="str">
        <f>IF($C$36="na","",INDEX('Cap Table'!FM$6:FM$26,MATCH($B18,'Cap Table'!$B$6:$B$26,0)))</f>
        <v/>
      </c>
      <c r="L18" s="148" t="str">
        <f t="shared" si="0"/>
        <v/>
      </c>
    </row>
    <row r="19" spans="2:12">
      <c r="B19" s="145" t="str">
        <f>'Cap Table'!B13</f>
        <v>na</v>
      </c>
      <c r="C19" s="146" t="str">
        <f>INDEX('Cap Table'!FE$6:FE$26,MATCH($B19,'Cap Table'!$B$6:$B$26,0))</f>
        <v>Common</v>
      </c>
      <c r="D19" s="146">
        <f ca="1">INDEX('Cap Table'!FF$6:FF$26,MATCH($B19,'Cap Table'!$B$6:$B$26,0))</f>
        <v>0</v>
      </c>
      <c r="E19" s="146">
        <f ca="1">INDEX('Cap Table'!FG$6:FG$26,MATCH($B19,'Cap Table'!$B$6:$B$26,0))</f>
        <v>0</v>
      </c>
      <c r="F19" s="146">
        <f ca="1">INDEX('Cap Table'!FH$6:FH$26,MATCH($B19,'Cap Table'!$B$6:$B$26,0))</f>
        <v>0</v>
      </c>
      <c r="G19" s="147">
        <f t="shared" ca="1" si="1"/>
        <v>0</v>
      </c>
      <c r="I19" s="146" t="str">
        <f>IF($C$36="na","",INDEX('Cap Table'!FK$6:FK$26,MATCH($B19,'Cap Table'!$B$6:$B$26,0)))</f>
        <v/>
      </c>
      <c r="J19" s="146" t="str">
        <f>IF($C$36="na","",INDEX('Cap Table'!FL$6:FL$26,MATCH($B19,'Cap Table'!$B$6:$B$26,0)))</f>
        <v/>
      </c>
      <c r="K19" s="146" t="str">
        <f>IF($C$36="na","",INDEX('Cap Table'!FM$6:FM$26,MATCH($B19,'Cap Table'!$B$6:$B$26,0)))</f>
        <v/>
      </c>
      <c r="L19" s="148" t="str">
        <f t="shared" si="0"/>
        <v/>
      </c>
    </row>
    <row r="20" spans="2:12">
      <c r="B20" s="149" t="str">
        <f>"Other "&amp;C20</f>
        <v>Other Common</v>
      </c>
      <c r="C20" s="149" t="str">
        <f>'Cap Table'!B32</f>
        <v>Common</v>
      </c>
      <c r="D20" s="146">
        <f t="shared" ref="D20:F21" ca="1" si="2">D28-SUMIF($C$12:$C$19,$B28,D$12:D$19)</f>
        <v>0</v>
      </c>
      <c r="E20" s="146">
        <f t="shared" ca="1" si="2"/>
        <v>0</v>
      </c>
      <c r="F20" s="146">
        <f t="shared" ca="1" si="2"/>
        <v>0</v>
      </c>
      <c r="G20" s="147">
        <f t="shared" ca="1" si="1"/>
        <v>0</v>
      </c>
      <c r="I20" s="146" t="str">
        <f t="shared" ref="I20:K21" si="3">IF($C$36="na","",I28-SUMIF($C$12:$C$19,$B28,I$12:I$19))</f>
        <v/>
      </c>
      <c r="J20" s="146" t="str">
        <f t="shared" si="3"/>
        <v/>
      </c>
      <c r="K20" s="146" t="str">
        <f t="shared" si="3"/>
        <v/>
      </c>
      <c r="L20" s="148" t="str">
        <f t="shared" si="0"/>
        <v/>
      </c>
    </row>
    <row r="21" spans="2:12">
      <c r="B21" s="150" t="str">
        <f>"Other "&amp;C21</f>
        <v>Other Preferred</v>
      </c>
      <c r="C21" s="149" t="str">
        <f>'Cap Table'!B33</f>
        <v>Preferred</v>
      </c>
      <c r="D21" s="146">
        <f t="shared" ca="1" si="2"/>
        <v>0</v>
      </c>
      <c r="E21" s="146">
        <f t="shared" ca="1" si="2"/>
        <v>0</v>
      </c>
      <c r="F21" s="146">
        <f t="shared" ca="1" si="2"/>
        <v>0</v>
      </c>
      <c r="G21" s="147">
        <f t="shared" ca="1" si="1"/>
        <v>0</v>
      </c>
      <c r="I21" s="146" t="str">
        <f t="shared" si="3"/>
        <v/>
      </c>
      <c r="J21" s="146" t="str">
        <f t="shared" si="3"/>
        <v/>
      </c>
      <c r="K21" s="146" t="str">
        <f t="shared" si="3"/>
        <v/>
      </c>
      <c r="L21" s="148" t="str">
        <f t="shared" si="0"/>
        <v/>
      </c>
    </row>
    <row r="22" spans="2:12">
      <c r="B22" s="150" t="str">
        <f>'Cap Table'!B27</f>
        <v>Options - Granted</v>
      </c>
      <c r="C22" s="146" t="str">
        <f>INDEX('Cap Table'!FE$6:FE$28,MATCH($B22,'Cap Table'!$B$6:$B$28,0))</f>
        <v>Options</v>
      </c>
      <c r="D22" s="146">
        <f ca="1">INDEX('Cap Table'!FF$6:FF$28,MATCH($B22,'Cap Table'!$B$6:$B$28,0))</f>
        <v>0</v>
      </c>
      <c r="E22" s="146">
        <f ca="1">INDEX('Cap Table'!FG$6:FG$28,MATCH($B22,'Cap Table'!$B$6:$B$28,0))</f>
        <v>0</v>
      </c>
      <c r="F22" s="146">
        <f ca="1">INDEX('Cap Table'!FH$6:FH$28,MATCH($B22,'Cap Table'!$B$6:$B$28,0))</f>
        <v>0</v>
      </c>
      <c r="G22" s="147">
        <f t="shared" ca="1" si="1"/>
        <v>0</v>
      </c>
      <c r="I22" s="146" t="str">
        <f>IF($C$36="na","",INDEX('Cap Table'!FK$6:FK$28,MATCH($B22,'Cap Table'!$B$6:$B$28,0)))</f>
        <v/>
      </c>
      <c r="J22" s="146" t="str">
        <f>IF($C$36="na","",INDEX('Cap Table'!FL$6:FL$28,MATCH($B22,'Cap Table'!$B$6:$B$28,0)))</f>
        <v/>
      </c>
      <c r="K22" s="146" t="str">
        <f>IF($C$36="na","",INDEX('Cap Table'!FM$6:FM$28,MATCH($B22,'Cap Table'!$B$6:$B$28,0)))</f>
        <v/>
      </c>
      <c r="L22" s="148" t="str">
        <f t="shared" si="0"/>
        <v/>
      </c>
    </row>
    <row r="23" spans="2:12">
      <c r="B23" s="150" t="str">
        <f>'Cap Table'!B28</f>
        <v>Option Pool - Available, Ungranted</v>
      </c>
      <c r="C23" s="146" t="str">
        <f>INDEX('Cap Table'!FE$6:FE$28,MATCH($B23,'Cap Table'!$B$6:$B$28,0))</f>
        <v>Options</v>
      </c>
      <c r="D23" s="146">
        <f ca="1">INDEX('Cap Table'!FF$6:FF$28,MATCH($B23,'Cap Table'!$B$6:$B$28,0))</f>
        <v>0</v>
      </c>
      <c r="E23" s="146">
        <f ca="1">INDEX('Cap Table'!FG$6:FG$28,MATCH($B23,'Cap Table'!$B$6:$B$28,0))</f>
        <v>0</v>
      </c>
      <c r="F23" s="146">
        <f ca="1">INDEX('Cap Table'!FH$6:FH$28,MATCH($B23,'Cap Table'!$B$6:$B$28,0))</f>
        <v>0</v>
      </c>
      <c r="G23" s="147">
        <f t="shared" ca="1" si="1"/>
        <v>0</v>
      </c>
      <c r="I23" s="146" t="str">
        <f>IF($C$36="na","",INDEX('Cap Table'!FK$6:FK$28,MATCH($B23,'Cap Table'!$B$6:$B$28,0)))</f>
        <v/>
      </c>
      <c r="J23" s="146" t="str">
        <f>IF($C$36="na","",INDEX('Cap Table'!FL$6:FL$28,MATCH($B23,'Cap Table'!$B$6:$B$28,0)))</f>
        <v/>
      </c>
      <c r="K23" s="146" t="str">
        <f>IF($C$36="na","",INDEX('Cap Table'!FM$6:FM$28,MATCH($B23,'Cap Table'!$B$6:$B$28,0)))</f>
        <v/>
      </c>
      <c r="L23" s="148" t="str">
        <f t="shared" si="0"/>
        <v/>
      </c>
    </row>
    <row r="25" spans="2:12">
      <c r="B25" s="151" t="s">
        <v>20</v>
      </c>
      <c r="C25" s="38" t="s">
        <v>294</v>
      </c>
      <c r="D25" s="88">
        <f ca="1">SUM(D12:D24)</f>
        <v>0</v>
      </c>
      <c r="E25" s="88">
        <f ca="1">SUM(E12:E24)</f>
        <v>0</v>
      </c>
      <c r="F25" s="88">
        <f ca="1">SUM(F12:F24)</f>
        <v>0</v>
      </c>
      <c r="G25" s="152">
        <f ca="1">IFERROR(F25/F$25,0)</f>
        <v>0</v>
      </c>
      <c r="I25" s="89" t="str">
        <f>IF($C$36="na","",SUM(I12:I24))</f>
        <v/>
      </c>
      <c r="J25" s="89" t="str">
        <f>IF($C$36="na","",SUM(J12:J24))</f>
        <v/>
      </c>
      <c r="K25" s="89" t="str">
        <f>IF($C$36="na","",SUM(K12:K24))</f>
        <v/>
      </c>
      <c r="L25" s="148" t="str">
        <f>IF($C$36="na","",IFERROR(K25/K$25,0))</f>
        <v/>
      </c>
    </row>
    <row r="27" spans="2:12">
      <c r="B27" s="149" t="str">
        <f>'Cap Table'!B31</f>
        <v>Share Class</v>
      </c>
    </row>
    <row r="28" spans="2:12">
      <c r="B28" s="87" t="str">
        <f>'Cap Table'!B32</f>
        <v>Common</v>
      </c>
      <c r="D28" s="146">
        <f ca="1">'Cap Table'!FF32</f>
        <v>0</v>
      </c>
      <c r="E28" s="146">
        <f ca="1">'Cap Table'!FG32</f>
        <v>0</v>
      </c>
      <c r="F28" s="146">
        <f ca="1">'Cap Table'!FH32</f>
        <v>0</v>
      </c>
      <c r="G28" s="147">
        <f t="shared" ref="G28:G32" ca="1" si="4">IFERROR(F28/F$25,0)</f>
        <v>0</v>
      </c>
      <c r="I28" s="146" t="str">
        <f>IF($C$36="na","",'Cap Table'!FK32)</f>
        <v/>
      </c>
      <c r="J28" s="146" t="str">
        <f>IF($C$36="na","",'Cap Table'!FL32)</f>
        <v/>
      </c>
      <c r="K28" s="146" t="str">
        <f>IF($C$36="na","",'Cap Table'!FM32)</f>
        <v/>
      </c>
      <c r="L28" s="148" t="str">
        <f>IF($C$36="na","",IFERROR(K28/K$25,0))</f>
        <v/>
      </c>
    </row>
    <row r="29" spans="2:12">
      <c r="B29" s="87" t="str">
        <f>'Cap Table'!B33</f>
        <v>Preferred</v>
      </c>
      <c r="D29" s="146">
        <f ca="1">'Cap Table'!FF33</f>
        <v>0</v>
      </c>
      <c r="E29" s="146">
        <f ca="1">'Cap Table'!FG33</f>
        <v>0</v>
      </c>
      <c r="F29" s="146">
        <f ca="1">'Cap Table'!FH33</f>
        <v>0</v>
      </c>
      <c r="G29" s="147">
        <f t="shared" ca="1" si="4"/>
        <v>0</v>
      </c>
      <c r="I29" s="146" t="str">
        <f>IF($C$36="na","",'Cap Table'!FK33)</f>
        <v/>
      </c>
      <c r="J29" s="146" t="str">
        <f>IF($C$36="na","",'Cap Table'!FL33)</f>
        <v/>
      </c>
      <c r="K29" s="146" t="str">
        <f>IF($C$36="na","",'Cap Table'!FM33)</f>
        <v/>
      </c>
      <c r="L29" s="148" t="str">
        <f>IF($C$36="na","",IFERROR(K29/K$25,0))</f>
        <v/>
      </c>
    </row>
    <row r="30" spans="2:12">
      <c r="B30" s="87" t="str">
        <f>'Cap Table'!B34</f>
        <v>Options</v>
      </c>
      <c r="D30" s="146">
        <f ca="1">'Cap Table'!FF34</f>
        <v>0</v>
      </c>
      <c r="E30" s="146">
        <f ca="1">'Cap Table'!FG34</f>
        <v>0</v>
      </c>
      <c r="F30" s="146">
        <f ca="1">'Cap Table'!FH34</f>
        <v>0</v>
      </c>
      <c r="G30" s="147">
        <f t="shared" ca="1" si="4"/>
        <v>0</v>
      </c>
      <c r="I30" s="146" t="str">
        <f>IF($C$36="na","",'Cap Table'!FK34)</f>
        <v/>
      </c>
      <c r="J30" s="146" t="str">
        <f>IF($C$36="na","",'Cap Table'!FL34)</f>
        <v/>
      </c>
      <c r="K30" s="146" t="str">
        <f>IF($C$36="na","",'Cap Table'!FM34)</f>
        <v/>
      </c>
      <c r="L30" s="148" t="str">
        <f>IF($C$36="na","",IFERROR(K30/K$25,0))</f>
        <v/>
      </c>
    </row>
    <row r="31" spans="2:12">
      <c r="B31" s="87" t="str">
        <f>'Cap Table'!B35</f>
        <v>na</v>
      </c>
      <c r="D31" s="146">
        <f ca="1">'Cap Table'!FF35</f>
        <v>0</v>
      </c>
      <c r="E31" s="146">
        <f ca="1">'Cap Table'!FG35</f>
        <v>0</v>
      </c>
      <c r="F31" s="146">
        <f ca="1">'Cap Table'!FH35</f>
        <v>0</v>
      </c>
      <c r="G31" s="147">
        <f t="shared" ca="1" si="4"/>
        <v>0</v>
      </c>
      <c r="I31" s="146" t="str">
        <f>IF($C$36="na","",'Cap Table'!FK35)</f>
        <v/>
      </c>
      <c r="J31" s="146" t="str">
        <f>IF($C$36="na","",'Cap Table'!FL35)</f>
        <v/>
      </c>
      <c r="K31" s="146" t="str">
        <f>IF($C$36="na","",'Cap Table'!FM35)</f>
        <v/>
      </c>
      <c r="L31" s="148" t="str">
        <f>IF($C$36="na","",IFERROR(K31/K$25,0))</f>
        <v/>
      </c>
    </row>
    <row r="32" spans="2:12">
      <c r="B32" s="87" t="s">
        <v>20</v>
      </c>
      <c r="D32" s="89">
        <f ca="1">SUM(D28:D30)</f>
        <v>0</v>
      </c>
      <c r="E32" s="89">
        <f ca="1">SUM(E28:E30)</f>
        <v>0</v>
      </c>
      <c r="F32" s="89">
        <f ca="1">SUM(F28:F30)</f>
        <v>0</v>
      </c>
      <c r="G32" s="147">
        <f t="shared" ca="1" si="4"/>
        <v>0</v>
      </c>
      <c r="I32" s="146" t="str">
        <f>IF($C$36="na","",'Cap Table'!FK36)</f>
        <v/>
      </c>
      <c r="J32" s="146" t="str">
        <f>IF($C$36="na","",'Cap Table'!FL36)</f>
        <v/>
      </c>
      <c r="K32" s="146" t="str">
        <f>IF($C$36="na","",'Cap Table'!FM36)</f>
        <v/>
      </c>
      <c r="L32" s="148" t="str">
        <f>IF($C$36="na","",IFERROR(K32/K$25,0))</f>
        <v/>
      </c>
    </row>
    <row r="33" spans="2:7">
      <c r="B33" s="87"/>
      <c r="F33" s="6"/>
      <c r="G33" s="41"/>
    </row>
    <row r="34" spans="2:7">
      <c r="B34" s="2" t="s">
        <v>295</v>
      </c>
      <c r="C34" s="153">
        <v>43223</v>
      </c>
    </row>
    <row r="35" spans="2:7">
      <c r="B35" s="2" t="s">
        <v>296</v>
      </c>
      <c r="C35" s="154" t="s">
        <v>25</v>
      </c>
    </row>
    <row r="36" spans="2:7">
      <c r="B36" s="2" t="s">
        <v>297</v>
      </c>
      <c r="C36" s="154" t="s">
        <v>27</v>
      </c>
    </row>
    <row r="39" spans="2:7">
      <c r="B39" s="33" t="s">
        <v>298</v>
      </c>
    </row>
    <row r="40" spans="2:7">
      <c r="B40" s="2" t="s">
        <v>310</v>
      </c>
    </row>
    <row r="41" spans="2:7">
      <c r="B41" s="2" t="s">
        <v>311</v>
      </c>
    </row>
    <row r="42" spans="2:7">
      <c r="B42" s="2" t="s">
        <v>306</v>
      </c>
    </row>
    <row r="43" spans="2:7">
      <c r="B43" s="2" t="s">
        <v>307</v>
      </c>
    </row>
    <row r="44" spans="2:7">
      <c r="B44" s="2" t="s">
        <v>308</v>
      </c>
    </row>
    <row r="45" spans="2:7">
      <c r="B45" s="2" t="s">
        <v>313</v>
      </c>
    </row>
    <row r="46" spans="2:7">
      <c r="B46" s="2" t="s">
        <v>309</v>
      </c>
    </row>
  </sheetData>
  <conditionalFormatting sqref="I10:L10">
    <cfRule type="expression" dxfId="9" priority="1">
      <formula>$C$36&lt;&gt;"na"</formula>
    </cfRule>
  </conditionalFormatting>
  <conditionalFormatting sqref="I25:L25">
    <cfRule type="expression" dxfId="8" priority="2">
      <formula>$C$36&lt;&gt;"na"</formula>
    </cfRule>
  </conditionalFormatting>
  <conditionalFormatting sqref="I8:L8">
    <cfRule type="expression" dxfId="7" priority="3">
      <formula>$C$36&lt;&gt;"na"</formula>
    </cfRule>
  </conditionalFormatting>
  <pageMargins left="0.75" right="0.75" top="1" bottom="1" header="0.5" footer="0.5"/>
  <pageSetup scale="52" orientation="landscape" horizontalDpi="4294967292" verticalDpi="4294967292"/>
  <extLst>
    <ext xmlns:x14="http://schemas.microsoft.com/office/spreadsheetml/2009/9/main" uri="{CCE6A557-97BC-4b89-ADB6-D9C93CAAB3DF}">
      <x14:dataValidations xmlns:xm="http://schemas.microsoft.com/office/excel/2006/main" count="2">
        <x14:dataValidation type="list" allowBlank="1" showInputMessage="1" showErrorMessage="1">
          <x14:formula1>
            <xm:f>'Cap Table'!$B$6:$B$26</xm:f>
          </x14:formula1>
          <xm:sqref>B12:B19</xm:sqref>
        </x14:dataValidation>
        <x14:dataValidation type="list" allowBlank="1" showInputMessage="1" showErrorMessage="1">
          <x14:formula1>
            <xm:f>'Cap Table'!$B$47:$B$54</xm:f>
          </x14:formula1>
          <xm:sqref>C35:C36</xm:sqref>
        </x14:dataValidation>
      </x14:dataValidations>
    </ext>
    <ext xmlns:mx="http://schemas.microsoft.com/office/mac/excel/2008/main" uri="{64002731-A6B0-56B0-2670-7721B7C09600}">
      <mx:PLV Mode="0" OnePage="0" WScale="10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M251"/>
  <sheetViews>
    <sheetView showGridLines="0" workbookViewId="0">
      <pane xSplit="2" ySplit="5" topLeftCell="C6" activePane="bottomRight" state="frozen"/>
      <selection activeCell="B47" sqref="B47"/>
      <selection pane="topRight" activeCell="B47" sqref="B47"/>
      <selection pane="bottomLeft" activeCell="B47" sqref="B47"/>
      <selection pane="bottomRight" activeCell="DS89" sqref="DS89"/>
    </sheetView>
  </sheetViews>
  <sheetFormatPr baseColWidth="10" defaultRowHeight="17" outlineLevelCol="1" x14ac:dyDescent="0"/>
  <cols>
    <col min="1" max="1" width="4.83203125" style="149" customWidth="1"/>
    <col min="2" max="2" width="35.1640625" style="149" customWidth="1"/>
    <col min="3" max="4" width="14" style="149" customWidth="1"/>
    <col min="5" max="5" width="19.1640625" style="155" customWidth="1"/>
    <col min="6" max="6" width="7.83203125" style="155" customWidth="1"/>
    <col min="7" max="8" width="18.5" style="155" customWidth="1"/>
    <col min="9" max="12" width="19.1640625" style="155" customWidth="1"/>
    <col min="13" max="13" width="18.83203125" style="155" customWidth="1"/>
    <col min="14" max="17" width="19.1640625" style="155" customWidth="1"/>
    <col min="18" max="18" width="19.1640625" style="149" customWidth="1"/>
    <col min="19" max="24" width="19.1640625" style="149" customWidth="1" outlineLevel="1"/>
    <col min="25" max="36" width="19.1640625" style="149" customWidth="1"/>
    <col min="37" max="38" width="19.1640625" style="155" customWidth="1"/>
    <col min="39" max="39" width="19.1640625" style="149" customWidth="1"/>
    <col min="40" max="45" width="19.1640625" style="149" customWidth="1" outlineLevel="1"/>
    <col min="46" max="52" width="19.1640625" style="149" customWidth="1"/>
    <col min="53" max="53" width="21.5" style="149" customWidth="1"/>
    <col min="54" max="60" width="19.1640625" style="149" customWidth="1"/>
    <col min="61" max="66" width="19.1640625" style="149" customWidth="1" outlineLevel="1"/>
    <col min="67" max="81" width="19.1640625" style="149" customWidth="1"/>
    <col min="82" max="87" width="19.1640625" style="149" customWidth="1" outlineLevel="1"/>
    <col min="88" max="102" width="19.1640625" style="149" customWidth="1"/>
    <col min="103" max="108" width="19.1640625" style="149" customWidth="1" outlineLevel="1"/>
    <col min="109" max="123" width="19.1640625" style="149" customWidth="1"/>
    <col min="124" max="129" width="19.1640625" style="149" customWidth="1" outlineLevel="1"/>
    <col min="130" max="159" width="19.1640625" style="149" customWidth="1"/>
    <col min="160" max="160" width="15.83203125" style="149" customWidth="1"/>
    <col min="161" max="164" width="16.5" style="149" customWidth="1"/>
    <col min="165" max="165" width="10.83203125" style="149"/>
    <col min="166" max="169" width="16.6640625" style="149" customWidth="1"/>
    <col min="170" max="16384" width="10.83203125" style="149"/>
  </cols>
  <sheetData>
    <row r="1" spans="2:169" ht="18" thickBot="1"/>
    <row r="2" spans="2:169">
      <c r="B2" s="156"/>
      <c r="C2" s="82"/>
    </row>
    <row r="3" spans="2:169">
      <c r="B3" s="157" t="s">
        <v>428</v>
      </c>
      <c r="C3" s="82"/>
    </row>
    <row r="4" spans="2:169" ht="18" thickBot="1">
      <c r="B4" s="158"/>
      <c r="C4" s="82"/>
      <c r="D4" s="159"/>
      <c r="G4" s="160" t="str">
        <f>I59</f>
        <v>Founding</v>
      </c>
      <c r="H4" s="160"/>
      <c r="I4" s="161"/>
      <c r="J4" s="161"/>
      <c r="K4" s="161"/>
      <c r="L4" s="161"/>
      <c r="M4" s="161"/>
      <c r="N4" s="161"/>
      <c r="P4" s="162" t="str">
        <f>R59</f>
        <v>Seed</v>
      </c>
      <c r="Q4" s="163"/>
      <c r="R4" s="163"/>
      <c r="S4" s="163"/>
      <c r="T4" s="163"/>
      <c r="U4" s="163"/>
      <c r="V4" s="163"/>
      <c r="W4" s="163"/>
      <c r="X4" s="163"/>
      <c r="Y4" s="163"/>
      <c r="Z4" s="163"/>
      <c r="AA4" s="163"/>
      <c r="AB4" s="163"/>
      <c r="AC4" s="163"/>
      <c r="AD4" s="163"/>
      <c r="AE4" s="163"/>
      <c r="AF4" s="163"/>
      <c r="AG4" s="163"/>
      <c r="AH4" s="163"/>
      <c r="AI4" s="163"/>
      <c r="AK4" s="162" t="str">
        <f>AM59</f>
        <v>A</v>
      </c>
      <c r="AL4" s="163"/>
      <c r="AM4" s="163"/>
      <c r="AN4" s="163"/>
      <c r="AO4" s="163"/>
      <c r="AP4" s="163"/>
      <c r="AQ4" s="163"/>
      <c r="AR4" s="163"/>
      <c r="AS4" s="163"/>
      <c r="AT4" s="163"/>
      <c r="AU4" s="163"/>
      <c r="AV4" s="163"/>
      <c r="AW4" s="163"/>
      <c r="AX4" s="163"/>
      <c r="AY4" s="163"/>
      <c r="AZ4" s="163"/>
      <c r="BA4" s="163"/>
      <c r="BB4" s="163"/>
      <c r="BC4" s="163"/>
      <c r="BD4" s="163"/>
      <c r="BF4" s="162" t="str">
        <f>BH59</f>
        <v>B</v>
      </c>
      <c r="BG4" s="163"/>
      <c r="BH4" s="163"/>
      <c r="BI4" s="163"/>
      <c r="BJ4" s="163"/>
      <c r="BK4" s="163"/>
      <c r="BL4" s="163"/>
      <c r="BM4" s="163"/>
      <c r="BN4" s="163"/>
      <c r="BO4" s="163"/>
      <c r="BP4" s="163"/>
      <c r="BQ4" s="163"/>
      <c r="BR4" s="163"/>
      <c r="BS4" s="163"/>
      <c r="BT4" s="163"/>
      <c r="BU4" s="163"/>
      <c r="BV4" s="163"/>
      <c r="BW4" s="163"/>
      <c r="BX4" s="163"/>
      <c r="BY4" s="163"/>
      <c r="CA4" s="162" t="str">
        <f>CC59</f>
        <v>C</v>
      </c>
      <c r="CB4" s="163"/>
      <c r="CC4" s="163"/>
      <c r="CD4" s="163"/>
      <c r="CE4" s="163"/>
      <c r="CF4" s="163"/>
      <c r="CG4" s="163"/>
      <c r="CH4" s="163"/>
      <c r="CI4" s="163"/>
      <c r="CJ4" s="163"/>
      <c r="CK4" s="163"/>
      <c r="CL4" s="163"/>
      <c r="CM4" s="163"/>
      <c r="CN4" s="163"/>
      <c r="CO4" s="163"/>
      <c r="CP4" s="163"/>
      <c r="CQ4" s="163"/>
      <c r="CR4" s="163"/>
      <c r="CS4" s="163"/>
      <c r="CT4" s="163"/>
      <c r="CV4" s="162" t="str">
        <f>CX59</f>
        <v>D</v>
      </c>
      <c r="CW4" s="163"/>
      <c r="CX4" s="163"/>
      <c r="CY4" s="163"/>
      <c r="CZ4" s="163"/>
      <c r="DA4" s="163"/>
      <c r="DB4" s="163"/>
      <c r="DC4" s="163"/>
      <c r="DD4" s="163"/>
      <c r="DE4" s="163"/>
      <c r="DF4" s="163"/>
      <c r="DG4" s="163"/>
      <c r="DH4" s="163"/>
      <c r="DI4" s="163"/>
      <c r="DJ4" s="163"/>
      <c r="DK4" s="163"/>
      <c r="DL4" s="163"/>
      <c r="DM4" s="163"/>
      <c r="DN4" s="163"/>
      <c r="DO4" s="163"/>
      <c r="DQ4" s="162" t="str">
        <f>DS59</f>
        <v>E</v>
      </c>
      <c r="DR4" s="163"/>
      <c r="DS4" s="163"/>
      <c r="DT4" s="163"/>
      <c r="DU4" s="163"/>
      <c r="DV4" s="163"/>
      <c r="DW4" s="163"/>
      <c r="DX4" s="163"/>
      <c r="DY4" s="163"/>
      <c r="DZ4" s="163"/>
      <c r="EA4" s="163"/>
      <c r="EB4" s="163"/>
      <c r="EC4" s="163"/>
      <c r="ED4" s="163"/>
      <c r="EE4" s="163"/>
      <c r="EF4" s="163"/>
      <c r="EG4" s="163"/>
      <c r="EH4" s="163"/>
      <c r="EI4" s="163"/>
      <c r="EJ4" s="163"/>
      <c r="EL4" s="162" t="s">
        <v>429</v>
      </c>
      <c r="EM4" s="163"/>
      <c r="EN4" s="163"/>
      <c r="EO4" s="163"/>
      <c r="EP4" s="163"/>
      <c r="EQ4" s="163"/>
      <c r="ER4" s="163"/>
      <c r="ES4" s="163"/>
      <c r="ET4" s="163"/>
      <c r="EU4" s="163"/>
      <c r="EV4" s="163"/>
      <c r="EW4" s="163"/>
      <c r="EX4" s="163"/>
      <c r="EY4" s="163"/>
      <c r="EZ4" s="163"/>
      <c r="FA4" s="163"/>
      <c r="FB4" s="163"/>
      <c r="FC4" s="163"/>
      <c r="FE4" s="162" t="s">
        <v>430</v>
      </c>
      <c r="FF4" s="163" t="str">
        <f>Summary!C35</f>
        <v>Founding</v>
      </c>
      <c r="FG4" s="163"/>
      <c r="FH4" s="163"/>
      <c r="FJ4" s="162" t="s">
        <v>430</v>
      </c>
      <c r="FK4" s="163" t="str">
        <f>Summary!C36</f>
        <v>na</v>
      </c>
      <c r="FL4" s="163"/>
      <c r="FM4" s="163"/>
    </row>
    <row r="5" spans="2:169" s="165" customFormat="1" ht="51" customHeight="1">
      <c r="B5" s="142" t="str">
        <f>'Cap Table'!D61&amp;"holder [0]"</f>
        <v>Shareholder [0]</v>
      </c>
      <c r="C5" s="161" t="s">
        <v>421</v>
      </c>
      <c r="D5" s="164" t="s">
        <v>431</v>
      </c>
      <c r="E5" s="164" t="str">
        <f>'Cap Table'!B31&amp;" [36]"</f>
        <v>Share Class [36]</v>
      </c>
      <c r="F5" s="164"/>
      <c r="G5" s="164" t="s">
        <v>432</v>
      </c>
      <c r="H5" s="164" t="s">
        <v>433</v>
      </c>
      <c r="I5" s="164" t="str">
        <f>"# "&amp;'Cap Table'!$D61&amp;"s"</f>
        <v># Shares</v>
      </c>
      <c r="J5" s="164" t="s">
        <v>434</v>
      </c>
      <c r="K5" s="164" t="s">
        <v>435</v>
      </c>
      <c r="L5" s="27" t="s">
        <v>666</v>
      </c>
      <c r="M5" s="164" t="s">
        <v>436</v>
      </c>
      <c r="N5" s="164" t="str">
        <f>M5&amp;", % Ownership"</f>
        <v>Fully-Diluted Shares [1], % Ownership</v>
      </c>
      <c r="P5" s="164" t="s">
        <v>432</v>
      </c>
      <c r="Q5" s="164" t="s">
        <v>433</v>
      </c>
      <c r="R5" s="164" t="s">
        <v>438</v>
      </c>
      <c r="S5" s="164" t="s">
        <v>439</v>
      </c>
      <c r="T5" s="164" t="s">
        <v>440</v>
      </c>
      <c r="U5" s="164" t="s">
        <v>441</v>
      </c>
      <c r="V5" s="164" t="s">
        <v>442</v>
      </c>
      <c r="W5" s="164" t="s">
        <v>443</v>
      </c>
      <c r="X5" s="164" t="s">
        <v>444</v>
      </c>
      <c r="Y5" s="164" t="s">
        <v>445</v>
      </c>
      <c r="Z5" s="164" t="str">
        <f>"Price per "&amp;'Cap Table'!$D61</f>
        <v>Price per Share</v>
      </c>
      <c r="AA5" s="164" t="str">
        <f>"# "&amp;'Cap Table'!$D61&amp;"s"</f>
        <v># Shares</v>
      </c>
      <c r="AB5" s="164" t="s">
        <v>434</v>
      </c>
      <c r="AC5" s="164" t="str">
        <f>"Total # of "&amp;'Cap Table'!$D61&amp;"s"</f>
        <v>Total # of Shares</v>
      </c>
      <c r="AD5" s="164" t="s">
        <v>446</v>
      </c>
      <c r="AE5" s="164" t="s">
        <v>435</v>
      </c>
      <c r="AF5" s="27" t="s">
        <v>666</v>
      </c>
      <c r="AG5" s="164" t="s">
        <v>447</v>
      </c>
      <c r="AH5" s="164" t="s">
        <v>436</v>
      </c>
      <c r="AI5" s="164" t="str">
        <f>AH5&amp;", % Ownership"</f>
        <v>Fully-Diluted Shares [1], % Ownership</v>
      </c>
      <c r="AK5" s="164" t="s">
        <v>432</v>
      </c>
      <c r="AL5" s="164" t="s">
        <v>433</v>
      </c>
      <c r="AM5" s="164" t="s">
        <v>438</v>
      </c>
      <c r="AN5" s="164" t="s">
        <v>439</v>
      </c>
      <c r="AO5" s="164" t="s">
        <v>440</v>
      </c>
      <c r="AP5" s="164" t="s">
        <v>441</v>
      </c>
      <c r="AQ5" s="164" t="s">
        <v>442</v>
      </c>
      <c r="AR5" s="164" t="s">
        <v>443</v>
      </c>
      <c r="AS5" s="164" t="s">
        <v>444</v>
      </c>
      <c r="AT5" s="164" t="s">
        <v>445</v>
      </c>
      <c r="AU5" s="164" t="str">
        <f>"Price per "&amp;'Cap Table'!$D61</f>
        <v>Price per Share</v>
      </c>
      <c r="AV5" s="164" t="str">
        <f>"# "&amp;'Cap Table'!$D61&amp;"s"</f>
        <v># Shares</v>
      </c>
      <c r="AW5" s="164" t="s">
        <v>434</v>
      </c>
      <c r="AX5" s="164" t="str">
        <f>"Total # of "&amp;'Cap Table'!$D61&amp;"s"</f>
        <v>Total # of Shares</v>
      </c>
      <c r="AY5" s="164" t="s">
        <v>446</v>
      </c>
      <c r="AZ5" s="164" t="s">
        <v>435</v>
      </c>
      <c r="BA5" s="164" t="str">
        <f>AZ5&amp;", % Ownership"</f>
        <v>Issued and Outstanding, % Ownership</v>
      </c>
      <c r="BB5" s="164" t="s">
        <v>447</v>
      </c>
      <c r="BC5" s="164" t="s">
        <v>436</v>
      </c>
      <c r="BD5" s="164" t="str">
        <f>BC5&amp;", % Ownership"</f>
        <v>Fully-Diluted Shares [1], % Ownership</v>
      </c>
      <c r="BF5" s="164" t="s">
        <v>432</v>
      </c>
      <c r="BG5" s="164" t="s">
        <v>433</v>
      </c>
      <c r="BH5" s="164" t="s">
        <v>438</v>
      </c>
      <c r="BI5" s="164" t="s">
        <v>439</v>
      </c>
      <c r="BJ5" s="164" t="s">
        <v>440</v>
      </c>
      <c r="BK5" s="164" t="s">
        <v>441</v>
      </c>
      <c r="BL5" s="164" t="s">
        <v>442</v>
      </c>
      <c r="BM5" s="164" t="s">
        <v>443</v>
      </c>
      <c r="BN5" s="164" t="s">
        <v>444</v>
      </c>
      <c r="BO5" s="164" t="s">
        <v>445</v>
      </c>
      <c r="BP5" s="164" t="str">
        <f>"Price per "&amp;'Cap Table'!$D61</f>
        <v>Price per Share</v>
      </c>
      <c r="BQ5" s="164" t="str">
        <f>"# "&amp;'Cap Table'!$D61&amp;"s"</f>
        <v># Shares</v>
      </c>
      <c r="BR5" s="164" t="s">
        <v>434</v>
      </c>
      <c r="BS5" s="164" t="str">
        <f>"Total # of "&amp;'Cap Table'!$D61&amp;"s"</f>
        <v>Total # of Shares</v>
      </c>
      <c r="BT5" s="164" t="s">
        <v>446</v>
      </c>
      <c r="BU5" s="164" t="s">
        <v>435</v>
      </c>
      <c r="BV5" s="164" t="str">
        <f>BU5&amp;", % Ownership"</f>
        <v>Issued and Outstanding, % Ownership</v>
      </c>
      <c r="BW5" s="164" t="s">
        <v>447</v>
      </c>
      <c r="BX5" s="164" t="s">
        <v>436</v>
      </c>
      <c r="BY5" s="164" t="str">
        <f>BX5&amp;", % Ownership"</f>
        <v>Fully-Diluted Shares [1], % Ownership</v>
      </c>
      <c r="CA5" s="164" t="s">
        <v>432</v>
      </c>
      <c r="CB5" s="164" t="s">
        <v>433</v>
      </c>
      <c r="CC5" s="164" t="s">
        <v>438</v>
      </c>
      <c r="CD5" s="164" t="s">
        <v>439</v>
      </c>
      <c r="CE5" s="164" t="s">
        <v>440</v>
      </c>
      <c r="CF5" s="164" t="s">
        <v>441</v>
      </c>
      <c r="CG5" s="164" t="s">
        <v>442</v>
      </c>
      <c r="CH5" s="164" t="s">
        <v>443</v>
      </c>
      <c r="CI5" s="164" t="s">
        <v>444</v>
      </c>
      <c r="CJ5" s="164" t="s">
        <v>445</v>
      </c>
      <c r="CK5" s="164" t="str">
        <f>"Price per "&amp;'Cap Table'!$D61</f>
        <v>Price per Share</v>
      </c>
      <c r="CL5" s="164" t="str">
        <f>"# "&amp;'Cap Table'!$D61&amp;"s"</f>
        <v># Shares</v>
      </c>
      <c r="CM5" s="164" t="s">
        <v>434</v>
      </c>
      <c r="CN5" s="164" t="str">
        <f>"Total # of "&amp;'Cap Table'!$D61&amp;"s"</f>
        <v>Total # of Shares</v>
      </c>
      <c r="CO5" s="164" t="s">
        <v>446</v>
      </c>
      <c r="CP5" s="164" t="s">
        <v>435</v>
      </c>
      <c r="CQ5" s="164" t="str">
        <f>CP5&amp;", % Ownership"</f>
        <v>Issued and Outstanding, % Ownership</v>
      </c>
      <c r="CR5" s="164" t="s">
        <v>447</v>
      </c>
      <c r="CS5" s="164" t="s">
        <v>436</v>
      </c>
      <c r="CT5" s="164" t="str">
        <f>CS5&amp;", % Ownership"</f>
        <v>Fully-Diluted Shares [1], % Ownership</v>
      </c>
      <c r="CV5" s="164" t="s">
        <v>432</v>
      </c>
      <c r="CW5" s="164" t="s">
        <v>433</v>
      </c>
      <c r="CX5" s="164" t="s">
        <v>438</v>
      </c>
      <c r="CY5" s="164" t="s">
        <v>439</v>
      </c>
      <c r="CZ5" s="164" t="s">
        <v>440</v>
      </c>
      <c r="DA5" s="164" t="s">
        <v>441</v>
      </c>
      <c r="DB5" s="164" t="s">
        <v>442</v>
      </c>
      <c r="DC5" s="164" t="s">
        <v>443</v>
      </c>
      <c r="DD5" s="164" t="s">
        <v>444</v>
      </c>
      <c r="DE5" s="164" t="s">
        <v>445</v>
      </c>
      <c r="DF5" s="164" t="str">
        <f>"Price per "&amp;'Cap Table'!$D61</f>
        <v>Price per Share</v>
      </c>
      <c r="DG5" s="164" t="str">
        <f>"# "&amp;'Cap Table'!$D61&amp;"s"</f>
        <v># Shares</v>
      </c>
      <c r="DH5" s="164" t="s">
        <v>434</v>
      </c>
      <c r="DI5" s="164" t="str">
        <f>"Total # of "&amp;'Cap Table'!$D61&amp;"s"</f>
        <v>Total # of Shares</v>
      </c>
      <c r="DJ5" s="164" t="s">
        <v>446</v>
      </c>
      <c r="DK5" s="164" t="s">
        <v>435</v>
      </c>
      <c r="DL5" s="164" t="str">
        <f>DK5&amp;", % Ownership"</f>
        <v>Issued and Outstanding, % Ownership</v>
      </c>
      <c r="DM5" s="164" t="s">
        <v>447</v>
      </c>
      <c r="DN5" s="164" t="s">
        <v>436</v>
      </c>
      <c r="DO5" s="164" t="str">
        <f>DN5&amp;", % Ownership"</f>
        <v>Fully-Diluted Shares [1], % Ownership</v>
      </c>
      <c r="DQ5" s="164" t="s">
        <v>432</v>
      </c>
      <c r="DR5" s="164" t="s">
        <v>433</v>
      </c>
      <c r="DS5" s="164" t="s">
        <v>438</v>
      </c>
      <c r="DT5" s="164" t="s">
        <v>439</v>
      </c>
      <c r="DU5" s="164" t="s">
        <v>440</v>
      </c>
      <c r="DV5" s="164" t="s">
        <v>441</v>
      </c>
      <c r="DW5" s="164" t="s">
        <v>442</v>
      </c>
      <c r="DX5" s="164" t="s">
        <v>443</v>
      </c>
      <c r="DY5" s="164" t="s">
        <v>444</v>
      </c>
      <c r="DZ5" s="164" t="s">
        <v>445</v>
      </c>
      <c r="EA5" s="164" t="str">
        <f>"Price per "&amp;'Cap Table'!$D61</f>
        <v>Price per Share</v>
      </c>
      <c r="EB5" s="164" t="str">
        <f>"# "&amp;'Cap Table'!$D61&amp;"s"</f>
        <v># Shares</v>
      </c>
      <c r="EC5" s="164" t="s">
        <v>434</v>
      </c>
      <c r="ED5" s="164" t="str">
        <f>"Total # of "&amp;'Cap Table'!$D61&amp;"s"</f>
        <v>Total # of Shares</v>
      </c>
      <c r="EE5" s="164" t="s">
        <v>446</v>
      </c>
      <c r="EF5" s="164" t="s">
        <v>435</v>
      </c>
      <c r="EG5" s="164" t="str">
        <f>EF5&amp;", % Ownership"</f>
        <v>Issued and Outstanding, % Ownership</v>
      </c>
      <c r="EH5" s="164" t="s">
        <v>447</v>
      </c>
      <c r="EI5" s="164" t="s">
        <v>436</v>
      </c>
      <c r="EJ5" s="164" t="str">
        <f>EI5&amp;", % Ownership"</f>
        <v>Fully-Diluted Shares [1], % Ownership</v>
      </c>
      <c r="EL5" s="164" t="s">
        <v>438</v>
      </c>
      <c r="EM5" s="164" t="s">
        <v>439</v>
      </c>
      <c r="EN5" s="164" t="s">
        <v>440</v>
      </c>
      <c r="EO5" s="164" t="s">
        <v>441</v>
      </c>
      <c r="EP5" s="164" t="s">
        <v>442</v>
      </c>
      <c r="EQ5" s="164" t="s">
        <v>443</v>
      </c>
      <c r="ER5" s="164" t="s">
        <v>444</v>
      </c>
      <c r="ES5" s="164" t="s">
        <v>445</v>
      </c>
      <c r="ET5" s="164" t="str">
        <f>"Price per "&amp;'Cap Table'!$D61&amp;", Average"</f>
        <v>Price per Share, Average</v>
      </c>
      <c r="EU5" s="164" t="str">
        <f>"# "&amp;'Cap Table'!$D61&amp;"s"</f>
        <v># Shares</v>
      </c>
      <c r="EV5" s="164" t="s">
        <v>434</v>
      </c>
      <c r="EW5" s="164" t="str">
        <f>"Total # of "&amp;'Cap Table'!$D61&amp;"s"</f>
        <v>Total # of Shares</v>
      </c>
      <c r="EX5" s="164" t="s">
        <v>446</v>
      </c>
      <c r="EY5" s="164" t="s">
        <v>435</v>
      </c>
      <c r="EZ5" s="164" t="str">
        <f>EY5&amp;", % Ownership"</f>
        <v>Issued and Outstanding, % Ownership</v>
      </c>
      <c r="FA5" s="164" t="s">
        <v>447</v>
      </c>
      <c r="FB5" s="164" t="s">
        <v>436</v>
      </c>
      <c r="FC5" s="164" t="str">
        <f>FB5&amp;", % Ownership"</f>
        <v>Fully-Diluted Shares [1], % Ownership</v>
      </c>
      <c r="FE5" s="166" t="str">
        <f t="shared" ref="FE5:FE28" si="0">E5</f>
        <v>Share Class [36]</v>
      </c>
      <c r="FF5" s="164" t="str">
        <f>"Total # of "&amp;'Cap Table'!$D61&amp;"s"</f>
        <v>Total # of Shares</v>
      </c>
      <c r="FG5" s="164" t="s">
        <v>446</v>
      </c>
      <c r="FH5" s="164" t="s">
        <v>436</v>
      </c>
      <c r="FJ5" s="166" t="str">
        <f>FE5</f>
        <v>Share Class [36]</v>
      </c>
      <c r="FK5" s="164" t="str">
        <f>FF5</f>
        <v>Total # of Shares</v>
      </c>
      <c r="FL5" s="164" t="str">
        <f>FG5</f>
        <v>Total # Options</v>
      </c>
      <c r="FM5" s="164" t="s">
        <v>436</v>
      </c>
    </row>
    <row r="6" spans="2:169">
      <c r="B6" s="145" t="s">
        <v>1</v>
      </c>
      <c r="D6" s="167" t="s">
        <v>25</v>
      </c>
      <c r="E6" s="167" t="str">
        <f>B$32</f>
        <v>Common</v>
      </c>
      <c r="G6" s="168">
        <f t="shared" ref="G6:G28" ca="1" si="1">I$60</f>
        <v>43482</v>
      </c>
      <c r="H6" s="289" t="str">
        <f t="shared" ref="H6:H28" si="2">B$39</f>
        <v>Equity</v>
      </c>
      <c r="I6" s="169">
        <v>0</v>
      </c>
      <c r="J6" s="170">
        <v>0</v>
      </c>
      <c r="K6" s="170">
        <f>J6+I6</f>
        <v>0</v>
      </c>
      <c r="L6" s="147">
        <f t="shared" ref="L6:L28" si="3">IFERROR(K6/K$29,0)</f>
        <v>0</v>
      </c>
      <c r="M6" s="170">
        <f>K6</f>
        <v>0</v>
      </c>
      <c r="N6" s="147">
        <f t="shared" ref="N6:N28" si="4">IFERROR(M6/M$29,0)</f>
        <v>0</v>
      </c>
      <c r="O6" s="147"/>
      <c r="P6" s="168">
        <f ca="1">IF(S6=0,R$60,G6)</f>
        <v>43847</v>
      </c>
      <c r="Q6" s="289" t="str">
        <f t="shared" ref="Q6:Q28" si="5">H6</f>
        <v>Equity</v>
      </c>
      <c r="R6" s="169">
        <v>0</v>
      </c>
      <c r="S6" s="169">
        <v>0</v>
      </c>
      <c r="T6" s="171">
        <v>0</v>
      </c>
      <c r="U6" s="169">
        <v>0</v>
      </c>
      <c r="V6" s="172">
        <v>0</v>
      </c>
      <c r="W6" s="170">
        <f ca="1">FV(V6/1,DATEDIF(P6,'Cap Table'!R$60,"y"),0,-S6)</f>
        <v>0</v>
      </c>
      <c r="X6" s="170">
        <f t="shared" ref="X6:X26" ca="1" si="6">IFERROR(W6/(1-T6),0)</f>
        <v>0</v>
      </c>
      <c r="Y6" s="146">
        <f t="shared" ref="Y6:Y28" ca="1" si="7">W6+R6</f>
        <v>0</v>
      </c>
      <c r="Z6" s="149">
        <f ca="1">IF(AND('Cap Table'!R$62=0,W6&gt;0),U6/'Cap Table'!R$61,IFERROR(IF(U6=0,'Cap Table'!R$62*(1-T6),MIN('Cap Table'!R$62*(1-T6),U6/'Cap Table'!R$61)),0))</f>
        <v>0</v>
      </c>
      <c r="AA6" s="170">
        <f ca="1">IFERROR(Y6/Z6,0)</f>
        <v>0</v>
      </c>
      <c r="AB6" s="170">
        <v>0</v>
      </c>
      <c r="AC6" s="146">
        <f t="shared" ref="AC6:AD28" ca="1" si="8">AA6+I6</f>
        <v>0</v>
      </c>
      <c r="AD6" s="146">
        <f t="shared" si="8"/>
        <v>0</v>
      </c>
      <c r="AE6" s="146">
        <f ca="1">AD6+AC6</f>
        <v>0</v>
      </c>
      <c r="AF6" s="147">
        <f t="shared" ref="AF6:AF28" ca="1" si="9">IFERROR(AE6/AE$29,0)</f>
        <v>0</v>
      </c>
      <c r="AG6" s="146">
        <f ca="1">AE6*'Cap Table'!R$62</f>
        <v>0</v>
      </c>
      <c r="AH6" s="146">
        <f ca="1">IFERROR(IF(OR(Q6='Cap Table'!$B$40,Q6='Cap Table'!$B$41,Q6='Cap Table'!$B$42),IF(SUM(S6)&lt;SUM(R6),(FV(V6/1,DATEDIF(P6,'Cap Table'!R$60,"y"),0,-R6))/(U6/'Cap Table'!$R$61),AE6),AE6),0)</f>
        <v>0</v>
      </c>
      <c r="AI6" s="147">
        <f t="shared" ref="AI6:AI28" ca="1" si="10">IFERROR(AH6/AH$29,0)</f>
        <v>0</v>
      </c>
      <c r="AK6" s="168">
        <f ca="1">IF(AN6=0,AM$60,P6)</f>
        <v>44213</v>
      </c>
      <c r="AL6" s="168" t="str">
        <f>Q6</f>
        <v>Equity</v>
      </c>
      <c r="AM6" s="169">
        <v>0</v>
      </c>
      <c r="AN6" s="169">
        <f>IF('Cap Table'!AM$79&lt;&gt;"na",IF(Q6='Cap Table'!$B$40,R6-S6,0),0)</f>
        <v>0</v>
      </c>
      <c r="AO6" s="171">
        <f t="shared" ref="AO6:AO26" si="11">IF(AN6=$R6,T6,0)</f>
        <v>0</v>
      </c>
      <c r="AP6" s="169">
        <f t="shared" ref="AP6:AP26" si="12">IF(AN6=$R6,U6,0)</f>
        <v>0</v>
      </c>
      <c r="AQ6" s="172">
        <f t="shared" ref="AQ6:AQ26" si="13">IF(AN6=$R6,V6,0)</f>
        <v>0</v>
      </c>
      <c r="AR6" s="170">
        <f ca="1">FV(AQ6/1,DATEDIF(AK6,'Cap Table'!AM$60,"y"),0,-AN6)</f>
        <v>0</v>
      </c>
      <c r="AS6" s="170">
        <f ca="1">IF('Cap Table'!AM$80="no",IFERROR(AR6/(1-AO6),0),IFERROR(AR6/(1-(MAX(AO6,('Cap Table'!AM$62-AP6/'Cap Table'!AM$61)/'Cap Table'!AM$62))),0))</f>
        <v>0</v>
      </c>
      <c r="AT6" s="146">
        <f t="shared" ref="AT6:AT28" ca="1" si="14">AR6+AM6</f>
        <v>0</v>
      </c>
      <c r="AU6" s="149">
        <f ca="1">IF(AND('Cap Table'!AM$62=0,AR6&gt;0),AP6/'Cap Table'!AM$61,IFERROR(IF(AP6=0,'Cap Table'!AM$62*(1-AO6),MIN('Cap Table'!AM$62*(1-AO6),AP6/'Cap Table'!AM$61)),0))</f>
        <v>0</v>
      </c>
      <c r="AV6" s="170">
        <f ca="1">IFERROR(AT6/AU6,0)</f>
        <v>0</v>
      </c>
      <c r="AW6" s="170">
        <v>0</v>
      </c>
      <c r="AX6" s="146">
        <f t="shared" ref="AX6:AY28" ca="1" si="15">AV6+AC6</f>
        <v>0</v>
      </c>
      <c r="AY6" s="146">
        <f t="shared" si="15"/>
        <v>0</v>
      </c>
      <c r="AZ6" s="146">
        <f ca="1">AY6+AX6</f>
        <v>0</v>
      </c>
      <c r="BA6" s="147">
        <f t="shared" ref="BA6:BA28" ca="1" si="16">IFERROR(AZ6/AZ$29,0)</f>
        <v>0</v>
      </c>
      <c r="BB6" s="146">
        <f ca="1">AZ6*'Cap Table'!AM$62</f>
        <v>0</v>
      </c>
      <c r="BC6" s="173">
        <f ca="1">IFERROR(IF(OR(AL6='Cap Table'!$B$40,AL6='Cap Table'!$B$41,AL6='Cap Table'!$B$42),IF(SUM(AN6,S6)&lt;SUM(AM6,R6),FV(MAX(AQ6,V6)/1,DATEDIF(AK6,'Cap Table'!$AM$60,"y"),0,-MAX(AM6,R6))/(MAX(AP6,U6)/'Cap Table'!$AM$61),AZ6),AZ6),0)</f>
        <v>0</v>
      </c>
      <c r="BD6" s="147">
        <f t="shared" ref="BD6:BD28" ca="1" si="17">IFERROR(BC6/BC$29,0)</f>
        <v>0</v>
      </c>
      <c r="BF6" s="168">
        <f ca="1">IF(BI6=0,BH$60,AK6)</f>
        <v>44578</v>
      </c>
      <c r="BG6" s="168" t="str">
        <f>AL6</f>
        <v>Equity</v>
      </c>
      <c r="BH6" s="169">
        <v>0</v>
      </c>
      <c r="BI6" s="169">
        <f>IF('Cap Table'!BH$79&lt;&gt;"na",IF(AL6='Cap Table'!$B$40,AM6-AN6,0),0)</f>
        <v>0</v>
      </c>
      <c r="BJ6" s="171">
        <f t="shared" ref="BJ6:BJ26" si="18">IF(BI6=$R6,AO6,0)</f>
        <v>0</v>
      </c>
      <c r="BK6" s="169">
        <f t="shared" ref="BK6:BK26" si="19">IF(BI6=$R6,AP6,0)</f>
        <v>0</v>
      </c>
      <c r="BL6" s="172">
        <f t="shared" ref="BL6:BL26" si="20">IF(BI6=$R6,AQ6,0)</f>
        <v>0</v>
      </c>
      <c r="BM6" s="170">
        <f ca="1">FV(BL6/1,DATEDIF(BF6,'Cap Table'!BH$60,"y"),0,-BI6)</f>
        <v>0</v>
      </c>
      <c r="BN6" s="170">
        <f ca="1">IF('Cap Table'!BH$80="no",IFERROR(BM6/(1-BJ6),0),IFERROR(BM6/(1-(MAX(BJ6,('Cap Table'!BH$62-BK6/'Cap Table'!BH$61)/'Cap Table'!BH$62))),0))</f>
        <v>0</v>
      </c>
      <c r="BO6" s="146">
        <f t="shared" ref="BO6:BO28" ca="1" si="21">BM6+BH6</f>
        <v>0</v>
      </c>
      <c r="BP6" s="149">
        <f ca="1">IF(AND('Cap Table'!BH$62=0,BM6&gt;0),BK6/'Cap Table'!BH$61,IFERROR(IF(BK6=0,'Cap Table'!BH$62*(1-BJ6),MIN('Cap Table'!BH$62*(1-BJ6),BK6/'Cap Table'!BH$61)),0))</f>
        <v>0</v>
      </c>
      <c r="BQ6" s="170">
        <f ca="1">IFERROR(BO6/BP6,0)</f>
        <v>0</v>
      </c>
      <c r="BR6" s="170">
        <v>0</v>
      </c>
      <c r="BS6" s="146">
        <f t="shared" ref="BS6:BT28" ca="1" si="22">BQ6+AX6</f>
        <v>0</v>
      </c>
      <c r="BT6" s="146">
        <f t="shared" si="22"/>
        <v>0</v>
      </c>
      <c r="BU6" s="146">
        <f ca="1">BT6+BS6</f>
        <v>0</v>
      </c>
      <c r="BV6" s="147">
        <f t="shared" ref="BV6:BV28" ca="1" si="23">IFERROR(BU6/BU$29,0)</f>
        <v>0</v>
      </c>
      <c r="BW6" s="146">
        <f ca="1">BU6*'Cap Table'!BH$62</f>
        <v>0</v>
      </c>
      <c r="BX6" s="173">
        <f ca="1">IFERROR(IF(OR(BG6='Cap Table'!$B$40,BG6='Cap Table'!$B$41,BG6='Cap Table'!$B$42),IF(SUM(BI6,AN6,S6)&lt;SUM(BH6,AM6,R6),FV(MAX(BL6,AQ6,V6)/1,DATEDIF(BF6,'Cap Table'!$BH$60,"y"),0,-MAX(BH6,AM6,R6))/(MAX(BK6,AP6,U6)/'Cap Table'!$BH$61),BU6),BU6),0)</f>
        <v>0</v>
      </c>
      <c r="BY6" s="147">
        <f t="shared" ref="BY6:BY28" ca="1" si="24">IFERROR(BX6/BX$29,0)</f>
        <v>0</v>
      </c>
      <c r="CA6" s="168">
        <f ca="1">IF(CD6=0,CC$60,BF6)</f>
        <v>44943</v>
      </c>
      <c r="CB6" s="168" t="str">
        <f>BG6</f>
        <v>Equity</v>
      </c>
      <c r="CC6" s="169">
        <v>0</v>
      </c>
      <c r="CD6" s="169">
        <f>IF('Cap Table'!CC$79&lt;&gt;"na",IF(BG6='Cap Table'!$B$40,BH6-BI6,0),0)</f>
        <v>0</v>
      </c>
      <c r="CE6" s="171">
        <f t="shared" ref="CE6:CE26" si="25">IF(CD6=$R6,BJ6,0)</f>
        <v>0</v>
      </c>
      <c r="CF6" s="169">
        <f t="shared" ref="CF6:CF26" si="26">IF(CD6=$R6,BK6,0)</f>
        <v>0</v>
      </c>
      <c r="CG6" s="172">
        <f t="shared" ref="CG6:CG26" si="27">IF(CD6=$R6,BL6,0)</f>
        <v>0</v>
      </c>
      <c r="CH6" s="170">
        <f ca="1">FV(CG6/1,DATEDIF(CA6,'Cap Table'!CC$60,"y"),0,-CD6)</f>
        <v>0</v>
      </c>
      <c r="CI6" s="170">
        <f ca="1">IF('Cap Table'!CC$80="no",IFERROR(CH6/(1-CE6),0),IFERROR(CH6/(1-(MAX(CE6,('Cap Table'!CC$62-CF6/'Cap Table'!CC$61)/'Cap Table'!CC$62))),0))</f>
        <v>0</v>
      </c>
      <c r="CJ6" s="146">
        <f t="shared" ref="CJ6:CJ28" ca="1" si="28">CH6+CC6</f>
        <v>0</v>
      </c>
      <c r="CK6" s="149">
        <f ca="1">IF(AND('Cap Table'!CC$62=0,CH6&gt;0),CF6/'Cap Table'!CC$61,IFERROR(IF(CF6=0,'Cap Table'!CC$62*(1-CE6),MIN('Cap Table'!CC$62*(1-CE6),CF6/'Cap Table'!CC$61)),0))</f>
        <v>0</v>
      </c>
      <c r="CL6" s="170">
        <f ca="1">IFERROR(CJ6/CK6,0)</f>
        <v>0</v>
      </c>
      <c r="CM6" s="170">
        <v>0</v>
      </c>
      <c r="CN6" s="146">
        <f t="shared" ref="CN6:CO28" ca="1" si="29">CL6+BS6</f>
        <v>0</v>
      </c>
      <c r="CO6" s="146">
        <f t="shared" si="29"/>
        <v>0</v>
      </c>
      <c r="CP6" s="146">
        <f ca="1">CO6+CN6</f>
        <v>0</v>
      </c>
      <c r="CQ6" s="147">
        <f t="shared" ref="CQ6:CQ28" ca="1" si="30">IFERROR(CP6/CP$29,0)</f>
        <v>0</v>
      </c>
      <c r="CR6" s="146">
        <f ca="1">CP6*'Cap Table'!CC$62</f>
        <v>0</v>
      </c>
      <c r="CS6" s="173">
        <f ca="1">IFERROR(IF(OR(CB6='Cap Table'!$B$40,CB6='Cap Table'!$B$41,CB6='Cap Table'!$B$42),IF(SUM(CD6,BI6,AN6,S6)&lt;SUM(CC6,BH6,AM6,R6),FV(MAX(CG6,BL6,AQ6,V6)/1,DATEDIF(CA6,'Cap Table'!$CC$60,"y"),0,-MAX(CC6,BH6,AM6,R6))/(MAX(CF6,BK6,AP6,U6)/'Cap Table'!$CC$61),CP6),CP6),0)</f>
        <v>0</v>
      </c>
      <c r="CT6" s="147">
        <f t="shared" ref="CT6:CT28" ca="1" si="31">IFERROR(CS6/CS$29,0)</f>
        <v>0</v>
      </c>
      <c r="CV6" s="168">
        <f ca="1">IF(CY6=0,CX$60,CA6)</f>
        <v>45308</v>
      </c>
      <c r="CW6" s="168" t="str">
        <f>CB6</f>
        <v>Equity</v>
      </c>
      <c r="CX6" s="169">
        <v>0</v>
      </c>
      <c r="CY6" s="169">
        <f>IF('Cap Table'!CX$79&lt;&gt;"na",IF(CB6='Cap Table'!$B$40,CC6-CD6,0),0)</f>
        <v>0</v>
      </c>
      <c r="CZ6" s="171">
        <f t="shared" ref="CZ6:CZ26" si="32">IF(CY6=$R6,CE6,0)</f>
        <v>0</v>
      </c>
      <c r="DA6" s="169">
        <f t="shared" ref="DA6:DA26" si="33">IF(CY6=$R6,CF6,0)</f>
        <v>0</v>
      </c>
      <c r="DB6" s="172">
        <f t="shared" ref="DB6:DB26" si="34">IF(CY6=$R6,CG6,0)</f>
        <v>0</v>
      </c>
      <c r="DC6" s="170">
        <f ca="1">FV(DB6/1,DATEDIF(CV6,'Cap Table'!CX$60,"y"),0,-CY6)</f>
        <v>0</v>
      </c>
      <c r="DD6" s="170">
        <f ca="1">IF('Cap Table'!CX$80="no",IFERROR(DC6/(1-CZ6),0),IFERROR(DC6/(1-(MAX(CZ6,('Cap Table'!CX$62-DA6/'Cap Table'!CX$61)/'Cap Table'!CX$62))),0))</f>
        <v>0</v>
      </c>
      <c r="DE6" s="146">
        <f t="shared" ref="DE6:DE28" ca="1" si="35">DC6+CX6</f>
        <v>0</v>
      </c>
      <c r="DF6" s="149">
        <f ca="1">IF(AND('Cap Table'!CX$62=0,DC6&gt;0),DA6/'Cap Table'!CX$61,IFERROR(IF(DA6=0,'Cap Table'!CX$62*(1-CZ6),MIN('Cap Table'!CX$62*(1-CZ6),DA6/'Cap Table'!CX$61)),0))</f>
        <v>0</v>
      </c>
      <c r="DG6" s="170">
        <f ca="1">IFERROR(DE6/DF6,0)</f>
        <v>0</v>
      </c>
      <c r="DH6" s="170">
        <v>0</v>
      </c>
      <c r="DI6" s="146">
        <f t="shared" ref="DI6:DJ28" ca="1" si="36">DG6+CN6</f>
        <v>0</v>
      </c>
      <c r="DJ6" s="146">
        <f t="shared" si="36"/>
        <v>0</v>
      </c>
      <c r="DK6" s="146">
        <f ca="1">DJ6+DI6</f>
        <v>0</v>
      </c>
      <c r="DL6" s="147">
        <f t="shared" ref="DL6:DL28" ca="1" si="37">IFERROR(DK6/DK$29,0)</f>
        <v>0</v>
      </c>
      <c r="DM6" s="146">
        <f ca="1">DK6*'Cap Table'!CX$62</f>
        <v>0</v>
      </c>
      <c r="DN6" s="173">
        <f ca="1">IFERROR(IF(OR(CW6='Cap Table'!$B$40,CW6='Cap Table'!$B$41,CW6='Cap Table'!$B$42),IF(SUM(CY6,CD6,BI6,AN6,S6,)&lt;SUM(CX6,CC6,BH6,AM6,R6),FV(MAX(DB6,CG6,BL6,AQ6,V6)/1,DATEDIF(CV6,'Cap Table'!$CX$60,"y"),0,-MAX(CX6,CC6,BH6,AM6,R6))/(MAX(DA6,CF6,BK6,AP6,U6,)/'Cap Table'!$CX$61),DK6),DK6),0)</f>
        <v>0</v>
      </c>
      <c r="DO6" s="147">
        <f t="shared" ref="DO6:DO28" ca="1" si="38">IFERROR(DN6/DN$29,0)</f>
        <v>0</v>
      </c>
      <c r="DQ6" s="168">
        <f ca="1">IF(DT6=0,DS$60,CV6)</f>
        <v>45674</v>
      </c>
      <c r="DR6" s="168" t="str">
        <f>CW6</f>
        <v>Equity</v>
      </c>
      <c r="DS6" s="169">
        <v>0</v>
      </c>
      <c r="DT6" s="169">
        <f>IF('Cap Table'!DS$79&lt;&gt;"na",IF(CW6='Cap Table'!$B$40,CX6-CY6,0),0)</f>
        <v>0</v>
      </c>
      <c r="DU6" s="171">
        <f t="shared" ref="DU6:DU7" si="39">IF(DT6=$R6,CZ6,0)</f>
        <v>0</v>
      </c>
      <c r="DV6" s="169">
        <f t="shared" ref="DV6:DV7" si="40">IF(DT6=$R6,DA6,0)</f>
        <v>0</v>
      </c>
      <c r="DW6" s="172">
        <f t="shared" ref="DW6:DW7" si="41">IF(DT6=$R6,DB6,0)</f>
        <v>0</v>
      </c>
      <c r="DX6" s="170">
        <f ca="1">FV(DW6/1,DATEDIF(DQ6,'Cap Table'!DS$60,"y"),0,-DT6)</f>
        <v>0</v>
      </c>
      <c r="DY6" s="170">
        <f ca="1">IF('Cap Table'!DS$80="no",IFERROR(DX6/(1-DU6),0),IFERROR(DX6/(1-(MAX(DU6,('Cap Table'!DS$62-DV6/'Cap Table'!DS$61)/'Cap Table'!DS$62))),0))</f>
        <v>0</v>
      </c>
      <c r="DZ6" s="146">
        <f t="shared" ref="DZ6:DZ28" ca="1" si="42">DX6+DS6</f>
        <v>0</v>
      </c>
      <c r="EA6" s="149">
        <f ca="1">IF(AND('Cap Table'!DS$62=0,DX6&gt;0),DV6/'Cap Table'!DS$61,IFERROR(IF(DV6=0,'Cap Table'!DS$62*(1-DU6),MIN('Cap Table'!DS$62*(1-DU6),DV6/'Cap Table'!DS$61)),0))</f>
        <v>0</v>
      </c>
      <c r="EB6" s="170">
        <f ca="1">IFERROR(DZ6/EA6,0)</f>
        <v>0</v>
      </c>
      <c r="EC6" s="170">
        <v>0</v>
      </c>
      <c r="ED6" s="146">
        <f ca="1">EB6+DI6</f>
        <v>0</v>
      </c>
      <c r="EE6" s="146">
        <f t="shared" ref="EE6:EE26" si="43">EC6+DJ6</f>
        <v>0</v>
      </c>
      <c r="EF6" s="146">
        <f ca="1">EE6+ED6</f>
        <v>0</v>
      </c>
      <c r="EG6" s="147">
        <f t="shared" ref="EG6:EG28" ca="1" si="44">IFERROR(EF6/EF$29,0)</f>
        <v>0</v>
      </c>
      <c r="EH6" s="146">
        <f ca="1">EF6*'Cap Table'!DS$62</f>
        <v>0</v>
      </c>
      <c r="EI6" s="173">
        <f ca="1">IFERROR(IF(OR(DR6='Cap Table'!$B$40,DR6='Cap Table'!$B$41,DR6='Cap Table'!$B$42),IF(SUM(DT6,CY6,CD6,BI6,AN6,S6)&lt;SUM(DS6,CX6,CC6,BH6,AM6,R6),FV(MAX(DW6,DB6,CG6,BL6,AQ6,V6)/1,DATEDIF(DQ6,'Cap Table'!DS$60,"y"),0,-MAX(DS6,CX6,CC6,BH6,AM6,R6))/(MAX(DV6,DA6,CF6,BK6,AP6,U6)/'Cap Table'!$DS$61),EF6),EF6),0)</f>
        <v>0</v>
      </c>
      <c r="EJ6" s="147">
        <f t="shared" ref="EJ6:EJ28" ca="1" si="45">IFERROR(EI6/EI$29,0)</f>
        <v>0</v>
      </c>
      <c r="EL6" s="146">
        <f>DS6+CX6+CC6+BH6+AM6+R6</f>
        <v>0</v>
      </c>
      <c r="EM6" s="146">
        <f>DT6+CY6+CD6+BI6+AN6+S6</f>
        <v>0</v>
      </c>
      <c r="EN6" s="174" t="s">
        <v>27</v>
      </c>
      <c r="EO6" s="174" t="s">
        <v>27</v>
      </c>
      <c r="EP6" s="174" t="s">
        <v>27</v>
      </c>
      <c r="EQ6" s="146">
        <f ca="1">DX6+DC6+CH6+BM6+AR6+W6</f>
        <v>0</v>
      </c>
      <c r="ER6" s="146">
        <f ca="1">DY6+DD6+CI6+BN6+AS6+X6</f>
        <v>0</v>
      </c>
      <c r="ES6" s="146">
        <f ca="1">DZ6+DE6+CJ6+BO6+AT6+Y6</f>
        <v>0</v>
      </c>
      <c r="ET6" s="146">
        <f ca="1">IFERROR(ES6/EY6,0)</f>
        <v>0</v>
      </c>
      <c r="EU6" s="146">
        <f ca="1">EB6+DG6+CL6+BQ6+AV6+AA6</f>
        <v>0</v>
      </c>
      <c r="EV6" s="146">
        <f>EC6+DH6+CM6+BR6+AW6+AB6</f>
        <v>0</v>
      </c>
      <c r="EW6" s="146">
        <f ca="1">ED6</f>
        <v>0</v>
      </c>
      <c r="EX6" s="146">
        <f>EE6</f>
        <v>0</v>
      </c>
      <c r="EY6" s="146">
        <f ca="1">EF6</f>
        <v>0</v>
      </c>
      <c r="EZ6" s="147">
        <f t="shared" ref="EZ6:EZ29" ca="1" si="46">IFERROR(EY6/EY$29,0)</f>
        <v>0</v>
      </c>
      <c r="FA6" s="146">
        <f ca="1">EH6</f>
        <v>0</v>
      </c>
      <c r="FB6" s="146">
        <f ca="1">EI6</f>
        <v>0</v>
      </c>
      <c r="FC6" s="147">
        <f t="shared" ref="FC6:FC29" ca="1" si="47">IFERROR(FB6/FB$29,0)</f>
        <v>0</v>
      </c>
      <c r="FE6" s="149" t="str">
        <f t="shared" si="0"/>
        <v>Common</v>
      </c>
      <c r="FF6" s="146">
        <f t="shared" ref="FF6:FF28" ca="1" si="48">OFFSET($G6,0,IF($FF$4=$G$4,1,12)+MATCH($FF$4,$G$4:$FC$4,0))</f>
        <v>0</v>
      </c>
      <c r="FG6" s="146">
        <f t="shared" ref="FG6:FG28" ca="1" si="49">OFFSET($G6,0,IF($FF$4=$G$4,2,13)+MATCH($FF$4,$G$4:$FC$4,0))</f>
        <v>0</v>
      </c>
      <c r="FH6" s="146">
        <f t="shared" ref="FH6:FH28" ca="1" si="50">OFFSET($G6,0,IF($FF$4=$G$4,5,17)+MATCH($FF$4,$G$4:$FC$4,0))</f>
        <v>0</v>
      </c>
      <c r="FJ6" s="146" t="str">
        <f t="shared" ref="FJ6:FJ28" si="51">E6</f>
        <v>Common</v>
      </c>
      <c r="FK6" s="174" t="str">
        <f t="shared" ref="FK6:FL28" ca="1" si="52">IFERROR(OFFSET($G6,0,IF($FK$4=$G$4,1,12)+MATCH($FK$4,$G$4:$FC$4,0)),"na")</f>
        <v>na</v>
      </c>
      <c r="FL6" s="174" t="str">
        <f t="shared" ca="1" si="52"/>
        <v>na</v>
      </c>
      <c r="FM6" s="174" t="str">
        <f t="shared" ref="FM6:FM28" ca="1" si="53">IFERROR(OFFSET($G6,0,IF($FK$4=$G$4,5,17)+MATCH($FK$4,$G$4:$FC$4,0)),"na")</f>
        <v>na</v>
      </c>
    </row>
    <row r="7" spans="2:169">
      <c r="B7" s="145" t="s">
        <v>59</v>
      </c>
      <c r="D7" s="167" t="s">
        <v>25</v>
      </c>
      <c r="E7" s="167" t="str">
        <f t="shared" ref="E7:E26" si="54">B$32</f>
        <v>Common</v>
      </c>
      <c r="G7" s="168">
        <f t="shared" ca="1" si="1"/>
        <v>43482</v>
      </c>
      <c r="H7" s="289" t="str">
        <f t="shared" si="2"/>
        <v>Equity</v>
      </c>
      <c r="I7" s="169">
        <v>0</v>
      </c>
      <c r="J7" s="170">
        <v>0</v>
      </c>
      <c r="K7" s="170">
        <f t="shared" ref="K7:K28" si="55">J7+I7</f>
        <v>0</v>
      </c>
      <c r="L7" s="147">
        <f t="shared" si="3"/>
        <v>0</v>
      </c>
      <c r="M7" s="170">
        <f t="shared" ref="M7:M28" si="56">K7</f>
        <v>0</v>
      </c>
      <c r="N7" s="147">
        <f t="shared" si="4"/>
        <v>0</v>
      </c>
      <c r="O7" s="147"/>
      <c r="P7" s="168">
        <f ca="1">IF(S7=0,R$60,G7)</f>
        <v>43847</v>
      </c>
      <c r="Q7" s="289" t="str">
        <f t="shared" si="5"/>
        <v>Equity</v>
      </c>
      <c r="R7" s="169">
        <v>0</v>
      </c>
      <c r="S7" s="169">
        <v>0</v>
      </c>
      <c r="T7" s="171">
        <v>0</v>
      </c>
      <c r="U7" s="145">
        <v>0</v>
      </c>
      <c r="V7" s="172">
        <v>0</v>
      </c>
      <c r="W7" s="170">
        <f ca="1">FV(V7/1,DATEDIF(P7,'Cap Table'!R$60,"y"),0,-S7)</f>
        <v>0</v>
      </c>
      <c r="X7" s="170">
        <f t="shared" ca="1" si="6"/>
        <v>0</v>
      </c>
      <c r="Y7" s="146">
        <f t="shared" ca="1" si="7"/>
        <v>0</v>
      </c>
      <c r="Z7" s="149">
        <f ca="1">IF(AND('Cap Table'!R$62=0,W7&gt;0),U7/'Cap Table'!R$61,IFERROR(IF(U7=0,'Cap Table'!R$62*(1-T7),MIN('Cap Table'!R$62*(1-T7),U7/'Cap Table'!R$61)),0))</f>
        <v>0</v>
      </c>
      <c r="AA7" s="170">
        <v>0</v>
      </c>
      <c r="AB7" s="170">
        <v>0</v>
      </c>
      <c r="AC7" s="146">
        <f t="shared" si="8"/>
        <v>0</v>
      </c>
      <c r="AD7" s="146">
        <f t="shared" si="8"/>
        <v>0</v>
      </c>
      <c r="AE7" s="146">
        <f t="shared" ref="AE7:AE28" si="57">AD7+AC7</f>
        <v>0</v>
      </c>
      <c r="AF7" s="147">
        <f t="shared" ca="1" si="9"/>
        <v>0</v>
      </c>
      <c r="AG7" s="146">
        <f>AE7*'Cap Table'!R$62</f>
        <v>0</v>
      </c>
      <c r="AH7" s="146">
        <f>IFERROR(IF(OR(Q7='Cap Table'!$B$40,Q7='Cap Table'!$B$41,Q7='Cap Table'!$B$42),IF(SUM(S7)&lt;SUM(R7),(FV(V7/1,DATEDIF(P7,'Cap Table'!R$60,"y"),0,-R7))/(U7/'Cap Table'!$R$61),AE7),AE7),0)</f>
        <v>0</v>
      </c>
      <c r="AI7" s="147">
        <f t="shared" ca="1" si="10"/>
        <v>0</v>
      </c>
      <c r="AK7" s="168">
        <f t="shared" ref="AK7:AK26" ca="1" si="58">IF(AN7=0,AM$60,P7)</f>
        <v>44213</v>
      </c>
      <c r="AL7" s="168" t="str">
        <f t="shared" ref="AL7:AL26" si="59">Q7</f>
        <v>Equity</v>
      </c>
      <c r="AM7" s="169">
        <v>0</v>
      </c>
      <c r="AN7" s="169">
        <f>IF('Cap Table'!AM$79&lt;&gt;"na",IF(Q7='Cap Table'!$B$40,R7-S7,0),0)</f>
        <v>0</v>
      </c>
      <c r="AO7" s="171">
        <f t="shared" si="11"/>
        <v>0</v>
      </c>
      <c r="AP7" s="169">
        <f t="shared" si="12"/>
        <v>0</v>
      </c>
      <c r="AQ7" s="172">
        <f t="shared" si="13"/>
        <v>0</v>
      </c>
      <c r="AR7" s="170">
        <f ca="1">FV(AQ7/1,DATEDIF(AK7,'Cap Table'!AM$60,"y"),0,-AN7)</f>
        <v>0</v>
      </c>
      <c r="AS7" s="170">
        <f ca="1">IF('Cap Table'!AM$80="no",IFERROR(AR7/(1-AO7),0),IFERROR(AR7/(1-(MAX(AO7,('Cap Table'!AM$62-AP7/'Cap Table'!AM$61)/'Cap Table'!AM$62))),0))</f>
        <v>0</v>
      </c>
      <c r="AT7" s="146">
        <f t="shared" ca="1" si="14"/>
        <v>0</v>
      </c>
      <c r="AU7" s="149">
        <f ca="1">IF(AND('Cap Table'!AM$62=0,AR7&gt;0),AP7/'Cap Table'!AM$61,IFERROR(IF(AP7=0,'Cap Table'!AM$62*(1-AO7),MIN('Cap Table'!AM$62*(1-AO7),AP7/'Cap Table'!AM$61)),0))</f>
        <v>0</v>
      </c>
      <c r="AV7" s="170">
        <v>0</v>
      </c>
      <c r="AW7" s="170">
        <v>0</v>
      </c>
      <c r="AX7" s="146">
        <f t="shared" si="15"/>
        <v>0</v>
      </c>
      <c r="AY7" s="146">
        <f t="shared" si="15"/>
        <v>0</v>
      </c>
      <c r="AZ7" s="146">
        <f t="shared" ref="AZ7:AZ28" si="60">AY7+AX7</f>
        <v>0</v>
      </c>
      <c r="BA7" s="147">
        <f t="shared" ca="1" si="16"/>
        <v>0</v>
      </c>
      <c r="BB7" s="146">
        <f ca="1">AZ7*'Cap Table'!AM$62</f>
        <v>0</v>
      </c>
      <c r="BC7" s="173">
        <f>IFERROR(IF(OR(AL7='Cap Table'!$B$40,AL7='Cap Table'!$B$41,AL7='Cap Table'!$B$42),IF(SUM(AN7,S7)&lt;SUM(AM7,R7),FV(MAX(AQ7,V7)/1,DATEDIF(AK7,'Cap Table'!$AM$60,"y"),0,-MAX(AM7,R7))/(MAX(AP7,U7)/'Cap Table'!$AM$61),AZ7),AZ7),0)</f>
        <v>0</v>
      </c>
      <c r="BD7" s="147">
        <f t="shared" ca="1" si="17"/>
        <v>0</v>
      </c>
      <c r="BF7" s="168">
        <f t="shared" ref="BF7:BF26" ca="1" si="61">IF(BI7=0,BH$60,AK7)</f>
        <v>44578</v>
      </c>
      <c r="BG7" s="168" t="str">
        <f t="shared" ref="BG7:BG26" si="62">AL7</f>
        <v>Equity</v>
      </c>
      <c r="BH7" s="169">
        <v>0</v>
      </c>
      <c r="BI7" s="169">
        <f>IF('Cap Table'!BH$79&lt;&gt;"na",IF(AL7='Cap Table'!$B$40,AM7-AN7,0),0)</f>
        <v>0</v>
      </c>
      <c r="BJ7" s="171">
        <f t="shared" si="18"/>
        <v>0</v>
      </c>
      <c r="BK7" s="169">
        <f t="shared" si="19"/>
        <v>0</v>
      </c>
      <c r="BL7" s="172">
        <f t="shared" si="20"/>
        <v>0</v>
      </c>
      <c r="BM7" s="170">
        <f ca="1">FV(BL7/1,DATEDIF(BF7,'Cap Table'!BH$60,"y"),0,-BI7)</f>
        <v>0</v>
      </c>
      <c r="BN7" s="170">
        <f ca="1">IF('Cap Table'!BH$80="no",IFERROR(BM7/(1-BJ7),0),IFERROR(BM7/(1-(MAX(BJ7,('Cap Table'!BH$62-BK7/'Cap Table'!BH$61)/'Cap Table'!BH$62))),0))</f>
        <v>0</v>
      </c>
      <c r="BO7" s="146">
        <f t="shared" ca="1" si="21"/>
        <v>0</v>
      </c>
      <c r="BP7" s="149">
        <f ca="1">IF(AND('Cap Table'!BH$62=0,BM7&gt;0),BK7/'Cap Table'!BH$61,IFERROR(IF(BK7=0,'Cap Table'!BH$62*(1-BJ7),MIN('Cap Table'!BH$62*(1-BJ7),BK7/'Cap Table'!BH$61)),0))</f>
        <v>0</v>
      </c>
      <c r="BQ7" s="170">
        <v>0</v>
      </c>
      <c r="BR7" s="170">
        <v>0</v>
      </c>
      <c r="BS7" s="146">
        <f t="shared" si="22"/>
        <v>0</v>
      </c>
      <c r="BT7" s="146">
        <f t="shared" si="22"/>
        <v>0</v>
      </c>
      <c r="BU7" s="146">
        <f t="shared" ref="BU7:BU28" si="63">BT7+BS7</f>
        <v>0</v>
      </c>
      <c r="BV7" s="147">
        <f t="shared" ca="1" si="23"/>
        <v>0</v>
      </c>
      <c r="BW7" s="146">
        <f ca="1">BU7*'Cap Table'!BH$62</f>
        <v>0</v>
      </c>
      <c r="BX7" s="173">
        <f>IFERROR(IF(OR(BG7='Cap Table'!$B$40,BG7='Cap Table'!$B$41,BG7='Cap Table'!$B$42),IF(SUM(BI7,AN7,S7)&lt;SUM(BH7,AM7,R7),FV(MAX(BL7,AQ7,V7)/1,DATEDIF(BF7,'Cap Table'!$BH$60,"y"),0,-MAX(BH7,AM7,R7))/(MAX(BK7,AP7,U7)/'Cap Table'!$BH$61),BU7),BU7),0)</f>
        <v>0</v>
      </c>
      <c r="BY7" s="147">
        <f t="shared" ca="1" si="24"/>
        <v>0</v>
      </c>
      <c r="CA7" s="168">
        <f t="shared" ref="CA7:CA26" ca="1" si="64">IF(CD7=0,CC$60,BF7)</f>
        <v>44943</v>
      </c>
      <c r="CB7" s="168" t="str">
        <f t="shared" ref="CB7:CB26" si="65">BG7</f>
        <v>Equity</v>
      </c>
      <c r="CC7" s="169">
        <v>0</v>
      </c>
      <c r="CD7" s="169">
        <f>IF('Cap Table'!CC$79&lt;&gt;"na",IF(BG7='Cap Table'!$B$40,BH7-BI7,0),0)</f>
        <v>0</v>
      </c>
      <c r="CE7" s="171">
        <f t="shared" si="25"/>
        <v>0</v>
      </c>
      <c r="CF7" s="169">
        <f t="shared" si="26"/>
        <v>0</v>
      </c>
      <c r="CG7" s="172">
        <f t="shared" si="27"/>
        <v>0</v>
      </c>
      <c r="CH7" s="170">
        <f ca="1">FV(CG7/1,DATEDIF(CA7,'Cap Table'!CC$60,"y"),0,-CD7)</f>
        <v>0</v>
      </c>
      <c r="CI7" s="170">
        <f ca="1">IF('Cap Table'!CC$80="no",IFERROR(CH7/(1-CE7),0),IFERROR(CH7/(1-(MAX(CE7,('Cap Table'!CC$62-CF7/'Cap Table'!CC$61)/'Cap Table'!CC$62))),0))</f>
        <v>0</v>
      </c>
      <c r="CJ7" s="146">
        <f t="shared" ca="1" si="28"/>
        <v>0</v>
      </c>
      <c r="CK7" s="149">
        <f ca="1">IF(AND('Cap Table'!CC$62=0,CH7&gt;0),CF7/'Cap Table'!CC$61,IFERROR(IF(CF7=0,'Cap Table'!CC$62*(1-CE7),MIN('Cap Table'!CC$62*(1-CE7),CF7/'Cap Table'!CC$61)),0))</f>
        <v>0</v>
      </c>
      <c r="CL7" s="170">
        <v>0</v>
      </c>
      <c r="CM7" s="170">
        <v>0</v>
      </c>
      <c r="CN7" s="146">
        <f t="shared" si="29"/>
        <v>0</v>
      </c>
      <c r="CO7" s="146">
        <f t="shared" si="29"/>
        <v>0</v>
      </c>
      <c r="CP7" s="146">
        <f t="shared" ref="CP7:CP28" si="66">CO7+CN7</f>
        <v>0</v>
      </c>
      <c r="CQ7" s="147">
        <f t="shared" ca="1" si="30"/>
        <v>0</v>
      </c>
      <c r="CR7" s="146">
        <f ca="1">CP7*'Cap Table'!CC$62</f>
        <v>0</v>
      </c>
      <c r="CS7" s="173">
        <f>IFERROR(IF(OR(CB7='Cap Table'!$B$40,CB7='Cap Table'!$B$41,CB7='Cap Table'!$B$42),IF(SUM(CD7,BI7,AN7,S7)&lt;SUM(CC7,BH7,AM7,R7),FV(MAX(CG7,BL7,AQ7,V7)/1,DATEDIF(CA7,'Cap Table'!$CC$60,"y"),0,-MAX(CC7,BH7,AM7,R7))/(MAX(CF7,BK7,AP7,U7)/'Cap Table'!$CC$61),CP7),CP7),0)</f>
        <v>0</v>
      </c>
      <c r="CT7" s="147">
        <f t="shared" ca="1" si="31"/>
        <v>0</v>
      </c>
      <c r="CV7" s="168">
        <f t="shared" ref="CV7:CV26" ca="1" si="67">IF(CY7=0,CX$60,CA7)</f>
        <v>45308</v>
      </c>
      <c r="CW7" s="168" t="str">
        <f t="shared" ref="CW7:CW26" si="68">CB7</f>
        <v>Equity</v>
      </c>
      <c r="CX7" s="169">
        <v>0</v>
      </c>
      <c r="CY7" s="169">
        <f>IF('Cap Table'!CX$79&lt;&gt;"na",IF(CB7='Cap Table'!$B$40,CC7-CD7,0),0)</f>
        <v>0</v>
      </c>
      <c r="CZ7" s="171">
        <f t="shared" si="32"/>
        <v>0</v>
      </c>
      <c r="DA7" s="169">
        <f t="shared" si="33"/>
        <v>0</v>
      </c>
      <c r="DB7" s="172">
        <f t="shared" si="34"/>
        <v>0</v>
      </c>
      <c r="DC7" s="170">
        <f ca="1">FV(DB7/1,DATEDIF(CV7,'Cap Table'!CX$60,"y"),0,-CY7)</f>
        <v>0</v>
      </c>
      <c r="DD7" s="170">
        <f ca="1">IF('Cap Table'!CX$80="no",IFERROR(DC7/(1-CZ7),0),IFERROR(DC7/(1-(MAX(CZ7,('Cap Table'!CX$62-DA7/'Cap Table'!CX$61)/'Cap Table'!CX$62))),0))</f>
        <v>0</v>
      </c>
      <c r="DE7" s="146">
        <f t="shared" ca="1" si="35"/>
        <v>0</v>
      </c>
      <c r="DF7" s="149">
        <f ca="1">IF(AND('Cap Table'!CX$62=0,DC7&gt;0),DA7/'Cap Table'!CX$61,IFERROR(IF(DA7=0,'Cap Table'!CX$62*(1-CZ7),MIN('Cap Table'!CX$62*(1-CZ7),DA7/'Cap Table'!CX$61)),0))</f>
        <v>0</v>
      </c>
      <c r="DG7" s="170">
        <v>0</v>
      </c>
      <c r="DH7" s="170">
        <v>0</v>
      </c>
      <c r="DI7" s="146">
        <f t="shared" si="36"/>
        <v>0</v>
      </c>
      <c r="DJ7" s="146">
        <f t="shared" si="36"/>
        <v>0</v>
      </c>
      <c r="DK7" s="146">
        <f t="shared" ref="DK7:DK28" si="69">DJ7+DI7</f>
        <v>0</v>
      </c>
      <c r="DL7" s="147">
        <f t="shared" ca="1" si="37"/>
        <v>0</v>
      </c>
      <c r="DM7" s="146">
        <f ca="1">DK7*'Cap Table'!CX$62</f>
        <v>0</v>
      </c>
      <c r="DN7" s="173">
        <f>IFERROR(IF(OR(CW7='Cap Table'!$B$40,CW7='Cap Table'!$B$41,CW7='Cap Table'!$B$42),IF(SUM(CY7,CD7,BI7,AN7,S7,)&lt;SUM(CX7,CC7,BH7,AM7,R7),FV(MAX(DB7,CG7,BL7,AQ7,V7)/1,DATEDIF(CV7,'Cap Table'!$CX$60,"y"),0,-MAX(CX7,CC7,BH7,AM7,R7))/(MAX(DA7,CF7,BK7,AP7,U7,)/'Cap Table'!$CX$61),DK7),DK7),0)</f>
        <v>0</v>
      </c>
      <c r="DO7" s="147">
        <f t="shared" ca="1" si="38"/>
        <v>0</v>
      </c>
      <c r="DQ7" s="168">
        <f t="shared" ref="DQ7:DQ26" ca="1" si="70">IF(DT7=0,DS$60,CV7)</f>
        <v>45674</v>
      </c>
      <c r="DR7" s="168" t="str">
        <f t="shared" ref="DR7:DR26" si="71">CW7</f>
        <v>Equity</v>
      </c>
      <c r="DS7" s="169">
        <v>0</v>
      </c>
      <c r="DT7" s="169">
        <f>IF('Cap Table'!DS$79&lt;&gt;"na",IF(CW7='Cap Table'!$B$40,CX7-CY7,0),0)</f>
        <v>0</v>
      </c>
      <c r="DU7" s="171">
        <f t="shared" si="39"/>
        <v>0</v>
      </c>
      <c r="DV7" s="169">
        <f t="shared" si="40"/>
        <v>0</v>
      </c>
      <c r="DW7" s="172">
        <f t="shared" si="41"/>
        <v>0</v>
      </c>
      <c r="DX7" s="170">
        <f ca="1">FV(DW7/1,DATEDIF(DQ7,'Cap Table'!DS$60,"y"),0,-DT7)</f>
        <v>0</v>
      </c>
      <c r="DY7" s="170">
        <f ca="1">IF('Cap Table'!DS$80="no",IFERROR(DX7/(1-DU7),0),IFERROR(DX7/(1-(MAX(DU7,('Cap Table'!DS$62-DV7/'Cap Table'!DS$61)/'Cap Table'!DS$62))),0))</f>
        <v>0</v>
      </c>
      <c r="DZ7" s="146">
        <f t="shared" ca="1" si="42"/>
        <v>0</v>
      </c>
      <c r="EA7" s="149">
        <f ca="1">IF(AND('Cap Table'!DS$62=0,DX7&gt;0),DV7/'Cap Table'!DS$61,IFERROR(IF(DV7=0,'Cap Table'!DS$62*(1-DU7),MIN('Cap Table'!DS$62*(1-DU7),DV7/'Cap Table'!DS$61)),0))</f>
        <v>0</v>
      </c>
      <c r="EB7" s="170">
        <v>0</v>
      </c>
      <c r="EC7" s="170">
        <v>0</v>
      </c>
      <c r="ED7" s="146">
        <f t="shared" ref="ED7:ED28" si="72">EB7+DI7</f>
        <v>0</v>
      </c>
      <c r="EE7" s="146">
        <f t="shared" si="43"/>
        <v>0</v>
      </c>
      <c r="EF7" s="146">
        <f t="shared" ref="EF7:EF28" si="73">EE7+ED7</f>
        <v>0</v>
      </c>
      <c r="EG7" s="147">
        <f t="shared" ca="1" si="44"/>
        <v>0</v>
      </c>
      <c r="EH7" s="146">
        <f ca="1">EF7*'Cap Table'!DS$62</f>
        <v>0</v>
      </c>
      <c r="EI7" s="173">
        <f>IFERROR(IF(OR(DR7='Cap Table'!$B$40,DR7='Cap Table'!$B$41,DR7='Cap Table'!$B$42),IF(SUM(DT7,CY7,CD7,BI7,AN7,S7)&lt;SUM(DS7,CX7,CC7,BH7,AM7,R7),FV(MAX(DW7,DB7,CG7,BL7,AQ7,V7)/1,DATEDIF(DQ7,'Cap Table'!DS$60,"y"),0,-MAX(DS7,CX7,CC7,BH7,AM7,R7))/(MAX(DV7,DA7,CF7,BK7,AP7,U7)/'Cap Table'!$DS$61),EF7),EF7),0)</f>
        <v>0</v>
      </c>
      <c r="EJ7" s="147">
        <f t="shared" ca="1" si="45"/>
        <v>0</v>
      </c>
      <c r="EL7" s="146">
        <f t="shared" ref="EL7:EM28" si="74">DS7+CX7+CC7+BH7+AM7+R7</f>
        <v>0</v>
      </c>
      <c r="EM7" s="146">
        <f t="shared" si="74"/>
        <v>0</v>
      </c>
      <c r="EN7" s="174" t="s">
        <v>27</v>
      </c>
      <c r="EO7" s="174" t="s">
        <v>27</v>
      </c>
      <c r="EP7" s="174" t="s">
        <v>27</v>
      </c>
      <c r="EQ7" s="146">
        <f t="shared" ref="EQ7:ES28" ca="1" si="75">DX7+DC7+CH7+BM7+AR7+W7</f>
        <v>0</v>
      </c>
      <c r="ER7" s="146">
        <f t="shared" ca="1" si="75"/>
        <v>0</v>
      </c>
      <c r="ES7" s="146">
        <f t="shared" ca="1" si="75"/>
        <v>0</v>
      </c>
      <c r="ET7" s="146">
        <f ca="1">IFERROR(ES7/EY7,0)</f>
        <v>0</v>
      </c>
      <c r="EU7" s="146">
        <f t="shared" ref="EU7:EV28" si="76">EB7+DG7+CL7+BQ7+AV7+AA7</f>
        <v>0</v>
      </c>
      <c r="EV7" s="146">
        <f t="shared" si="76"/>
        <v>0</v>
      </c>
      <c r="EW7" s="146">
        <f t="shared" ref="EW7:EY28" si="77">ED7</f>
        <v>0</v>
      </c>
      <c r="EX7" s="146">
        <f t="shared" si="77"/>
        <v>0</v>
      </c>
      <c r="EY7" s="146">
        <f t="shared" si="77"/>
        <v>0</v>
      </c>
      <c r="EZ7" s="147">
        <f t="shared" ca="1" si="46"/>
        <v>0</v>
      </c>
      <c r="FA7" s="146">
        <f t="shared" ref="FA7:FB28" ca="1" si="78">EH7</f>
        <v>0</v>
      </c>
      <c r="FB7" s="146">
        <f t="shared" si="78"/>
        <v>0</v>
      </c>
      <c r="FC7" s="147">
        <f t="shared" ca="1" si="47"/>
        <v>0</v>
      </c>
      <c r="FE7" s="149" t="str">
        <f t="shared" si="0"/>
        <v>Common</v>
      </c>
      <c r="FF7" s="146">
        <f t="shared" ca="1" si="48"/>
        <v>0</v>
      </c>
      <c r="FG7" s="146">
        <f t="shared" ca="1" si="49"/>
        <v>0</v>
      </c>
      <c r="FH7" s="146">
        <f t="shared" ca="1" si="50"/>
        <v>0</v>
      </c>
      <c r="FJ7" s="146" t="str">
        <f t="shared" si="51"/>
        <v>Common</v>
      </c>
      <c r="FK7" s="174" t="str">
        <f t="shared" ca="1" si="52"/>
        <v>na</v>
      </c>
      <c r="FL7" s="174" t="str">
        <f t="shared" ca="1" si="52"/>
        <v>na</v>
      </c>
      <c r="FM7" s="174" t="str">
        <f t="shared" ca="1" si="53"/>
        <v>na</v>
      </c>
    </row>
    <row r="8" spans="2:169">
      <c r="B8" s="145" t="s">
        <v>26</v>
      </c>
      <c r="D8" s="167" t="s">
        <v>26</v>
      </c>
      <c r="E8" s="167" t="str">
        <f t="shared" si="54"/>
        <v>Common</v>
      </c>
      <c r="G8" s="168">
        <f t="shared" ca="1" si="1"/>
        <v>43482</v>
      </c>
      <c r="H8" s="289" t="str">
        <f t="shared" si="2"/>
        <v>Equity</v>
      </c>
      <c r="I8" s="169">
        <v>0</v>
      </c>
      <c r="J8" s="170">
        <v>0</v>
      </c>
      <c r="K8" s="170">
        <f t="shared" si="55"/>
        <v>0</v>
      </c>
      <c r="L8" s="147">
        <f t="shared" si="3"/>
        <v>0</v>
      </c>
      <c r="M8" s="170">
        <f t="shared" si="56"/>
        <v>0</v>
      </c>
      <c r="N8" s="147">
        <f t="shared" si="4"/>
        <v>0</v>
      </c>
      <c r="O8" s="147"/>
      <c r="P8" s="168">
        <f ca="1">IF(S8=0,R$60,G8)</f>
        <v>43847</v>
      </c>
      <c r="Q8" s="289" t="str">
        <f t="shared" si="5"/>
        <v>Equity</v>
      </c>
      <c r="R8" s="169">
        <v>0</v>
      </c>
      <c r="S8" s="169">
        <v>0</v>
      </c>
      <c r="T8" s="171">
        <v>0</v>
      </c>
      <c r="U8" s="169">
        <v>0</v>
      </c>
      <c r="V8" s="172">
        <v>0.1</v>
      </c>
      <c r="W8" s="170">
        <f ca="1">FV(V8/1,DATEDIF(P8,'Cap Table'!R$60,"y"),0,-S8)</f>
        <v>0</v>
      </c>
      <c r="X8" s="170">
        <f t="shared" ca="1" si="6"/>
        <v>0</v>
      </c>
      <c r="Y8" s="146">
        <f t="shared" ca="1" si="7"/>
        <v>0</v>
      </c>
      <c r="Z8" s="149">
        <f ca="1">IF(AND('Cap Table'!R$62=0,W8&gt;0),U8/'Cap Table'!R$61,IFERROR(IF(U8=0,'Cap Table'!R$62*(1-T8),MIN('Cap Table'!R$62*(1-T8),U8/'Cap Table'!R$61)),0))</f>
        <v>0</v>
      </c>
      <c r="AA8" s="170">
        <f t="shared" ref="AA8:AA28" ca="1" si="79">IFERROR(Y8/Z8,0)</f>
        <v>0</v>
      </c>
      <c r="AB8" s="170">
        <v>0</v>
      </c>
      <c r="AC8" s="146">
        <f t="shared" ca="1" si="8"/>
        <v>0</v>
      </c>
      <c r="AD8" s="146">
        <f t="shared" si="8"/>
        <v>0</v>
      </c>
      <c r="AE8" s="146">
        <f t="shared" ca="1" si="57"/>
        <v>0</v>
      </c>
      <c r="AF8" s="147">
        <f t="shared" ca="1" si="9"/>
        <v>0</v>
      </c>
      <c r="AG8" s="146">
        <f ca="1">AE8*'Cap Table'!R$62</f>
        <v>0</v>
      </c>
      <c r="AH8" s="146">
        <f ca="1">IFERROR(IF(OR(Q8='Cap Table'!$B$40,Q8='Cap Table'!$B$41,Q8='Cap Table'!$B$42),IF(SUM(S8)&lt;SUM(R8),(FV(V8/1,DATEDIF(P8,'Cap Table'!R$60,"y"),0,-R8))/(U8/'Cap Table'!$R$61),AE8),AE8),0)</f>
        <v>0</v>
      </c>
      <c r="AI8" s="147">
        <f t="shared" ca="1" si="10"/>
        <v>0</v>
      </c>
      <c r="AK8" s="168">
        <f t="shared" ca="1" si="58"/>
        <v>44213</v>
      </c>
      <c r="AL8" s="168" t="str">
        <f t="shared" si="59"/>
        <v>Equity</v>
      </c>
      <c r="AM8" s="169">
        <v>0</v>
      </c>
      <c r="AN8" s="169">
        <f>IF('Cap Table'!AM$79&lt;&gt;"na",IF(Q8='Cap Table'!$B$40,R8-S8,0),0)</f>
        <v>0</v>
      </c>
      <c r="AO8" s="171">
        <f t="shared" si="11"/>
        <v>0</v>
      </c>
      <c r="AP8" s="169">
        <f t="shared" si="12"/>
        <v>0</v>
      </c>
      <c r="AQ8" s="172">
        <f t="shared" si="13"/>
        <v>0.1</v>
      </c>
      <c r="AR8" s="170">
        <f ca="1">FV(AQ8/1,DATEDIF(AK8,'Cap Table'!AM$60,"y"),0,-AN8)</f>
        <v>0</v>
      </c>
      <c r="AS8" s="170">
        <f ca="1">IF('Cap Table'!AM$80="no",IFERROR(AR8/(1-AO8),0),IFERROR(AR8/(1-(MAX(AO8,('Cap Table'!AM$62-AP8/'Cap Table'!AM$61)/'Cap Table'!AM$62))),0))</f>
        <v>0</v>
      </c>
      <c r="AT8" s="146">
        <f t="shared" ca="1" si="14"/>
        <v>0</v>
      </c>
      <c r="AU8" s="149">
        <f ca="1">IF(AND('Cap Table'!AM$62=0,AR8&gt;0),AP8/'Cap Table'!AM$61,IFERROR(IF(AP8=0,'Cap Table'!AM$62*(1-AO8),MIN('Cap Table'!AM$62*(1-AO8),AP8/'Cap Table'!AM$61)),0))</f>
        <v>0</v>
      </c>
      <c r="AV8" s="170">
        <f t="shared" ref="AV8:AV28" ca="1" si="80">IFERROR(AT8/AU8,0)</f>
        <v>0</v>
      </c>
      <c r="AW8" s="170">
        <v>0</v>
      </c>
      <c r="AX8" s="146">
        <f t="shared" ca="1" si="15"/>
        <v>0</v>
      </c>
      <c r="AY8" s="146">
        <f t="shared" si="15"/>
        <v>0</v>
      </c>
      <c r="AZ8" s="146">
        <f t="shared" ca="1" si="60"/>
        <v>0</v>
      </c>
      <c r="BA8" s="147">
        <f t="shared" ca="1" si="16"/>
        <v>0</v>
      </c>
      <c r="BB8" s="146">
        <f ca="1">AZ8*'Cap Table'!AM$62</f>
        <v>0</v>
      </c>
      <c r="BC8" s="173">
        <f ca="1">IFERROR(IF(OR(AL8='Cap Table'!$B$40,AL8='Cap Table'!$B$41,AL8='Cap Table'!$B$42),IF(SUM(AN8,S8)&lt;SUM(AM8,R8),FV(MAX(AQ8,V8)/1,DATEDIF(AK8,'Cap Table'!$AM$60,"y"),0,-MAX(AM8,R8))/(MAX(AP8,U8)/'Cap Table'!$AM$61),AZ8),AZ8),0)</f>
        <v>0</v>
      </c>
      <c r="BD8" s="147">
        <f t="shared" ca="1" si="17"/>
        <v>0</v>
      </c>
      <c r="BF8" s="168">
        <f t="shared" ca="1" si="61"/>
        <v>44578</v>
      </c>
      <c r="BG8" s="168" t="str">
        <f t="shared" si="62"/>
        <v>Equity</v>
      </c>
      <c r="BH8" s="169">
        <v>0</v>
      </c>
      <c r="BI8" s="169">
        <f>IF('Cap Table'!BH$79&lt;&gt;"na",IF(AL8='Cap Table'!$B$40,AM8-AN8,0),0)</f>
        <v>0</v>
      </c>
      <c r="BJ8" s="171">
        <f t="shared" si="18"/>
        <v>0</v>
      </c>
      <c r="BK8" s="169">
        <f t="shared" si="19"/>
        <v>0</v>
      </c>
      <c r="BL8" s="172">
        <f t="shared" si="20"/>
        <v>0.1</v>
      </c>
      <c r="BM8" s="170">
        <f ca="1">FV(BL8/1,DATEDIF(BF8,'Cap Table'!BH$60,"y"),0,-BI8)</f>
        <v>0</v>
      </c>
      <c r="BN8" s="170">
        <f ca="1">IF('Cap Table'!BH$80="no",IFERROR(BM8/(1-BJ8),0),IFERROR(BM8/(1-(MAX(BJ8,('Cap Table'!BH$62-BK8/'Cap Table'!BH$61)/'Cap Table'!BH$62))),0))</f>
        <v>0</v>
      </c>
      <c r="BO8" s="146">
        <f t="shared" ca="1" si="21"/>
        <v>0</v>
      </c>
      <c r="BP8" s="149">
        <f ca="1">IF(AND('Cap Table'!BH$62=0,BM8&gt;0),BK8/'Cap Table'!BH$61,IFERROR(IF(BK8=0,'Cap Table'!BH$62*(1-BJ8),MIN('Cap Table'!BH$62*(1-BJ8),BK8/'Cap Table'!BH$61)),0))</f>
        <v>0</v>
      </c>
      <c r="BQ8" s="170">
        <f t="shared" ref="BQ8:BQ28" ca="1" si="81">IFERROR(BO8/BP8,0)</f>
        <v>0</v>
      </c>
      <c r="BR8" s="170">
        <v>0</v>
      </c>
      <c r="BS8" s="146">
        <f t="shared" ca="1" si="22"/>
        <v>0</v>
      </c>
      <c r="BT8" s="146">
        <f t="shared" si="22"/>
        <v>0</v>
      </c>
      <c r="BU8" s="146">
        <f t="shared" ca="1" si="63"/>
        <v>0</v>
      </c>
      <c r="BV8" s="147">
        <f t="shared" ca="1" si="23"/>
        <v>0</v>
      </c>
      <c r="BW8" s="146">
        <f ca="1">BU8*'Cap Table'!BH$62</f>
        <v>0</v>
      </c>
      <c r="BX8" s="173">
        <f ca="1">IFERROR(IF(OR(BG8='Cap Table'!$B$40,BG8='Cap Table'!$B$41,BG8='Cap Table'!$B$42),IF(SUM(BI8,AN8,S8)&lt;SUM(BH8,AM8,R8),FV(MAX(BL8,AQ8,V8)/1,DATEDIF(BF8,'Cap Table'!$BH$60,"y"),0,-MAX(BH8,AM8,R8))/(MAX(BK8,AP8,U8)/'Cap Table'!$BH$61),BU8),BU8),0)</f>
        <v>0</v>
      </c>
      <c r="BY8" s="147">
        <f t="shared" ca="1" si="24"/>
        <v>0</v>
      </c>
      <c r="CA8" s="168">
        <f t="shared" ca="1" si="64"/>
        <v>44943</v>
      </c>
      <c r="CB8" s="168" t="str">
        <f t="shared" si="65"/>
        <v>Equity</v>
      </c>
      <c r="CC8" s="169">
        <v>0</v>
      </c>
      <c r="CD8" s="169">
        <f>IF('Cap Table'!CC$79&lt;&gt;"na",IF(BG8='Cap Table'!$B$40,BH8-BI8,0),0)</f>
        <v>0</v>
      </c>
      <c r="CE8" s="171">
        <f t="shared" si="25"/>
        <v>0</v>
      </c>
      <c r="CF8" s="169">
        <f t="shared" si="26"/>
        <v>0</v>
      </c>
      <c r="CG8" s="172">
        <f t="shared" si="27"/>
        <v>0.1</v>
      </c>
      <c r="CH8" s="170">
        <f ca="1">FV(CG8/1,DATEDIF(CA8,'Cap Table'!CC$60,"y"),0,-CD8)</f>
        <v>0</v>
      </c>
      <c r="CI8" s="170">
        <f ca="1">IF('Cap Table'!CC$80="no",IFERROR(CH8/(1-CE8),0),IFERROR(CH8/(1-(MAX(CE8,('Cap Table'!CC$62-CF8/'Cap Table'!CC$61)/'Cap Table'!CC$62))),0))</f>
        <v>0</v>
      </c>
      <c r="CJ8" s="146">
        <f t="shared" ca="1" si="28"/>
        <v>0</v>
      </c>
      <c r="CK8" s="149">
        <f ca="1">IF(AND('Cap Table'!CC$62=0,CH8&gt;0),CF8/'Cap Table'!CC$61,IFERROR(IF(CF8=0,'Cap Table'!CC$62*(1-CE8),MIN('Cap Table'!CC$62*(1-CE8),CF8/'Cap Table'!CC$61)),0))</f>
        <v>0</v>
      </c>
      <c r="CL8" s="170">
        <f t="shared" ref="CL8:CL28" ca="1" si="82">IFERROR(CJ8/CK8,0)</f>
        <v>0</v>
      </c>
      <c r="CM8" s="170">
        <v>0</v>
      </c>
      <c r="CN8" s="146">
        <f t="shared" ca="1" si="29"/>
        <v>0</v>
      </c>
      <c r="CO8" s="146">
        <f t="shared" si="29"/>
        <v>0</v>
      </c>
      <c r="CP8" s="146">
        <f t="shared" ca="1" si="66"/>
        <v>0</v>
      </c>
      <c r="CQ8" s="147">
        <f t="shared" ca="1" si="30"/>
        <v>0</v>
      </c>
      <c r="CR8" s="146">
        <f ca="1">CP8*'Cap Table'!CC$62</f>
        <v>0</v>
      </c>
      <c r="CS8" s="173">
        <f ca="1">IFERROR(IF(OR(CB8='Cap Table'!$B$40,CB8='Cap Table'!$B$41,CB8='Cap Table'!$B$42),IF(SUM(CD8,BI8,AN8,S8)&lt;SUM(CC8,BH8,AM8,R8),FV(MAX(CG8,BL8,AQ8,V8)/1,DATEDIF(CA8,'Cap Table'!$CC$60,"y"),0,-MAX(CC8,BH8,AM8,R8))/(MAX(CF8,BK8,AP8,U8)/'Cap Table'!$CC$61),CP8),CP8),0)</f>
        <v>0</v>
      </c>
      <c r="CT8" s="147">
        <f t="shared" ca="1" si="31"/>
        <v>0</v>
      </c>
      <c r="CV8" s="168">
        <f t="shared" ca="1" si="67"/>
        <v>45308</v>
      </c>
      <c r="CW8" s="168" t="str">
        <f t="shared" si="68"/>
        <v>Equity</v>
      </c>
      <c r="CX8" s="169">
        <v>0</v>
      </c>
      <c r="CY8" s="169">
        <f>IF('Cap Table'!CX$79&lt;&gt;"na",IF(CB8='Cap Table'!$B$40,CC8-CD8,0),0)</f>
        <v>0</v>
      </c>
      <c r="CZ8" s="171">
        <f t="shared" si="32"/>
        <v>0</v>
      </c>
      <c r="DA8" s="169">
        <f t="shared" si="33"/>
        <v>0</v>
      </c>
      <c r="DB8" s="172">
        <f t="shared" si="34"/>
        <v>0.1</v>
      </c>
      <c r="DC8" s="170">
        <f ca="1">FV(DB8/1,DATEDIF(CV8,'Cap Table'!CX$60,"y"),0,-CY8)</f>
        <v>0</v>
      </c>
      <c r="DD8" s="170">
        <f ca="1">IF('Cap Table'!CX$80="no",IFERROR(DC8/(1-CZ8),0),IFERROR(DC8/(1-(MAX(CZ8,('Cap Table'!CX$62-DA8/'Cap Table'!CX$61)/'Cap Table'!CX$62))),0))</f>
        <v>0</v>
      </c>
      <c r="DE8" s="146">
        <f t="shared" ca="1" si="35"/>
        <v>0</v>
      </c>
      <c r="DF8" s="149">
        <f ca="1">IF(AND('Cap Table'!CX$62=0,DC8&gt;0),DA8/'Cap Table'!CX$61,IFERROR(IF(DA8=0,'Cap Table'!CX$62*(1-CZ8),MIN('Cap Table'!CX$62*(1-CZ8),DA8/'Cap Table'!CX$61)),0))</f>
        <v>0</v>
      </c>
      <c r="DG8" s="170">
        <f t="shared" ref="DG8:DG28" ca="1" si="83">IFERROR(DE8/DF8,0)</f>
        <v>0</v>
      </c>
      <c r="DH8" s="170">
        <v>0</v>
      </c>
      <c r="DI8" s="146">
        <f t="shared" ca="1" si="36"/>
        <v>0</v>
      </c>
      <c r="DJ8" s="146">
        <f t="shared" si="36"/>
        <v>0</v>
      </c>
      <c r="DK8" s="146">
        <f t="shared" ca="1" si="69"/>
        <v>0</v>
      </c>
      <c r="DL8" s="147">
        <f t="shared" ca="1" si="37"/>
        <v>0</v>
      </c>
      <c r="DM8" s="146">
        <f ca="1">DK8*'Cap Table'!CX$62</f>
        <v>0</v>
      </c>
      <c r="DN8" s="173">
        <f ca="1">IFERROR(IF(OR(CW8='Cap Table'!$B$40,CW8='Cap Table'!$B$41,CW8='Cap Table'!$B$42),IF(SUM(CY8,CD8,BI8,AN8,S8,)&lt;SUM(CX8,CC8,BH8,AM8,R8),FV(MAX(DB8,CG8,BL8,AQ8,V8)/1,DATEDIF(CV8,'Cap Table'!$CX$60,"y"),0,-MAX(CX8,CC8,BH8,AM8,R8))/(MAX(DA8,CF8,BK8,AP8,U8,)/'Cap Table'!$CX$61),DK8),DK8),0)</f>
        <v>0</v>
      </c>
      <c r="DO8" s="147">
        <f t="shared" ca="1" si="38"/>
        <v>0</v>
      </c>
      <c r="DQ8" s="168">
        <f t="shared" ca="1" si="70"/>
        <v>45674</v>
      </c>
      <c r="DR8" s="168" t="str">
        <f t="shared" si="71"/>
        <v>Equity</v>
      </c>
      <c r="DS8" s="169">
        <v>0</v>
      </c>
      <c r="DT8" s="169">
        <v>0</v>
      </c>
      <c r="DU8" s="171">
        <v>0</v>
      </c>
      <c r="DV8" s="169">
        <v>0</v>
      </c>
      <c r="DW8" s="172">
        <v>0</v>
      </c>
      <c r="DX8" s="170">
        <f ca="1">FV(DW8/1,DATEDIF(DQ8,'Cap Table'!DS$60,"y"),0,-DT8)</f>
        <v>0</v>
      </c>
      <c r="DY8" s="170">
        <f ca="1">IF('Cap Table'!DS$80="no",IFERROR(DX8/(1-DU8),0),IFERROR(DX8/(1-(MAX(DU8,('Cap Table'!DS$62-DV8/'Cap Table'!DS$61)/'Cap Table'!DS$62))),0))</f>
        <v>0</v>
      </c>
      <c r="DZ8" s="146">
        <f t="shared" ca="1" si="42"/>
        <v>0</v>
      </c>
      <c r="EA8" s="149">
        <f ca="1">IF(AND('Cap Table'!DS$62=0,DX8&gt;0),DV8/'Cap Table'!DS$61,IFERROR(IF(DV8=0,'Cap Table'!DS$62*(1-DU8),MIN('Cap Table'!DS$62*(1-DU8),DV8/'Cap Table'!DS$61)),0))</f>
        <v>0</v>
      </c>
      <c r="EB8" s="170">
        <f t="shared" ref="EB8:EB28" ca="1" si="84">IFERROR(DZ8/EA8,0)</f>
        <v>0</v>
      </c>
      <c r="EC8" s="170">
        <v>0</v>
      </c>
      <c r="ED8" s="146">
        <f t="shared" ca="1" si="72"/>
        <v>0</v>
      </c>
      <c r="EE8" s="146">
        <f t="shared" si="43"/>
        <v>0</v>
      </c>
      <c r="EF8" s="146">
        <f t="shared" ca="1" si="73"/>
        <v>0</v>
      </c>
      <c r="EG8" s="147">
        <f t="shared" ca="1" si="44"/>
        <v>0</v>
      </c>
      <c r="EH8" s="146">
        <f ca="1">EF8*'Cap Table'!DS$62</f>
        <v>0</v>
      </c>
      <c r="EI8" s="173">
        <f ca="1">IFERROR(IF(OR(DR8='Cap Table'!$B$40,DR8='Cap Table'!$B$41,DR8='Cap Table'!$B$42),IF(SUM(DT8,CY8,CD8,BI8,AN8,S8)&lt;SUM(DS8,CX8,CC8,BH8,AM8,R8),FV(MAX(DW8,DB8,CG8,BL8,AQ8,V8)/1,DATEDIF(DQ8,'Cap Table'!DS$60,"y"),0,-MAX(DS8,CX8,CC8,BH8,AM8,R8))/(MAX(DV8,DA8,CF8,BK8,AP8,U8)/'Cap Table'!$DS$61),EF8),EF8),0)</f>
        <v>0</v>
      </c>
      <c r="EJ8" s="147">
        <f t="shared" ca="1" si="45"/>
        <v>0</v>
      </c>
      <c r="EL8" s="146">
        <f t="shared" si="74"/>
        <v>0</v>
      </c>
      <c r="EM8" s="146">
        <f t="shared" si="74"/>
        <v>0</v>
      </c>
      <c r="EN8" s="174" t="s">
        <v>27</v>
      </c>
      <c r="EO8" s="174" t="s">
        <v>27</v>
      </c>
      <c r="EP8" s="174" t="s">
        <v>27</v>
      </c>
      <c r="EQ8" s="146">
        <f t="shared" ca="1" si="75"/>
        <v>0</v>
      </c>
      <c r="ER8" s="146">
        <f t="shared" ca="1" si="75"/>
        <v>0</v>
      </c>
      <c r="ES8" s="146">
        <f t="shared" ca="1" si="75"/>
        <v>0</v>
      </c>
      <c r="ET8" s="146">
        <f ca="1">IFERROR(ES8/EY8,0)</f>
        <v>0</v>
      </c>
      <c r="EU8" s="146">
        <f t="shared" ca="1" si="76"/>
        <v>0</v>
      </c>
      <c r="EV8" s="146">
        <f t="shared" si="76"/>
        <v>0</v>
      </c>
      <c r="EW8" s="146">
        <f t="shared" ca="1" si="77"/>
        <v>0</v>
      </c>
      <c r="EX8" s="146">
        <f t="shared" si="77"/>
        <v>0</v>
      </c>
      <c r="EY8" s="146">
        <f t="shared" ca="1" si="77"/>
        <v>0</v>
      </c>
      <c r="EZ8" s="147">
        <f t="shared" ca="1" si="46"/>
        <v>0</v>
      </c>
      <c r="FA8" s="146">
        <f t="shared" ca="1" si="78"/>
        <v>0</v>
      </c>
      <c r="FB8" s="146">
        <f t="shared" ca="1" si="78"/>
        <v>0</v>
      </c>
      <c r="FC8" s="147">
        <f t="shared" ca="1" si="47"/>
        <v>0</v>
      </c>
      <c r="FE8" s="149" t="str">
        <f t="shared" si="0"/>
        <v>Common</v>
      </c>
      <c r="FF8" s="146">
        <f t="shared" ca="1" si="48"/>
        <v>0</v>
      </c>
      <c r="FG8" s="146">
        <f t="shared" ca="1" si="49"/>
        <v>0</v>
      </c>
      <c r="FH8" s="146">
        <f t="shared" ca="1" si="50"/>
        <v>0</v>
      </c>
      <c r="FJ8" s="146" t="str">
        <f t="shared" si="51"/>
        <v>Common</v>
      </c>
      <c r="FK8" s="174" t="str">
        <f t="shared" ca="1" si="52"/>
        <v>na</v>
      </c>
      <c r="FL8" s="174" t="str">
        <f t="shared" ca="1" si="52"/>
        <v>na</v>
      </c>
      <c r="FM8" s="174" t="str">
        <f t="shared" ca="1" si="53"/>
        <v>na</v>
      </c>
    </row>
    <row r="9" spans="2:169">
      <c r="B9" s="145" t="s">
        <v>27</v>
      </c>
      <c r="D9" s="167" t="s">
        <v>33</v>
      </c>
      <c r="E9" s="167" t="str">
        <f t="shared" si="54"/>
        <v>Common</v>
      </c>
      <c r="G9" s="168">
        <f t="shared" ca="1" si="1"/>
        <v>43482</v>
      </c>
      <c r="H9" s="289" t="str">
        <f t="shared" si="2"/>
        <v>Equity</v>
      </c>
      <c r="I9" s="169">
        <v>0</v>
      </c>
      <c r="J9" s="170">
        <v>0</v>
      </c>
      <c r="K9" s="170">
        <f t="shared" si="55"/>
        <v>0</v>
      </c>
      <c r="L9" s="147">
        <f t="shared" si="3"/>
        <v>0</v>
      </c>
      <c r="M9" s="170">
        <f t="shared" si="56"/>
        <v>0</v>
      </c>
      <c r="N9" s="147">
        <f t="shared" si="4"/>
        <v>0</v>
      </c>
      <c r="O9" s="147"/>
      <c r="P9" s="168">
        <f t="shared" ref="P9:P26" ca="1" si="85">IF(S9=0,R$60,G9)</f>
        <v>43847</v>
      </c>
      <c r="Q9" s="289" t="str">
        <f t="shared" si="5"/>
        <v>Equity</v>
      </c>
      <c r="R9" s="169">
        <v>0</v>
      </c>
      <c r="S9" s="169">
        <v>0</v>
      </c>
      <c r="T9" s="171">
        <v>0</v>
      </c>
      <c r="U9" s="145">
        <v>0</v>
      </c>
      <c r="V9" s="172">
        <v>0</v>
      </c>
      <c r="W9" s="170">
        <f ca="1">FV(V9/1,DATEDIF(P9,'Cap Table'!R$60,"y"),0,-S9)</f>
        <v>0</v>
      </c>
      <c r="X9" s="170">
        <f t="shared" ca="1" si="6"/>
        <v>0</v>
      </c>
      <c r="Y9" s="146">
        <f t="shared" ca="1" si="7"/>
        <v>0</v>
      </c>
      <c r="Z9" s="149">
        <f ca="1">IF(AND('Cap Table'!R$62=0,W9&gt;0),U9/'Cap Table'!R$61,IFERROR(IF(U9=0,'Cap Table'!R$62*(1-T9),MIN('Cap Table'!R$62*(1-T9),U9/'Cap Table'!R$61)),0))</f>
        <v>0</v>
      </c>
      <c r="AA9" s="170">
        <f t="shared" ca="1" si="79"/>
        <v>0</v>
      </c>
      <c r="AB9" s="170">
        <v>0</v>
      </c>
      <c r="AC9" s="146">
        <f t="shared" ca="1" si="8"/>
        <v>0</v>
      </c>
      <c r="AD9" s="146">
        <f t="shared" si="8"/>
        <v>0</v>
      </c>
      <c r="AE9" s="146">
        <f t="shared" ca="1" si="57"/>
        <v>0</v>
      </c>
      <c r="AF9" s="147">
        <f t="shared" ca="1" si="9"/>
        <v>0</v>
      </c>
      <c r="AG9" s="146">
        <f ca="1">AE9*'Cap Table'!R$62</f>
        <v>0</v>
      </c>
      <c r="AH9" s="146">
        <f ca="1">IFERROR(IF(OR(Q9='Cap Table'!$B$40,Q9='Cap Table'!$B$41,Q9='Cap Table'!$B$42),IF(SUM(S9)&lt;SUM(R9),(FV(V9/1,DATEDIF(P9,'Cap Table'!R$60,"y"),0,-R9))/(U9/'Cap Table'!$R$61),AE9),AE9),0)</f>
        <v>0</v>
      </c>
      <c r="AI9" s="147">
        <f t="shared" ca="1" si="10"/>
        <v>0</v>
      </c>
      <c r="AK9" s="168">
        <f t="shared" ca="1" si="58"/>
        <v>44213</v>
      </c>
      <c r="AL9" s="168" t="str">
        <f t="shared" si="59"/>
        <v>Equity</v>
      </c>
      <c r="AM9" s="169">
        <v>0</v>
      </c>
      <c r="AN9" s="169">
        <f>IF('Cap Table'!AM$79&lt;&gt;"na",IF(Q9='Cap Table'!$B$40,R9-S9,0),0)</f>
        <v>0</v>
      </c>
      <c r="AO9" s="171">
        <f t="shared" si="11"/>
        <v>0</v>
      </c>
      <c r="AP9" s="169">
        <f t="shared" si="12"/>
        <v>0</v>
      </c>
      <c r="AQ9" s="172">
        <f t="shared" si="13"/>
        <v>0</v>
      </c>
      <c r="AR9" s="170">
        <f ca="1">FV(AQ9/1,DATEDIF(AK9,'Cap Table'!AM$60,"y"),0,-AN9)</f>
        <v>0</v>
      </c>
      <c r="AS9" s="170">
        <f ca="1">IF('Cap Table'!AM$80="no",IFERROR(AR9/(1-AO9),0),IFERROR(AR9/(1-(MAX(AO9,('Cap Table'!AM$62-AP9/'Cap Table'!AM$61)/'Cap Table'!AM$62))),0))</f>
        <v>0</v>
      </c>
      <c r="AT9" s="146">
        <f t="shared" ca="1" si="14"/>
        <v>0</v>
      </c>
      <c r="AU9" s="149">
        <f ca="1">IF(AND('Cap Table'!AM$62=0,AR9&gt;0),AP9/'Cap Table'!AM$61,IFERROR(IF(AP9=0,'Cap Table'!AM$62*(1-AO9),MIN('Cap Table'!AM$62*(1-AO9),AP9/'Cap Table'!AM$61)),0))</f>
        <v>0</v>
      </c>
      <c r="AV9" s="170">
        <f t="shared" ca="1" si="80"/>
        <v>0</v>
      </c>
      <c r="AW9" s="170">
        <v>0</v>
      </c>
      <c r="AX9" s="146">
        <f t="shared" ca="1" si="15"/>
        <v>0</v>
      </c>
      <c r="AY9" s="146">
        <f t="shared" si="15"/>
        <v>0</v>
      </c>
      <c r="AZ9" s="146">
        <f t="shared" ca="1" si="60"/>
        <v>0</v>
      </c>
      <c r="BA9" s="147">
        <f t="shared" ca="1" si="16"/>
        <v>0</v>
      </c>
      <c r="BB9" s="146">
        <f ca="1">AZ9*'Cap Table'!AM$62</f>
        <v>0</v>
      </c>
      <c r="BC9" s="173">
        <f ca="1">IFERROR(IF(OR(AL9='Cap Table'!$B$40,AL9='Cap Table'!$B$41,AL9='Cap Table'!$B$42),IF(SUM(AN9,S9)&lt;SUM(AM9,R9),FV(MAX(AQ9,V9)/1,DATEDIF(AK9,'Cap Table'!$AM$60,"y"),0,-MAX(AM9,R9))/(MAX(AP9,U9)/'Cap Table'!$AM$61),AZ9),AZ9),0)</f>
        <v>0</v>
      </c>
      <c r="BD9" s="147">
        <f t="shared" ca="1" si="17"/>
        <v>0</v>
      </c>
      <c r="BF9" s="168">
        <f t="shared" ca="1" si="61"/>
        <v>44578</v>
      </c>
      <c r="BG9" s="168" t="str">
        <f t="shared" si="62"/>
        <v>Equity</v>
      </c>
      <c r="BH9" s="169">
        <v>0</v>
      </c>
      <c r="BI9" s="169">
        <f>IF('Cap Table'!BH$79&lt;&gt;"na",IF(AL9='Cap Table'!$B$40,AM9-AN9,0),0)</f>
        <v>0</v>
      </c>
      <c r="BJ9" s="171">
        <f t="shared" si="18"/>
        <v>0</v>
      </c>
      <c r="BK9" s="169">
        <f t="shared" si="19"/>
        <v>0</v>
      </c>
      <c r="BL9" s="172">
        <f t="shared" si="20"/>
        <v>0</v>
      </c>
      <c r="BM9" s="170">
        <f ca="1">FV(BL9/1,DATEDIF(BF9,'Cap Table'!BH$60,"y"),0,-BI9)</f>
        <v>0</v>
      </c>
      <c r="BN9" s="170">
        <f ca="1">IF('Cap Table'!BH$80="no",IFERROR(BM9/(1-BJ9),0),IFERROR(BM9/(1-(MAX(BJ9,('Cap Table'!BH$62-BK9/'Cap Table'!BH$61)/'Cap Table'!BH$62))),0))</f>
        <v>0</v>
      </c>
      <c r="BO9" s="146">
        <f t="shared" ca="1" si="21"/>
        <v>0</v>
      </c>
      <c r="BP9" s="149">
        <f ca="1">IF(AND('Cap Table'!BH$62=0,BM9&gt;0),BK9/'Cap Table'!BH$61,IFERROR(IF(BK9=0,'Cap Table'!BH$62*(1-BJ9),MIN('Cap Table'!BH$62*(1-BJ9),BK9/'Cap Table'!BH$61)),0))</f>
        <v>0</v>
      </c>
      <c r="BQ9" s="170">
        <f t="shared" ca="1" si="81"/>
        <v>0</v>
      </c>
      <c r="BR9" s="170">
        <v>0</v>
      </c>
      <c r="BS9" s="146">
        <f t="shared" ca="1" si="22"/>
        <v>0</v>
      </c>
      <c r="BT9" s="146">
        <f t="shared" si="22"/>
        <v>0</v>
      </c>
      <c r="BU9" s="146">
        <f t="shared" ca="1" si="63"/>
        <v>0</v>
      </c>
      <c r="BV9" s="147">
        <f t="shared" ca="1" si="23"/>
        <v>0</v>
      </c>
      <c r="BW9" s="146">
        <f ca="1">BU9*'Cap Table'!BH$62</f>
        <v>0</v>
      </c>
      <c r="BX9" s="173">
        <f ca="1">IFERROR(IF(OR(BG9='Cap Table'!$B$40,BG9='Cap Table'!$B$41,BG9='Cap Table'!$B$42),IF(SUM(BI9,AN9,S9)&lt;SUM(BH9,AM9,R9),FV(MAX(BL9,AQ9,V9)/1,DATEDIF(BF9,'Cap Table'!$BH$60,"y"),0,-MAX(BH9,AM9,R9))/(MAX(BK9,AP9,U9)/'Cap Table'!$BH$61),BU9),BU9),0)</f>
        <v>0</v>
      </c>
      <c r="BY9" s="147">
        <f t="shared" ca="1" si="24"/>
        <v>0</v>
      </c>
      <c r="CA9" s="168">
        <f t="shared" ca="1" si="64"/>
        <v>44943</v>
      </c>
      <c r="CB9" s="168" t="str">
        <f t="shared" si="65"/>
        <v>Equity</v>
      </c>
      <c r="CC9" s="169">
        <v>0</v>
      </c>
      <c r="CD9" s="169">
        <f>IF('Cap Table'!CC$79&lt;&gt;"na",IF(BG9='Cap Table'!$B$40,BH9-BI9,0),0)</f>
        <v>0</v>
      </c>
      <c r="CE9" s="171">
        <f t="shared" si="25"/>
        <v>0</v>
      </c>
      <c r="CF9" s="169">
        <f t="shared" si="26"/>
        <v>0</v>
      </c>
      <c r="CG9" s="172">
        <f t="shared" si="27"/>
        <v>0</v>
      </c>
      <c r="CH9" s="170">
        <f ca="1">FV(CG9/1,DATEDIF(CA9,'Cap Table'!CC$60,"y"),0,-CD9)</f>
        <v>0</v>
      </c>
      <c r="CI9" s="170">
        <f ca="1">IF('Cap Table'!CC$80="no",IFERROR(CH9/(1-CE9),0),IFERROR(CH9/(1-(MAX(CE9,('Cap Table'!CC$62-CF9/'Cap Table'!CC$61)/'Cap Table'!CC$62))),0))</f>
        <v>0</v>
      </c>
      <c r="CJ9" s="146">
        <f t="shared" ca="1" si="28"/>
        <v>0</v>
      </c>
      <c r="CK9" s="149">
        <f ca="1">IF(AND('Cap Table'!CC$62=0,CH9&gt;0),CF9/'Cap Table'!CC$61,IFERROR(IF(CF9=0,'Cap Table'!CC$62*(1-CE9),MIN('Cap Table'!CC$62*(1-CE9),CF9/'Cap Table'!CC$61)),0))</f>
        <v>0</v>
      </c>
      <c r="CL9" s="170">
        <f t="shared" ca="1" si="82"/>
        <v>0</v>
      </c>
      <c r="CM9" s="170">
        <v>0</v>
      </c>
      <c r="CN9" s="146">
        <f t="shared" ca="1" si="29"/>
        <v>0</v>
      </c>
      <c r="CO9" s="146">
        <f t="shared" si="29"/>
        <v>0</v>
      </c>
      <c r="CP9" s="146">
        <f t="shared" ca="1" si="66"/>
        <v>0</v>
      </c>
      <c r="CQ9" s="147">
        <f t="shared" ca="1" si="30"/>
        <v>0</v>
      </c>
      <c r="CR9" s="146">
        <f ca="1">CP9*'Cap Table'!CC$62</f>
        <v>0</v>
      </c>
      <c r="CS9" s="173">
        <f ca="1">IFERROR(IF(OR(CB9='Cap Table'!$B$40,CB9='Cap Table'!$B$41,CB9='Cap Table'!$B$42),IF(SUM(CD9,BI9,AN9,S9)&lt;SUM(CC9,BH9,AM9,R9),FV(MAX(CG9,BL9,AQ9,V9)/1,DATEDIF(CA9,'Cap Table'!$CC$60,"y"),0,-MAX(CC9,BH9,AM9,R9))/(MAX(CF9,BK9,AP9,U9)/'Cap Table'!$CC$61),CP9),CP9),0)</f>
        <v>0</v>
      </c>
      <c r="CT9" s="147">
        <f t="shared" ca="1" si="31"/>
        <v>0</v>
      </c>
      <c r="CV9" s="168">
        <f t="shared" ca="1" si="67"/>
        <v>45308</v>
      </c>
      <c r="CW9" s="168" t="str">
        <f t="shared" si="68"/>
        <v>Equity</v>
      </c>
      <c r="CX9" s="169">
        <v>0</v>
      </c>
      <c r="CY9" s="169">
        <f>IF('Cap Table'!CX$79&lt;&gt;"na",IF(CB9='Cap Table'!$B$40,CC9-CD9,0),0)</f>
        <v>0</v>
      </c>
      <c r="CZ9" s="171">
        <f t="shared" si="32"/>
        <v>0</v>
      </c>
      <c r="DA9" s="169">
        <f t="shared" si="33"/>
        <v>0</v>
      </c>
      <c r="DB9" s="172">
        <f t="shared" si="34"/>
        <v>0</v>
      </c>
      <c r="DC9" s="170">
        <f ca="1">FV(DB9/1,DATEDIF(CV9,'Cap Table'!CX$60,"y"),0,-CY9)</f>
        <v>0</v>
      </c>
      <c r="DD9" s="170">
        <f ca="1">IF('Cap Table'!CX$80="no",IFERROR(DC9/(1-CZ9),0),IFERROR(DC9/(1-(MAX(CZ9,('Cap Table'!CX$62-DA9/'Cap Table'!CX$61)/'Cap Table'!CX$62))),0))</f>
        <v>0</v>
      </c>
      <c r="DE9" s="146">
        <f t="shared" ca="1" si="35"/>
        <v>0</v>
      </c>
      <c r="DF9" s="149">
        <f ca="1">IF(AND('Cap Table'!CX$62=0,DC9&gt;0),DA9/'Cap Table'!CX$61,IFERROR(IF(DA9=0,'Cap Table'!CX$62*(1-CZ9),MIN('Cap Table'!CX$62*(1-CZ9),DA9/'Cap Table'!CX$61)),0))</f>
        <v>0</v>
      </c>
      <c r="DG9" s="170">
        <f t="shared" ca="1" si="83"/>
        <v>0</v>
      </c>
      <c r="DH9" s="170">
        <v>0</v>
      </c>
      <c r="DI9" s="146">
        <f t="shared" ca="1" si="36"/>
        <v>0</v>
      </c>
      <c r="DJ9" s="146">
        <f t="shared" si="36"/>
        <v>0</v>
      </c>
      <c r="DK9" s="146">
        <f t="shared" ca="1" si="69"/>
        <v>0</v>
      </c>
      <c r="DL9" s="147">
        <f t="shared" ca="1" si="37"/>
        <v>0</v>
      </c>
      <c r="DM9" s="146">
        <f ca="1">DK9*'Cap Table'!CX$62</f>
        <v>0</v>
      </c>
      <c r="DN9" s="173">
        <f ca="1">IFERROR(IF(OR(CW9='Cap Table'!$B$40,CW9='Cap Table'!$B$41,CW9='Cap Table'!$B$42),IF(SUM(CY9,CD9,BI9,AN9,S9,)&lt;SUM(CX9,CC9,BH9,AM9,R9),FV(MAX(DB9,CG9,BL9,AQ9,V9)/1,DATEDIF(CV9,'Cap Table'!$CX$60,"y"),0,-MAX(CX9,CC9,BH9,AM9,R9))/(MAX(DA9,CF9,BK9,AP9,U9,)/'Cap Table'!$CX$61),DK9),DK9),0)</f>
        <v>0</v>
      </c>
      <c r="DO9" s="147">
        <f t="shared" ca="1" si="38"/>
        <v>0</v>
      </c>
      <c r="DQ9" s="168">
        <f t="shared" ca="1" si="70"/>
        <v>45674</v>
      </c>
      <c r="DR9" s="168" t="str">
        <f t="shared" si="71"/>
        <v>Equity</v>
      </c>
      <c r="DS9" s="169">
        <v>0</v>
      </c>
      <c r="DT9" s="169">
        <f>IF('Cap Table'!DS$79&lt;&gt;"na",IF(CW9='Cap Table'!$B$40,CX9-CY9,0),0)</f>
        <v>0</v>
      </c>
      <c r="DU9" s="171">
        <f t="shared" ref="DU9:DU26" si="86">IF(DT9=$R9,CZ9,0)</f>
        <v>0</v>
      </c>
      <c r="DV9" s="169">
        <f t="shared" ref="DV9:DV26" si="87">IF(DT9=$R9,DA9,0)</f>
        <v>0</v>
      </c>
      <c r="DW9" s="172">
        <f t="shared" ref="DW9:DW26" si="88">IF(DT9=$R9,DB9,0)</f>
        <v>0</v>
      </c>
      <c r="DX9" s="170">
        <f ca="1">FV(DW9/1,DATEDIF(DQ9,'Cap Table'!DS$60,"y"),0,-DT9)</f>
        <v>0</v>
      </c>
      <c r="DY9" s="170">
        <f ca="1">IF('Cap Table'!DS$80="no",IFERROR(DX9/(1-DU9),0),IFERROR(DX9/(1-(MAX(DU9,('Cap Table'!DS$62-DV9/'Cap Table'!DS$61)/'Cap Table'!DS$62))),0))</f>
        <v>0</v>
      </c>
      <c r="DZ9" s="146">
        <f t="shared" ca="1" si="42"/>
        <v>0</v>
      </c>
      <c r="EA9" s="149">
        <f ca="1">IF(AND('Cap Table'!DS$62=0,DX9&gt;0),DV9/'Cap Table'!DS$61,IFERROR(IF(DV9=0,'Cap Table'!DS$62*(1-DU9),MIN('Cap Table'!DS$62*(1-DU9),DV9/'Cap Table'!DS$61)),0))</f>
        <v>0</v>
      </c>
      <c r="EB9" s="170">
        <f t="shared" ca="1" si="84"/>
        <v>0</v>
      </c>
      <c r="EC9" s="170">
        <v>0</v>
      </c>
      <c r="ED9" s="146">
        <f t="shared" ca="1" si="72"/>
        <v>0</v>
      </c>
      <c r="EE9" s="146">
        <f t="shared" si="43"/>
        <v>0</v>
      </c>
      <c r="EF9" s="146">
        <f t="shared" ca="1" si="73"/>
        <v>0</v>
      </c>
      <c r="EG9" s="147">
        <f t="shared" ca="1" si="44"/>
        <v>0</v>
      </c>
      <c r="EH9" s="146">
        <f ca="1">EF9*'Cap Table'!DS$62</f>
        <v>0</v>
      </c>
      <c r="EI9" s="173">
        <f ca="1">IFERROR(IF(OR(DR9='Cap Table'!$B$40,DR9='Cap Table'!$B$41,DR9='Cap Table'!$B$42),IF(SUM(DT9,CY9,CD9,BI9,AN9,S9)&lt;SUM(DS9,CX9,CC9,BH9,AM9,R9),FV(MAX(DW9,DB9,CG9,BL9,AQ9,V9)/1,DATEDIF(DQ9,'Cap Table'!DS$60,"y"),0,-MAX(DS9,CX9,CC9,BH9,AM9,R9))/(MAX(DV9,DA9,CF9,BK9,AP9,U9)/'Cap Table'!$DS$61),EF9),EF9),0)</f>
        <v>0</v>
      </c>
      <c r="EJ9" s="147">
        <f t="shared" ca="1" si="45"/>
        <v>0</v>
      </c>
      <c r="EL9" s="146">
        <f t="shared" si="74"/>
        <v>0</v>
      </c>
      <c r="EM9" s="146">
        <f t="shared" si="74"/>
        <v>0</v>
      </c>
      <c r="EN9" s="174" t="s">
        <v>27</v>
      </c>
      <c r="EO9" s="174" t="s">
        <v>27</v>
      </c>
      <c r="EP9" s="174" t="s">
        <v>27</v>
      </c>
      <c r="EQ9" s="146">
        <f t="shared" ca="1" si="75"/>
        <v>0</v>
      </c>
      <c r="ER9" s="146">
        <f t="shared" ca="1" si="75"/>
        <v>0</v>
      </c>
      <c r="ES9" s="146">
        <f t="shared" ca="1" si="75"/>
        <v>0</v>
      </c>
      <c r="ET9" s="149">
        <f ca="1">IFERROR(ES9/EY9,0)</f>
        <v>0</v>
      </c>
      <c r="EU9" s="146">
        <f t="shared" ca="1" si="76"/>
        <v>0</v>
      </c>
      <c r="EV9" s="146">
        <f t="shared" si="76"/>
        <v>0</v>
      </c>
      <c r="EW9" s="146">
        <f t="shared" ca="1" si="77"/>
        <v>0</v>
      </c>
      <c r="EX9" s="146">
        <f t="shared" si="77"/>
        <v>0</v>
      </c>
      <c r="EY9" s="146">
        <f t="shared" ca="1" si="77"/>
        <v>0</v>
      </c>
      <c r="EZ9" s="147">
        <f t="shared" ca="1" si="46"/>
        <v>0</v>
      </c>
      <c r="FA9" s="146">
        <f t="shared" ca="1" si="78"/>
        <v>0</v>
      </c>
      <c r="FB9" s="146">
        <f t="shared" ca="1" si="78"/>
        <v>0</v>
      </c>
      <c r="FC9" s="147">
        <f t="shared" ca="1" si="47"/>
        <v>0</v>
      </c>
      <c r="FE9" s="149" t="str">
        <f t="shared" si="0"/>
        <v>Common</v>
      </c>
      <c r="FF9" s="146">
        <f t="shared" ca="1" si="48"/>
        <v>0</v>
      </c>
      <c r="FG9" s="146">
        <f t="shared" ca="1" si="49"/>
        <v>0</v>
      </c>
      <c r="FH9" s="146">
        <f t="shared" ca="1" si="50"/>
        <v>0</v>
      </c>
      <c r="FJ9" s="146" t="str">
        <f t="shared" si="51"/>
        <v>Common</v>
      </c>
      <c r="FK9" s="174" t="str">
        <f t="shared" ca="1" si="52"/>
        <v>na</v>
      </c>
      <c r="FL9" s="174" t="str">
        <f t="shared" ca="1" si="52"/>
        <v>na</v>
      </c>
      <c r="FM9" s="174" t="str">
        <f t="shared" ca="1" si="53"/>
        <v>na</v>
      </c>
    </row>
    <row r="10" spans="2:169">
      <c r="B10" s="145" t="s">
        <v>27</v>
      </c>
      <c r="D10" s="167" t="s">
        <v>27</v>
      </c>
      <c r="E10" s="167" t="str">
        <f t="shared" si="54"/>
        <v>Common</v>
      </c>
      <c r="G10" s="168">
        <f t="shared" ca="1" si="1"/>
        <v>43482</v>
      </c>
      <c r="H10" s="289" t="str">
        <f t="shared" si="2"/>
        <v>Equity</v>
      </c>
      <c r="I10" s="169">
        <v>0</v>
      </c>
      <c r="J10" s="170">
        <v>0</v>
      </c>
      <c r="K10" s="170">
        <f t="shared" si="55"/>
        <v>0</v>
      </c>
      <c r="L10" s="147">
        <f t="shared" si="3"/>
        <v>0</v>
      </c>
      <c r="M10" s="170">
        <f t="shared" si="56"/>
        <v>0</v>
      </c>
      <c r="N10" s="147">
        <f t="shared" si="4"/>
        <v>0</v>
      </c>
      <c r="O10" s="147"/>
      <c r="P10" s="168">
        <f t="shared" ca="1" si="85"/>
        <v>43847</v>
      </c>
      <c r="Q10" s="289" t="str">
        <f t="shared" si="5"/>
        <v>Equity</v>
      </c>
      <c r="R10" s="169">
        <v>0</v>
      </c>
      <c r="S10" s="169">
        <v>0</v>
      </c>
      <c r="T10" s="171">
        <v>0</v>
      </c>
      <c r="U10" s="145">
        <v>0</v>
      </c>
      <c r="V10" s="172">
        <v>0</v>
      </c>
      <c r="W10" s="170">
        <f ca="1">FV(V10/1,DATEDIF(P10,'Cap Table'!R$60,"y"),0,-S10)</f>
        <v>0</v>
      </c>
      <c r="X10" s="170">
        <f t="shared" ca="1" si="6"/>
        <v>0</v>
      </c>
      <c r="Y10" s="146">
        <f t="shared" ca="1" si="7"/>
        <v>0</v>
      </c>
      <c r="Z10" s="149">
        <f ca="1">IF(AND('Cap Table'!R$62=0,W10&gt;0),U10/'Cap Table'!R$61,IFERROR(IF(U10=0,'Cap Table'!R$62*(1-T10),MIN('Cap Table'!R$62*(1-T10),U10/'Cap Table'!R$61)),0))</f>
        <v>0</v>
      </c>
      <c r="AA10" s="170">
        <f t="shared" ca="1" si="79"/>
        <v>0</v>
      </c>
      <c r="AB10" s="170">
        <v>0</v>
      </c>
      <c r="AC10" s="146">
        <f t="shared" ca="1" si="8"/>
        <v>0</v>
      </c>
      <c r="AD10" s="146">
        <f t="shared" si="8"/>
        <v>0</v>
      </c>
      <c r="AE10" s="146">
        <f t="shared" ca="1" si="57"/>
        <v>0</v>
      </c>
      <c r="AF10" s="147">
        <f t="shared" ca="1" si="9"/>
        <v>0</v>
      </c>
      <c r="AG10" s="146">
        <f ca="1">AE10*'Cap Table'!R$62</f>
        <v>0</v>
      </c>
      <c r="AH10" s="146">
        <f ca="1">IFERROR(IF(OR(Q10='Cap Table'!$B$40,Q10='Cap Table'!$B$41,Q10='Cap Table'!$B$42),IF(SUM(S10)&lt;SUM(R10),(FV(V10/1,DATEDIF(P10,'Cap Table'!R$60,"y"),0,-R10))/(U10/'Cap Table'!$R$61),AE10),AE10),0)</f>
        <v>0</v>
      </c>
      <c r="AI10" s="147">
        <f t="shared" ca="1" si="10"/>
        <v>0</v>
      </c>
      <c r="AK10" s="168">
        <f t="shared" ca="1" si="58"/>
        <v>44213</v>
      </c>
      <c r="AL10" s="168" t="str">
        <f t="shared" si="59"/>
        <v>Equity</v>
      </c>
      <c r="AM10" s="169">
        <v>0</v>
      </c>
      <c r="AN10" s="169">
        <f>IF('Cap Table'!AM$79&lt;&gt;"na",IF(Q10='Cap Table'!$B$40,R10-S10,0),0)</f>
        <v>0</v>
      </c>
      <c r="AO10" s="171">
        <f t="shared" si="11"/>
        <v>0</v>
      </c>
      <c r="AP10" s="169">
        <f t="shared" si="12"/>
        <v>0</v>
      </c>
      <c r="AQ10" s="172">
        <f t="shared" si="13"/>
        <v>0</v>
      </c>
      <c r="AR10" s="170">
        <f ca="1">FV(AQ10/1,DATEDIF(AK10,'Cap Table'!AM$60,"y"),0,-AN10)</f>
        <v>0</v>
      </c>
      <c r="AS10" s="170">
        <f ca="1">IF('Cap Table'!AM$80="no",IFERROR(AR10/(1-AO10),0),IFERROR(AR10/(1-(MAX(AO10,('Cap Table'!AM$62-AP10/'Cap Table'!AM$61)/'Cap Table'!AM$62))),0))</f>
        <v>0</v>
      </c>
      <c r="AT10" s="146">
        <f t="shared" ca="1" si="14"/>
        <v>0</v>
      </c>
      <c r="AU10" s="149">
        <f ca="1">IF(AND('Cap Table'!AM$62=0,AR10&gt;0),AP10/'Cap Table'!AM$61,IFERROR(IF(AP10=0,'Cap Table'!AM$62*(1-AO10),MIN('Cap Table'!AM$62*(1-AO10),AP10/'Cap Table'!AM$61)),0))</f>
        <v>0</v>
      </c>
      <c r="AV10" s="170">
        <f t="shared" ca="1" si="80"/>
        <v>0</v>
      </c>
      <c r="AW10" s="170">
        <v>0</v>
      </c>
      <c r="AX10" s="146">
        <f t="shared" ca="1" si="15"/>
        <v>0</v>
      </c>
      <c r="AY10" s="146">
        <f t="shared" si="15"/>
        <v>0</v>
      </c>
      <c r="AZ10" s="146">
        <f t="shared" ca="1" si="60"/>
        <v>0</v>
      </c>
      <c r="BA10" s="147">
        <f t="shared" ca="1" si="16"/>
        <v>0</v>
      </c>
      <c r="BB10" s="146">
        <f ca="1">AZ10*'Cap Table'!AM$62</f>
        <v>0</v>
      </c>
      <c r="BC10" s="173">
        <f ca="1">IFERROR(IF(OR(AL10='Cap Table'!$B$40,AL10='Cap Table'!$B$41,AL10='Cap Table'!$B$42),IF(SUM(AN10,S10)&lt;SUM(AM10,R10),FV(MAX(AQ10,V10)/1,DATEDIF(AK10,'Cap Table'!$AM$60,"y"),0,-MAX(AM10,R10))/(MAX(AP10,U10)/'Cap Table'!$AM$61),AZ10),AZ10),0)</f>
        <v>0</v>
      </c>
      <c r="BD10" s="147">
        <f t="shared" ca="1" si="17"/>
        <v>0</v>
      </c>
      <c r="BF10" s="168">
        <f t="shared" ca="1" si="61"/>
        <v>44578</v>
      </c>
      <c r="BG10" s="168" t="str">
        <f t="shared" si="62"/>
        <v>Equity</v>
      </c>
      <c r="BH10" s="169">
        <v>0</v>
      </c>
      <c r="BI10" s="169">
        <f>IF('Cap Table'!BH$79&lt;&gt;"na",IF(AL10='Cap Table'!$B$40,AM10-AN10,0),0)</f>
        <v>0</v>
      </c>
      <c r="BJ10" s="171">
        <f t="shared" si="18"/>
        <v>0</v>
      </c>
      <c r="BK10" s="169">
        <f t="shared" si="19"/>
        <v>0</v>
      </c>
      <c r="BL10" s="172">
        <f t="shared" si="20"/>
        <v>0</v>
      </c>
      <c r="BM10" s="170">
        <f ca="1">FV(BL10/1,DATEDIF(BF10,'Cap Table'!BH$60,"y"),0,-BI10)</f>
        <v>0</v>
      </c>
      <c r="BN10" s="170">
        <f ca="1">IF('Cap Table'!BH$80="no",IFERROR(BM10/(1-BJ10),0),IFERROR(BM10/(1-(MAX(BJ10,('Cap Table'!BH$62-BK10/'Cap Table'!BH$61)/'Cap Table'!BH$62))),0))</f>
        <v>0</v>
      </c>
      <c r="BO10" s="146">
        <f t="shared" ca="1" si="21"/>
        <v>0</v>
      </c>
      <c r="BP10" s="149">
        <f ca="1">IF(AND('Cap Table'!BH$62=0,BM10&gt;0),BK10/'Cap Table'!BH$61,IFERROR(IF(BK10=0,'Cap Table'!BH$62*(1-BJ10),MIN('Cap Table'!BH$62*(1-BJ10),BK10/'Cap Table'!BH$61)),0))</f>
        <v>0</v>
      </c>
      <c r="BQ10" s="170">
        <f t="shared" ca="1" si="81"/>
        <v>0</v>
      </c>
      <c r="BR10" s="170">
        <v>0</v>
      </c>
      <c r="BS10" s="146">
        <f t="shared" ca="1" si="22"/>
        <v>0</v>
      </c>
      <c r="BT10" s="146">
        <f t="shared" si="22"/>
        <v>0</v>
      </c>
      <c r="BU10" s="146">
        <f t="shared" ca="1" si="63"/>
        <v>0</v>
      </c>
      <c r="BV10" s="147">
        <f t="shared" ca="1" si="23"/>
        <v>0</v>
      </c>
      <c r="BW10" s="146">
        <f ca="1">BU10*'Cap Table'!BH$62</f>
        <v>0</v>
      </c>
      <c r="BX10" s="173">
        <f ca="1">IFERROR(IF(OR(BG10='Cap Table'!$B$40,BG10='Cap Table'!$B$41,BG10='Cap Table'!$B$42),IF(SUM(BI10,AN10,S10)&lt;SUM(BH10,AM10,R10),FV(MAX(BL10,AQ10,V10)/1,DATEDIF(BF10,'Cap Table'!$BH$60,"y"),0,-MAX(BH10,AM10,R10))/(MAX(BK10,AP10,U10)/'Cap Table'!$BH$61),BU10),BU10),0)</f>
        <v>0</v>
      </c>
      <c r="BY10" s="147">
        <f t="shared" ca="1" si="24"/>
        <v>0</v>
      </c>
      <c r="CA10" s="168">
        <f t="shared" ca="1" si="64"/>
        <v>44943</v>
      </c>
      <c r="CB10" s="168" t="str">
        <f t="shared" si="65"/>
        <v>Equity</v>
      </c>
      <c r="CC10" s="169">
        <v>0</v>
      </c>
      <c r="CD10" s="169">
        <f>IF('Cap Table'!CC$79&lt;&gt;"na",IF(BG10='Cap Table'!$B$40,BH10-BI10,0),0)</f>
        <v>0</v>
      </c>
      <c r="CE10" s="171">
        <f t="shared" si="25"/>
        <v>0</v>
      </c>
      <c r="CF10" s="169">
        <f t="shared" si="26"/>
        <v>0</v>
      </c>
      <c r="CG10" s="172">
        <f t="shared" si="27"/>
        <v>0</v>
      </c>
      <c r="CH10" s="170">
        <f ca="1">FV(CG10/1,DATEDIF(CA10,'Cap Table'!CC$60,"y"),0,-CD10)</f>
        <v>0</v>
      </c>
      <c r="CI10" s="170">
        <f ca="1">IF('Cap Table'!CC$80="no",IFERROR(CH10/(1-CE10),0),IFERROR(CH10/(1-(MAX(CE10,('Cap Table'!CC$62-CF10/'Cap Table'!CC$61)/'Cap Table'!CC$62))),0))</f>
        <v>0</v>
      </c>
      <c r="CJ10" s="146">
        <f t="shared" ca="1" si="28"/>
        <v>0</v>
      </c>
      <c r="CK10" s="149">
        <f ca="1">IF(AND('Cap Table'!CC$62=0,CH10&gt;0),CF10/'Cap Table'!CC$61,IFERROR(IF(CF10=0,'Cap Table'!CC$62*(1-CE10),MIN('Cap Table'!CC$62*(1-CE10),CF10/'Cap Table'!CC$61)),0))</f>
        <v>0</v>
      </c>
      <c r="CL10" s="170">
        <f t="shared" ca="1" si="82"/>
        <v>0</v>
      </c>
      <c r="CM10" s="170">
        <v>0</v>
      </c>
      <c r="CN10" s="146">
        <f t="shared" ca="1" si="29"/>
        <v>0</v>
      </c>
      <c r="CO10" s="146">
        <f t="shared" si="29"/>
        <v>0</v>
      </c>
      <c r="CP10" s="146">
        <f t="shared" ca="1" si="66"/>
        <v>0</v>
      </c>
      <c r="CQ10" s="147">
        <f t="shared" ca="1" si="30"/>
        <v>0</v>
      </c>
      <c r="CR10" s="146">
        <f ca="1">CP10*'Cap Table'!CC$62</f>
        <v>0</v>
      </c>
      <c r="CS10" s="173">
        <f ca="1">IFERROR(IF(OR(CB10='Cap Table'!$B$40,CB10='Cap Table'!$B$41,CB10='Cap Table'!$B$42),IF(SUM(CD10,BI10,AN10,S10)&lt;SUM(CC10,BH10,AM10,R10),FV(MAX(CG10,BL10,AQ10,V10)/1,DATEDIF(CA10,'Cap Table'!$CC$60,"y"),0,-MAX(CC10,BH10,AM10,R10))/(MAX(CF10,BK10,AP10,U10)/'Cap Table'!$CC$61),CP10),CP10),0)</f>
        <v>0</v>
      </c>
      <c r="CT10" s="147">
        <f t="shared" ca="1" si="31"/>
        <v>0</v>
      </c>
      <c r="CV10" s="168">
        <f t="shared" ca="1" si="67"/>
        <v>45308</v>
      </c>
      <c r="CW10" s="168" t="str">
        <f t="shared" si="68"/>
        <v>Equity</v>
      </c>
      <c r="CX10" s="169">
        <v>0</v>
      </c>
      <c r="CY10" s="169">
        <f>IF('Cap Table'!CX$79&lt;&gt;"na",IF(CB10='Cap Table'!$B$40,CC10-CD10,0),0)</f>
        <v>0</v>
      </c>
      <c r="CZ10" s="171">
        <f t="shared" si="32"/>
        <v>0</v>
      </c>
      <c r="DA10" s="169">
        <f t="shared" si="33"/>
        <v>0</v>
      </c>
      <c r="DB10" s="172">
        <f t="shared" si="34"/>
        <v>0</v>
      </c>
      <c r="DC10" s="170">
        <f ca="1">FV(DB10/1,DATEDIF(CV10,'Cap Table'!CX$60,"y"),0,-CY10)</f>
        <v>0</v>
      </c>
      <c r="DD10" s="170">
        <f ca="1">IF('Cap Table'!CX$80="no",IFERROR(DC10/(1-CZ10),0),IFERROR(DC10/(1-(MAX(CZ10,('Cap Table'!CX$62-DA10/'Cap Table'!CX$61)/'Cap Table'!CX$62))),0))</f>
        <v>0</v>
      </c>
      <c r="DE10" s="146">
        <f t="shared" ca="1" si="35"/>
        <v>0</v>
      </c>
      <c r="DF10" s="149">
        <f ca="1">IF(AND('Cap Table'!CX$62=0,DC10&gt;0),DA10/'Cap Table'!CX$61,IFERROR(IF(DA10=0,'Cap Table'!CX$62*(1-CZ10),MIN('Cap Table'!CX$62*(1-CZ10),DA10/'Cap Table'!CX$61)),0))</f>
        <v>0</v>
      </c>
      <c r="DG10" s="170">
        <f t="shared" ca="1" si="83"/>
        <v>0</v>
      </c>
      <c r="DH10" s="170">
        <v>0</v>
      </c>
      <c r="DI10" s="146">
        <f t="shared" ca="1" si="36"/>
        <v>0</v>
      </c>
      <c r="DJ10" s="146">
        <f t="shared" si="36"/>
        <v>0</v>
      </c>
      <c r="DK10" s="146">
        <f t="shared" ca="1" si="69"/>
        <v>0</v>
      </c>
      <c r="DL10" s="147">
        <f t="shared" ca="1" si="37"/>
        <v>0</v>
      </c>
      <c r="DM10" s="146">
        <f ca="1">DK10*'Cap Table'!CX$62</f>
        <v>0</v>
      </c>
      <c r="DN10" s="173">
        <f ca="1">IFERROR(IF(OR(CW10='Cap Table'!$B$40,CW10='Cap Table'!$B$41,CW10='Cap Table'!$B$42),IF(SUM(CY10,CD10,BI10,AN10,S10,)&lt;SUM(CX10,CC10,BH10,AM10,R10),FV(MAX(DB10,CG10,BL10,AQ10,V10)/1,DATEDIF(CV10,'Cap Table'!$CX$60,"y"),0,-MAX(CX10,CC10,BH10,AM10,R10))/(MAX(DA10,CF10,BK10,AP10,U10,)/'Cap Table'!$CX$61),DK10),DK10),0)</f>
        <v>0</v>
      </c>
      <c r="DO10" s="147">
        <f t="shared" ca="1" si="38"/>
        <v>0</v>
      </c>
      <c r="DQ10" s="168">
        <f t="shared" ca="1" si="70"/>
        <v>45674</v>
      </c>
      <c r="DR10" s="168" t="str">
        <f t="shared" si="71"/>
        <v>Equity</v>
      </c>
      <c r="DS10" s="169">
        <v>0</v>
      </c>
      <c r="DT10" s="169">
        <f>IF('Cap Table'!DS$79&lt;&gt;"na",IF(CW10='Cap Table'!$B$40,CX10-CY10,0),0)</f>
        <v>0</v>
      </c>
      <c r="DU10" s="171">
        <f t="shared" si="86"/>
        <v>0</v>
      </c>
      <c r="DV10" s="169">
        <f t="shared" si="87"/>
        <v>0</v>
      </c>
      <c r="DW10" s="172">
        <f t="shared" si="88"/>
        <v>0</v>
      </c>
      <c r="DX10" s="170">
        <f ca="1">FV(DW10/1,DATEDIF(DQ10,'Cap Table'!DS$60,"y"),0,-DT10)</f>
        <v>0</v>
      </c>
      <c r="DY10" s="170">
        <f ca="1">IF('Cap Table'!DS$80="no",IFERROR(DX10/(1-DU10),0),IFERROR(DX10/(1-(MAX(DU10,('Cap Table'!DS$62-DV10/'Cap Table'!DS$61)/'Cap Table'!DS$62))),0))</f>
        <v>0</v>
      </c>
      <c r="DZ10" s="146">
        <f t="shared" ca="1" si="42"/>
        <v>0</v>
      </c>
      <c r="EA10" s="149">
        <f ca="1">IF(AND('Cap Table'!DS$62=0,DX10&gt;0),DV10/'Cap Table'!DS$61,IFERROR(IF(DV10=0,'Cap Table'!DS$62*(1-DU10),MIN('Cap Table'!DS$62*(1-DU10),DV10/'Cap Table'!DS$61)),0))</f>
        <v>0</v>
      </c>
      <c r="EB10" s="170">
        <f t="shared" ca="1" si="84"/>
        <v>0</v>
      </c>
      <c r="EC10" s="170">
        <v>0</v>
      </c>
      <c r="ED10" s="146">
        <f t="shared" ca="1" si="72"/>
        <v>0</v>
      </c>
      <c r="EE10" s="146">
        <f t="shared" si="43"/>
        <v>0</v>
      </c>
      <c r="EF10" s="146">
        <f t="shared" ca="1" si="73"/>
        <v>0</v>
      </c>
      <c r="EG10" s="147">
        <f t="shared" ca="1" si="44"/>
        <v>0</v>
      </c>
      <c r="EH10" s="146">
        <f ca="1">EF10*'Cap Table'!DS$62</f>
        <v>0</v>
      </c>
      <c r="EI10" s="173">
        <f ca="1">IFERROR(IF(OR(DR10='Cap Table'!$B$40,DR10='Cap Table'!$B$41,DR10='Cap Table'!$B$42),IF(SUM(DT10,CY10,CD10,BI10,AN10,S10)&lt;SUM(DS10,CX10,CC10,BH10,AM10,R10),FV(MAX(DW10,DB10,CG10,BL10,AQ10,V10)/1,DATEDIF(DQ10,'Cap Table'!DS$60,"y"),0,-MAX(DS10,CX10,CC10,BH10,AM10,R10))/(MAX(DV10,DA10,CF10,BK10,AP10,U10)/'Cap Table'!$DS$61),EF10),EF10),0)</f>
        <v>0</v>
      </c>
      <c r="EJ10" s="147">
        <f t="shared" ca="1" si="45"/>
        <v>0</v>
      </c>
      <c r="EL10" s="146">
        <f t="shared" si="74"/>
        <v>0</v>
      </c>
      <c r="EM10" s="146">
        <f t="shared" si="74"/>
        <v>0</v>
      </c>
      <c r="EN10" s="174" t="s">
        <v>27</v>
      </c>
      <c r="EO10" s="174" t="s">
        <v>27</v>
      </c>
      <c r="EP10" s="174" t="s">
        <v>27</v>
      </c>
      <c r="EQ10" s="146">
        <f t="shared" ca="1" si="75"/>
        <v>0</v>
      </c>
      <c r="ER10" s="146">
        <f t="shared" ca="1" si="75"/>
        <v>0</v>
      </c>
      <c r="ES10" s="146">
        <f t="shared" ca="1" si="75"/>
        <v>0</v>
      </c>
      <c r="ET10" s="149">
        <f t="shared" ref="ET10:ET29" ca="1" si="89">IFERROR(ES10/EY10,0)</f>
        <v>0</v>
      </c>
      <c r="EU10" s="146">
        <f t="shared" ca="1" si="76"/>
        <v>0</v>
      </c>
      <c r="EV10" s="146">
        <f t="shared" si="76"/>
        <v>0</v>
      </c>
      <c r="EW10" s="146">
        <f t="shared" ca="1" si="77"/>
        <v>0</v>
      </c>
      <c r="EX10" s="146">
        <f t="shared" si="77"/>
        <v>0</v>
      </c>
      <c r="EY10" s="146">
        <f t="shared" ca="1" si="77"/>
        <v>0</v>
      </c>
      <c r="EZ10" s="147">
        <f t="shared" ca="1" si="46"/>
        <v>0</v>
      </c>
      <c r="FA10" s="146">
        <f t="shared" ca="1" si="78"/>
        <v>0</v>
      </c>
      <c r="FB10" s="146">
        <f t="shared" ca="1" si="78"/>
        <v>0</v>
      </c>
      <c r="FC10" s="147">
        <f t="shared" ca="1" si="47"/>
        <v>0</v>
      </c>
      <c r="FE10" s="149" t="str">
        <f t="shared" si="0"/>
        <v>Common</v>
      </c>
      <c r="FF10" s="146">
        <f t="shared" ca="1" si="48"/>
        <v>0</v>
      </c>
      <c r="FG10" s="146">
        <f t="shared" ca="1" si="49"/>
        <v>0</v>
      </c>
      <c r="FH10" s="146">
        <f t="shared" ca="1" si="50"/>
        <v>0</v>
      </c>
      <c r="FJ10" s="146" t="str">
        <f t="shared" si="51"/>
        <v>Common</v>
      </c>
      <c r="FK10" s="174" t="str">
        <f t="shared" ca="1" si="52"/>
        <v>na</v>
      </c>
      <c r="FL10" s="174" t="str">
        <f t="shared" ca="1" si="52"/>
        <v>na</v>
      </c>
      <c r="FM10" s="174" t="str">
        <f t="shared" ca="1" si="53"/>
        <v>na</v>
      </c>
    </row>
    <row r="11" spans="2:169">
      <c r="B11" s="145" t="s">
        <v>27</v>
      </c>
      <c r="D11" s="167" t="s">
        <v>27</v>
      </c>
      <c r="E11" s="167" t="str">
        <f t="shared" si="54"/>
        <v>Common</v>
      </c>
      <c r="G11" s="168">
        <f t="shared" ca="1" si="1"/>
        <v>43482</v>
      </c>
      <c r="H11" s="289" t="str">
        <f t="shared" si="2"/>
        <v>Equity</v>
      </c>
      <c r="I11" s="169">
        <v>0</v>
      </c>
      <c r="J11" s="170">
        <v>0</v>
      </c>
      <c r="K11" s="170">
        <f t="shared" si="55"/>
        <v>0</v>
      </c>
      <c r="L11" s="147">
        <f t="shared" si="3"/>
        <v>0</v>
      </c>
      <c r="M11" s="170">
        <f t="shared" si="56"/>
        <v>0</v>
      </c>
      <c r="N11" s="147">
        <f t="shared" si="4"/>
        <v>0</v>
      </c>
      <c r="O11" s="147"/>
      <c r="P11" s="168">
        <f t="shared" ca="1" si="85"/>
        <v>43847</v>
      </c>
      <c r="Q11" s="289" t="str">
        <f t="shared" si="5"/>
        <v>Equity</v>
      </c>
      <c r="R11" s="169">
        <v>0</v>
      </c>
      <c r="S11" s="169">
        <v>0</v>
      </c>
      <c r="T11" s="171">
        <v>0</v>
      </c>
      <c r="U11" s="145">
        <v>0</v>
      </c>
      <c r="V11" s="172">
        <v>0</v>
      </c>
      <c r="W11" s="170">
        <f ca="1">FV(V11/1,DATEDIF(P11,'Cap Table'!R$60,"y"),0,-S11)</f>
        <v>0</v>
      </c>
      <c r="X11" s="170">
        <f t="shared" ca="1" si="6"/>
        <v>0</v>
      </c>
      <c r="Y11" s="146">
        <f t="shared" ca="1" si="7"/>
        <v>0</v>
      </c>
      <c r="Z11" s="149">
        <f ca="1">IF(AND('Cap Table'!R$62=0,W11&gt;0),U11/'Cap Table'!R$61,IFERROR(IF(U11=0,'Cap Table'!R$62*(1-T11),MIN('Cap Table'!R$62*(1-T11),U11/'Cap Table'!R$61)),0))</f>
        <v>0</v>
      </c>
      <c r="AA11" s="170">
        <f t="shared" ca="1" si="79"/>
        <v>0</v>
      </c>
      <c r="AB11" s="170">
        <v>0</v>
      </c>
      <c r="AC11" s="146">
        <f t="shared" ca="1" si="8"/>
        <v>0</v>
      </c>
      <c r="AD11" s="146">
        <f t="shared" si="8"/>
        <v>0</v>
      </c>
      <c r="AE11" s="146">
        <f t="shared" ca="1" si="57"/>
        <v>0</v>
      </c>
      <c r="AF11" s="147">
        <f t="shared" ca="1" si="9"/>
        <v>0</v>
      </c>
      <c r="AG11" s="146">
        <f ca="1">AE11*'Cap Table'!R$62</f>
        <v>0</v>
      </c>
      <c r="AH11" s="146">
        <f ca="1">IFERROR(IF(OR(Q11='Cap Table'!$B$40,Q11='Cap Table'!$B$41,Q11='Cap Table'!$B$42),IF(SUM(S11)&lt;SUM(R11),(FV(V11/1,DATEDIF(P11,'Cap Table'!R$60,"y"),0,-R11))/(U11/'Cap Table'!$R$61),AE11),AE11),0)</f>
        <v>0</v>
      </c>
      <c r="AI11" s="147">
        <f t="shared" ca="1" si="10"/>
        <v>0</v>
      </c>
      <c r="AK11" s="168">
        <f t="shared" ca="1" si="58"/>
        <v>44213</v>
      </c>
      <c r="AL11" s="168" t="str">
        <f t="shared" si="59"/>
        <v>Equity</v>
      </c>
      <c r="AM11" s="169">
        <v>0</v>
      </c>
      <c r="AN11" s="169">
        <f>IF('Cap Table'!AM$79&lt;&gt;"na",IF(Q11='Cap Table'!$B$40,R11-S11,0),0)</f>
        <v>0</v>
      </c>
      <c r="AO11" s="171">
        <f t="shared" si="11"/>
        <v>0</v>
      </c>
      <c r="AP11" s="169">
        <f t="shared" si="12"/>
        <v>0</v>
      </c>
      <c r="AQ11" s="172">
        <f t="shared" si="13"/>
        <v>0</v>
      </c>
      <c r="AR11" s="170">
        <f ca="1">FV(AQ11/1,DATEDIF(AK11,'Cap Table'!AM$60,"y"),0,-AN11)</f>
        <v>0</v>
      </c>
      <c r="AS11" s="170">
        <f ca="1">IF('Cap Table'!AM$80="no",IFERROR(AR11/(1-AO11),0),IFERROR(AR11/(1-(MAX(AO11,('Cap Table'!AM$62-AP11/'Cap Table'!AM$61)/'Cap Table'!AM$62))),0))</f>
        <v>0</v>
      </c>
      <c r="AT11" s="146">
        <f t="shared" ca="1" si="14"/>
        <v>0</v>
      </c>
      <c r="AU11" s="149">
        <f ca="1">IF(AND('Cap Table'!AM$62=0,AR11&gt;0),AP11/'Cap Table'!AM$61,IFERROR(IF(AP11=0,'Cap Table'!AM$62*(1-AO11),MIN('Cap Table'!AM$62*(1-AO11),AP11/'Cap Table'!AM$61)),0))</f>
        <v>0</v>
      </c>
      <c r="AV11" s="170">
        <f t="shared" ca="1" si="80"/>
        <v>0</v>
      </c>
      <c r="AW11" s="170">
        <v>0</v>
      </c>
      <c r="AX11" s="146">
        <f t="shared" ca="1" si="15"/>
        <v>0</v>
      </c>
      <c r="AY11" s="146">
        <f t="shared" si="15"/>
        <v>0</v>
      </c>
      <c r="AZ11" s="146">
        <f t="shared" ca="1" si="60"/>
        <v>0</v>
      </c>
      <c r="BA11" s="147">
        <f t="shared" ca="1" si="16"/>
        <v>0</v>
      </c>
      <c r="BB11" s="146">
        <f ca="1">AZ11*'Cap Table'!AM$62</f>
        <v>0</v>
      </c>
      <c r="BC11" s="173">
        <f ca="1">IFERROR(IF(OR(AL11='Cap Table'!$B$40,AL11='Cap Table'!$B$41,AL11='Cap Table'!$B$42),IF(SUM(AN11,S11)&lt;SUM(AM11,R11),FV(MAX(AQ11,V11)/1,DATEDIF(AK11,'Cap Table'!$AM$60,"y"),0,-MAX(AM11,R11))/(MAX(AP11,U11)/'Cap Table'!$AM$61),AZ11),AZ11),0)</f>
        <v>0</v>
      </c>
      <c r="BD11" s="147">
        <f t="shared" ca="1" si="17"/>
        <v>0</v>
      </c>
      <c r="BF11" s="168">
        <f t="shared" ca="1" si="61"/>
        <v>44578</v>
      </c>
      <c r="BG11" s="168" t="str">
        <f t="shared" si="62"/>
        <v>Equity</v>
      </c>
      <c r="BH11" s="169">
        <v>0</v>
      </c>
      <c r="BI11" s="169">
        <f>IF('Cap Table'!BH$79&lt;&gt;"na",IF(AL11='Cap Table'!$B$40,AM11-AN11,0),0)</f>
        <v>0</v>
      </c>
      <c r="BJ11" s="171">
        <f t="shared" si="18"/>
        <v>0</v>
      </c>
      <c r="BK11" s="169">
        <f t="shared" si="19"/>
        <v>0</v>
      </c>
      <c r="BL11" s="172">
        <f t="shared" si="20"/>
        <v>0</v>
      </c>
      <c r="BM11" s="170">
        <f ca="1">FV(BL11/1,DATEDIF(BF11,'Cap Table'!BH$60,"y"),0,-BI11)</f>
        <v>0</v>
      </c>
      <c r="BN11" s="170">
        <f ca="1">IF('Cap Table'!BH$80="no",IFERROR(BM11/(1-BJ11),0),IFERROR(BM11/(1-(MAX(BJ11,('Cap Table'!BH$62-BK11/'Cap Table'!BH$61)/'Cap Table'!BH$62))),0))</f>
        <v>0</v>
      </c>
      <c r="BO11" s="146">
        <f t="shared" ca="1" si="21"/>
        <v>0</v>
      </c>
      <c r="BP11" s="149">
        <f ca="1">IF(AND('Cap Table'!BH$62=0,BM11&gt;0),BK11/'Cap Table'!BH$61,IFERROR(IF(BK11=0,'Cap Table'!BH$62*(1-BJ11),MIN('Cap Table'!BH$62*(1-BJ11),BK11/'Cap Table'!BH$61)),0))</f>
        <v>0</v>
      </c>
      <c r="BQ11" s="170">
        <f t="shared" ca="1" si="81"/>
        <v>0</v>
      </c>
      <c r="BR11" s="170">
        <v>0</v>
      </c>
      <c r="BS11" s="146">
        <f t="shared" ca="1" si="22"/>
        <v>0</v>
      </c>
      <c r="BT11" s="146">
        <f t="shared" si="22"/>
        <v>0</v>
      </c>
      <c r="BU11" s="146">
        <f t="shared" ca="1" si="63"/>
        <v>0</v>
      </c>
      <c r="BV11" s="147">
        <f t="shared" ca="1" si="23"/>
        <v>0</v>
      </c>
      <c r="BW11" s="146">
        <f ca="1">BU11*'Cap Table'!BH$62</f>
        <v>0</v>
      </c>
      <c r="BX11" s="173">
        <f ca="1">IFERROR(IF(OR(BG11='Cap Table'!$B$40,BG11='Cap Table'!$B$41,BG11='Cap Table'!$B$42),IF(SUM(BI11,AN11,S11)&lt;SUM(BH11,AM11,R11),FV(MAX(BL11,AQ11,V11)/1,DATEDIF(BF11,'Cap Table'!$BH$60,"y"),0,-MAX(BH11,AM11,R11))/(MAX(BK11,AP11,U11)/'Cap Table'!$BH$61),BU11),BU11),0)</f>
        <v>0</v>
      </c>
      <c r="BY11" s="147">
        <f t="shared" ca="1" si="24"/>
        <v>0</v>
      </c>
      <c r="CA11" s="168">
        <f t="shared" ca="1" si="64"/>
        <v>44943</v>
      </c>
      <c r="CB11" s="168" t="str">
        <f t="shared" si="65"/>
        <v>Equity</v>
      </c>
      <c r="CC11" s="169">
        <v>0</v>
      </c>
      <c r="CD11" s="169">
        <f>IF('Cap Table'!CC$79&lt;&gt;"na",IF(BG11='Cap Table'!$B$40,BH11-BI11,0),0)</f>
        <v>0</v>
      </c>
      <c r="CE11" s="171">
        <f t="shared" si="25"/>
        <v>0</v>
      </c>
      <c r="CF11" s="169">
        <f t="shared" si="26"/>
        <v>0</v>
      </c>
      <c r="CG11" s="172">
        <f t="shared" si="27"/>
        <v>0</v>
      </c>
      <c r="CH11" s="170">
        <f ca="1">FV(CG11/1,DATEDIF(CA11,'Cap Table'!CC$60,"y"),0,-CD11)</f>
        <v>0</v>
      </c>
      <c r="CI11" s="170">
        <f ca="1">IF('Cap Table'!CC$80="no",IFERROR(CH11/(1-CE11),0),IFERROR(CH11/(1-(MAX(CE11,('Cap Table'!CC$62-CF11/'Cap Table'!CC$61)/'Cap Table'!CC$62))),0))</f>
        <v>0</v>
      </c>
      <c r="CJ11" s="146">
        <f t="shared" ca="1" si="28"/>
        <v>0</v>
      </c>
      <c r="CK11" s="149">
        <f ca="1">IF(AND('Cap Table'!CC$62=0,CH11&gt;0),CF11/'Cap Table'!CC$61,IFERROR(IF(CF11=0,'Cap Table'!CC$62*(1-CE11),MIN('Cap Table'!CC$62*(1-CE11),CF11/'Cap Table'!CC$61)),0))</f>
        <v>0</v>
      </c>
      <c r="CL11" s="170">
        <f t="shared" ca="1" si="82"/>
        <v>0</v>
      </c>
      <c r="CM11" s="170">
        <v>0</v>
      </c>
      <c r="CN11" s="146">
        <f t="shared" ca="1" si="29"/>
        <v>0</v>
      </c>
      <c r="CO11" s="146">
        <f t="shared" si="29"/>
        <v>0</v>
      </c>
      <c r="CP11" s="146">
        <f t="shared" ca="1" si="66"/>
        <v>0</v>
      </c>
      <c r="CQ11" s="147">
        <f t="shared" ca="1" si="30"/>
        <v>0</v>
      </c>
      <c r="CR11" s="146">
        <f ca="1">CP11*'Cap Table'!CC$62</f>
        <v>0</v>
      </c>
      <c r="CS11" s="173">
        <f ca="1">IFERROR(IF(OR(CB11='Cap Table'!$B$40,CB11='Cap Table'!$B$41,CB11='Cap Table'!$B$42),IF(SUM(CD11,BI11,AN11,S11)&lt;SUM(CC11,BH11,AM11,R11),FV(MAX(CG11,BL11,AQ11,V11)/1,DATEDIF(CA11,'Cap Table'!$CC$60,"y"),0,-MAX(CC11,BH11,AM11,R11))/(MAX(CF11,BK11,AP11,U11)/'Cap Table'!$CC$61),CP11),CP11),0)</f>
        <v>0</v>
      </c>
      <c r="CT11" s="147">
        <f t="shared" ca="1" si="31"/>
        <v>0</v>
      </c>
      <c r="CV11" s="168">
        <f t="shared" ca="1" si="67"/>
        <v>45308</v>
      </c>
      <c r="CW11" s="168" t="str">
        <f t="shared" si="68"/>
        <v>Equity</v>
      </c>
      <c r="CX11" s="169">
        <v>0</v>
      </c>
      <c r="CY11" s="169">
        <f>IF('Cap Table'!CX$79&lt;&gt;"na",IF(CB11='Cap Table'!$B$40,CC11-CD11,0),0)</f>
        <v>0</v>
      </c>
      <c r="CZ11" s="171">
        <f t="shared" si="32"/>
        <v>0</v>
      </c>
      <c r="DA11" s="169">
        <f t="shared" si="33"/>
        <v>0</v>
      </c>
      <c r="DB11" s="172">
        <f t="shared" si="34"/>
        <v>0</v>
      </c>
      <c r="DC11" s="170">
        <f ca="1">FV(DB11/1,DATEDIF(CV11,'Cap Table'!CX$60,"y"),0,-CY11)</f>
        <v>0</v>
      </c>
      <c r="DD11" s="170">
        <f ca="1">IF('Cap Table'!CX$80="no",IFERROR(DC11/(1-CZ11),0),IFERROR(DC11/(1-(MAX(CZ11,('Cap Table'!CX$62-DA11/'Cap Table'!CX$61)/'Cap Table'!CX$62))),0))</f>
        <v>0</v>
      </c>
      <c r="DE11" s="146">
        <f t="shared" ca="1" si="35"/>
        <v>0</v>
      </c>
      <c r="DF11" s="149">
        <f ca="1">IF(AND('Cap Table'!CX$62=0,DC11&gt;0),DA11/'Cap Table'!CX$61,IFERROR(IF(DA11=0,'Cap Table'!CX$62*(1-CZ11),MIN('Cap Table'!CX$62*(1-CZ11),DA11/'Cap Table'!CX$61)),0))</f>
        <v>0</v>
      </c>
      <c r="DG11" s="170">
        <f t="shared" ca="1" si="83"/>
        <v>0</v>
      </c>
      <c r="DH11" s="170">
        <v>0</v>
      </c>
      <c r="DI11" s="146">
        <f t="shared" ca="1" si="36"/>
        <v>0</v>
      </c>
      <c r="DJ11" s="146">
        <f t="shared" si="36"/>
        <v>0</v>
      </c>
      <c r="DK11" s="146">
        <f t="shared" ca="1" si="69"/>
        <v>0</v>
      </c>
      <c r="DL11" s="147">
        <f t="shared" ca="1" si="37"/>
        <v>0</v>
      </c>
      <c r="DM11" s="146">
        <f ca="1">DK11*'Cap Table'!CX$62</f>
        <v>0</v>
      </c>
      <c r="DN11" s="173">
        <f ca="1">IFERROR(IF(OR(CW11='Cap Table'!$B$40,CW11='Cap Table'!$B$41,CW11='Cap Table'!$B$42),IF(SUM(CY11,CD11,BI11,AN11,S11,)&lt;SUM(CX11,CC11,BH11,AM11,R11),FV(MAX(DB11,CG11,BL11,AQ11,V11)/1,DATEDIF(CV11,'Cap Table'!$CX$60,"y"),0,-MAX(CX11,CC11,BH11,AM11,R11))/(MAX(DA11,CF11,BK11,AP11,U11,)/'Cap Table'!$CX$61),DK11),DK11),0)</f>
        <v>0</v>
      </c>
      <c r="DO11" s="147">
        <f t="shared" ca="1" si="38"/>
        <v>0</v>
      </c>
      <c r="DQ11" s="168">
        <f t="shared" ca="1" si="70"/>
        <v>45674</v>
      </c>
      <c r="DR11" s="168" t="str">
        <f t="shared" si="71"/>
        <v>Equity</v>
      </c>
      <c r="DS11" s="169">
        <v>0</v>
      </c>
      <c r="DT11" s="169">
        <f>IF('Cap Table'!DS$79&lt;&gt;"na",IF(CW11='Cap Table'!$B$40,CX11-CY11,0),0)</f>
        <v>0</v>
      </c>
      <c r="DU11" s="171">
        <f t="shared" si="86"/>
        <v>0</v>
      </c>
      <c r="DV11" s="169">
        <f t="shared" si="87"/>
        <v>0</v>
      </c>
      <c r="DW11" s="172">
        <f t="shared" si="88"/>
        <v>0</v>
      </c>
      <c r="DX11" s="170">
        <f ca="1">FV(DW11/1,DATEDIF(DQ11,'Cap Table'!DS$60,"y"),0,-DT11)</f>
        <v>0</v>
      </c>
      <c r="DY11" s="170">
        <f ca="1">IF('Cap Table'!DS$80="no",IFERROR(DX11/(1-DU11),0),IFERROR(DX11/(1-(MAX(DU11,('Cap Table'!DS$62-DV11/'Cap Table'!DS$61)/'Cap Table'!DS$62))),0))</f>
        <v>0</v>
      </c>
      <c r="DZ11" s="146">
        <f t="shared" ca="1" si="42"/>
        <v>0</v>
      </c>
      <c r="EA11" s="149">
        <f ca="1">IF(AND('Cap Table'!DS$62=0,DX11&gt;0),DV11/'Cap Table'!DS$61,IFERROR(IF(DV11=0,'Cap Table'!DS$62*(1-DU11),MIN('Cap Table'!DS$62*(1-DU11),DV11/'Cap Table'!DS$61)),0))</f>
        <v>0</v>
      </c>
      <c r="EB11" s="170">
        <f t="shared" ca="1" si="84"/>
        <v>0</v>
      </c>
      <c r="EC11" s="170">
        <v>0</v>
      </c>
      <c r="ED11" s="146">
        <f t="shared" ca="1" si="72"/>
        <v>0</v>
      </c>
      <c r="EE11" s="146">
        <f t="shared" si="43"/>
        <v>0</v>
      </c>
      <c r="EF11" s="146">
        <f t="shared" ca="1" si="73"/>
        <v>0</v>
      </c>
      <c r="EG11" s="147">
        <f t="shared" ca="1" si="44"/>
        <v>0</v>
      </c>
      <c r="EH11" s="146">
        <f ca="1">EF11*'Cap Table'!DS$62</f>
        <v>0</v>
      </c>
      <c r="EI11" s="173">
        <f ca="1">IFERROR(IF(OR(DR11='Cap Table'!$B$40,DR11='Cap Table'!$B$41,DR11='Cap Table'!$B$42),IF(SUM(DT11,CY11,CD11,BI11,AN11,S11)&lt;SUM(DS11,CX11,CC11,BH11,AM11,R11),FV(MAX(DW11,DB11,CG11,BL11,AQ11,V11)/1,DATEDIF(DQ11,'Cap Table'!DS$60,"y"),0,-MAX(DS11,CX11,CC11,BH11,AM11,R11))/(MAX(DV11,DA11,CF11,BK11,AP11,U11)/'Cap Table'!$DS$61),EF11),EF11),0)</f>
        <v>0</v>
      </c>
      <c r="EJ11" s="147">
        <f t="shared" ca="1" si="45"/>
        <v>0</v>
      </c>
      <c r="EL11" s="146">
        <f t="shared" si="74"/>
        <v>0</v>
      </c>
      <c r="EM11" s="146">
        <f t="shared" si="74"/>
        <v>0</v>
      </c>
      <c r="EN11" s="174" t="s">
        <v>27</v>
      </c>
      <c r="EO11" s="174" t="s">
        <v>27</v>
      </c>
      <c r="EP11" s="174" t="s">
        <v>27</v>
      </c>
      <c r="EQ11" s="146">
        <f t="shared" ca="1" si="75"/>
        <v>0</v>
      </c>
      <c r="ER11" s="146">
        <f t="shared" ca="1" si="75"/>
        <v>0</v>
      </c>
      <c r="ES11" s="146">
        <f t="shared" ca="1" si="75"/>
        <v>0</v>
      </c>
      <c r="ET11" s="149">
        <f t="shared" ca="1" si="89"/>
        <v>0</v>
      </c>
      <c r="EU11" s="146">
        <f t="shared" ca="1" si="76"/>
        <v>0</v>
      </c>
      <c r="EV11" s="146">
        <f t="shared" si="76"/>
        <v>0</v>
      </c>
      <c r="EW11" s="146">
        <f t="shared" ca="1" si="77"/>
        <v>0</v>
      </c>
      <c r="EX11" s="146">
        <f t="shared" si="77"/>
        <v>0</v>
      </c>
      <c r="EY11" s="146">
        <f t="shared" ca="1" si="77"/>
        <v>0</v>
      </c>
      <c r="EZ11" s="147">
        <f t="shared" ca="1" si="46"/>
        <v>0</v>
      </c>
      <c r="FA11" s="146">
        <f t="shared" ca="1" si="78"/>
        <v>0</v>
      </c>
      <c r="FB11" s="146">
        <f t="shared" ca="1" si="78"/>
        <v>0</v>
      </c>
      <c r="FC11" s="147">
        <f t="shared" ca="1" si="47"/>
        <v>0</v>
      </c>
      <c r="FE11" s="149" t="str">
        <f t="shared" si="0"/>
        <v>Common</v>
      </c>
      <c r="FF11" s="146">
        <f t="shared" ca="1" si="48"/>
        <v>0</v>
      </c>
      <c r="FG11" s="146">
        <f t="shared" ca="1" si="49"/>
        <v>0</v>
      </c>
      <c r="FH11" s="146">
        <f t="shared" ca="1" si="50"/>
        <v>0</v>
      </c>
      <c r="FJ11" s="146" t="str">
        <f t="shared" si="51"/>
        <v>Common</v>
      </c>
      <c r="FK11" s="174" t="str">
        <f t="shared" ca="1" si="52"/>
        <v>na</v>
      </c>
      <c r="FL11" s="174" t="str">
        <f t="shared" ca="1" si="52"/>
        <v>na</v>
      </c>
      <c r="FM11" s="174" t="str">
        <f t="shared" ca="1" si="53"/>
        <v>na</v>
      </c>
    </row>
    <row r="12" spans="2:169">
      <c r="B12" s="145" t="s">
        <v>27</v>
      </c>
      <c r="D12" s="167" t="s">
        <v>27</v>
      </c>
      <c r="E12" s="167" t="str">
        <f t="shared" si="54"/>
        <v>Common</v>
      </c>
      <c r="G12" s="168">
        <f t="shared" ca="1" si="1"/>
        <v>43482</v>
      </c>
      <c r="H12" s="289" t="str">
        <f t="shared" si="2"/>
        <v>Equity</v>
      </c>
      <c r="I12" s="169">
        <v>0</v>
      </c>
      <c r="J12" s="170">
        <v>0</v>
      </c>
      <c r="K12" s="170">
        <f t="shared" si="55"/>
        <v>0</v>
      </c>
      <c r="L12" s="147">
        <f t="shared" si="3"/>
        <v>0</v>
      </c>
      <c r="M12" s="170">
        <f t="shared" si="56"/>
        <v>0</v>
      </c>
      <c r="N12" s="147">
        <f t="shared" si="4"/>
        <v>0</v>
      </c>
      <c r="O12" s="147"/>
      <c r="P12" s="168">
        <f t="shared" ca="1" si="85"/>
        <v>43847</v>
      </c>
      <c r="Q12" s="289" t="str">
        <f t="shared" si="5"/>
        <v>Equity</v>
      </c>
      <c r="R12" s="169">
        <v>0</v>
      </c>
      <c r="S12" s="169">
        <v>0</v>
      </c>
      <c r="T12" s="171">
        <v>0</v>
      </c>
      <c r="U12" s="145">
        <v>0</v>
      </c>
      <c r="V12" s="172">
        <v>0</v>
      </c>
      <c r="W12" s="170">
        <f ca="1">FV(V12/1,DATEDIF(P12,'Cap Table'!R$60,"y"),0,-S12)</f>
        <v>0</v>
      </c>
      <c r="X12" s="170">
        <f t="shared" ca="1" si="6"/>
        <v>0</v>
      </c>
      <c r="Y12" s="146">
        <f t="shared" ca="1" si="7"/>
        <v>0</v>
      </c>
      <c r="Z12" s="149">
        <f ca="1">IF(AND('Cap Table'!R$62=0,W12&gt;0),U12/'Cap Table'!R$61,IFERROR(IF(U12=0,'Cap Table'!R$62*(1-T12),MIN('Cap Table'!R$62*(1-T12),U12/'Cap Table'!R$61)),0))</f>
        <v>0</v>
      </c>
      <c r="AA12" s="170">
        <f t="shared" ca="1" si="79"/>
        <v>0</v>
      </c>
      <c r="AB12" s="170">
        <v>0</v>
      </c>
      <c r="AC12" s="146">
        <f t="shared" ca="1" si="8"/>
        <v>0</v>
      </c>
      <c r="AD12" s="146">
        <f t="shared" si="8"/>
        <v>0</v>
      </c>
      <c r="AE12" s="146">
        <f t="shared" ca="1" si="57"/>
        <v>0</v>
      </c>
      <c r="AF12" s="147">
        <f t="shared" ca="1" si="9"/>
        <v>0</v>
      </c>
      <c r="AG12" s="146">
        <f ca="1">AE12*'Cap Table'!R$62</f>
        <v>0</v>
      </c>
      <c r="AH12" s="146">
        <f ca="1">IFERROR(IF(OR(Q12='Cap Table'!$B$40,Q12='Cap Table'!$B$41,Q12='Cap Table'!$B$42),IF(SUM(S12)&lt;SUM(R12),(FV(V12/1,DATEDIF(P12,'Cap Table'!R$60,"y"),0,-R12))/(U12/'Cap Table'!$R$61),AE12),AE12),0)</f>
        <v>0</v>
      </c>
      <c r="AI12" s="147">
        <f t="shared" ca="1" si="10"/>
        <v>0</v>
      </c>
      <c r="AK12" s="168">
        <f t="shared" ca="1" si="58"/>
        <v>44213</v>
      </c>
      <c r="AL12" s="168" t="str">
        <f t="shared" si="59"/>
        <v>Equity</v>
      </c>
      <c r="AM12" s="169">
        <v>0</v>
      </c>
      <c r="AN12" s="169">
        <f>IF('Cap Table'!AM$79&lt;&gt;"na",IF(Q12='Cap Table'!$B$40,R12-S12,0),0)</f>
        <v>0</v>
      </c>
      <c r="AO12" s="171">
        <f t="shared" si="11"/>
        <v>0</v>
      </c>
      <c r="AP12" s="169">
        <f t="shared" si="12"/>
        <v>0</v>
      </c>
      <c r="AQ12" s="172">
        <f t="shared" si="13"/>
        <v>0</v>
      </c>
      <c r="AR12" s="170">
        <f ca="1">FV(AQ12/1,DATEDIF(AK12,'Cap Table'!AM$60,"y"),0,-AN12)</f>
        <v>0</v>
      </c>
      <c r="AS12" s="170">
        <f ca="1">IF('Cap Table'!AM$80="no",IFERROR(AR12/(1-AO12),0),IFERROR(AR12/(1-(MAX(AO12,('Cap Table'!AM$62-AP12/'Cap Table'!AM$61)/'Cap Table'!AM$62))),0))</f>
        <v>0</v>
      </c>
      <c r="AT12" s="146">
        <f t="shared" ca="1" si="14"/>
        <v>0</v>
      </c>
      <c r="AU12" s="149">
        <f ca="1">IF(AND('Cap Table'!AM$62=0,AR12&gt;0),AP12/'Cap Table'!AM$61,IFERROR(IF(AP12=0,'Cap Table'!AM$62*(1-AO12),MIN('Cap Table'!AM$62*(1-AO12),AP12/'Cap Table'!AM$61)),0))</f>
        <v>0</v>
      </c>
      <c r="AV12" s="170">
        <f t="shared" ca="1" si="80"/>
        <v>0</v>
      </c>
      <c r="AW12" s="170">
        <v>0</v>
      </c>
      <c r="AX12" s="146">
        <f t="shared" ca="1" si="15"/>
        <v>0</v>
      </c>
      <c r="AY12" s="146">
        <f t="shared" si="15"/>
        <v>0</v>
      </c>
      <c r="AZ12" s="146">
        <f t="shared" ca="1" si="60"/>
        <v>0</v>
      </c>
      <c r="BA12" s="147">
        <f t="shared" ca="1" si="16"/>
        <v>0</v>
      </c>
      <c r="BB12" s="146">
        <f ca="1">AZ12*'Cap Table'!AM$62</f>
        <v>0</v>
      </c>
      <c r="BC12" s="173">
        <f ca="1">IFERROR(IF(OR(AL12='Cap Table'!$B$40,AL12='Cap Table'!$B$41,AL12='Cap Table'!$B$42),IF(SUM(AN12,S12)&lt;SUM(AM12,R12),FV(MAX(AQ12,V12)/1,DATEDIF(AK12,'Cap Table'!$AM$60,"y"),0,-MAX(AM12,R12))/(MAX(AP12,U12)/'Cap Table'!$AM$61),AZ12),AZ12),0)</f>
        <v>0</v>
      </c>
      <c r="BD12" s="147">
        <f t="shared" ca="1" si="17"/>
        <v>0</v>
      </c>
      <c r="BF12" s="168">
        <f t="shared" ca="1" si="61"/>
        <v>44578</v>
      </c>
      <c r="BG12" s="168" t="str">
        <f t="shared" si="62"/>
        <v>Equity</v>
      </c>
      <c r="BH12" s="169">
        <v>0</v>
      </c>
      <c r="BI12" s="169">
        <f>IF('Cap Table'!BH$79&lt;&gt;"na",IF(AL12='Cap Table'!$B$40,AM12-AN12,0),0)</f>
        <v>0</v>
      </c>
      <c r="BJ12" s="171">
        <f t="shared" si="18"/>
        <v>0</v>
      </c>
      <c r="BK12" s="169">
        <f t="shared" si="19"/>
        <v>0</v>
      </c>
      <c r="BL12" s="172">
        <f t="shared" si="20"/>
        <v>0</v>
      </c>
      <c r="BM12" s="170">
        <f ca="1">FV(BL12/1,DATEDIF(BF12,'Cap Table'!BH$60,"y"),0,-BI12)</f>
        <v>0</v>
      </c>
      <c r="BN12" s="170">
        <f ca="1">IF('Cap Table'!BH$80="no",IFERROR(BM12/(1-BJ12),0),IFERROR(BM12/(1-(MAX(BJ12,('Cap Table'!BH$62-BK12/'Cap Table'!BH$61)/'Cap Table'!BH$62))),0))</f>
        <v>0</v>
      </c>
      <c r="BO12" s="146">
        <f t="shared" ca="1" si="21"/>
        <v>0</v>
      </c>
      <c r="BP12" s="149">
        <f ca="1">IF(AND('Cap Table'!BH$62=0,BM12&gt;0),BK12/'Cap Table'!BH$61,IFERROR(IF(BK12=0,'Cap Table'!BH$62*(1-BJ12),MIN('Cap Table'!BH$62*(1-BJ12),BK12/'Cap Table'!BH$61)),0))</f>
        <v>0</v>
      </c>
      <c r="BQ12" s="170">
        <f t="shared" ca="1" si="81"/>
        <v>0</v>
      </c>
      <c r="BR12" s="170">
        <v>0</v>
      </c>
      <c r="BS12" s="146">
        <f t="shared" ca="1" si="22"/>
        <v>0</v>
      </c>
      <c r="BT12" s="146">
        <f t="shared" si="22"/>
        <v>0</v>
      </c>
      <c r="BU12" s="146">
        <f t="shared" ca="1" si="63"/>
        <v>0</v>
      </c>
      <c r="BV12" s="147">
        <f t="shared" ca="1" si="23"/>
        <v>0</v>
      </c>
      <c r="BW12" s="146">
        <f ca="1">BU12*'Cap Table'!BH$62</f>
        <v>0</v>
      </c>
      <c r="BX12" s="173">
        <f ca="1">IFERROR(IF(OR(BG12='Cap Table'!$B$40,BG12='Cap Table'!$B$41,BG12='Cap Table'!$B$42),IF(SUM(BI12,AN12,S12)&lt;SUM(BH12,AM12,R12),FV(MAX(BL12,AQ12,V12)/1,DATEDIF(BF12,'Cap Table'!$BH$60,"y"),0,-MAX(BH12,AM12,R12))/(MAX(BK12,AP12,U12)/'Cap Table'!$BH$61),BU12),BU12),0)</f>
        <v>0</v>
      </c>
      <c r="BY12" s="147">
        <f t="shared" ca="1" si="24"/>
        <v>0</v>
      </c>
      <c r="CA12" s="168">
        <f t="shared" ca="1" si="64"/>
        <v>44943</v>
      </c>
      <c r="CB12" s="168" t="str">
        <f t="shared" si="65"/>
        <v>Equity</v>
      </c>
      <c r="CC12" s="169">
        <v>0</v>
      </c>
      <c r="CD12" s="169">
        <f>IF('Cap Table'!CC$79&lt;&gt;"na",IF(BG12='Cap Table'!$B$40,BH12-BI12,0),0)</f>
        <v>0</v>
      </c>
      <c r="CE12" s="171">
        <f t="shared" si="25"/>
        <v>0</v>
      </c>
      <c r="CF12" s="169">
        <f t="shared" si="26"/>
        <v>0</v>
      </c>
      <c r="CG12" s="172">
        <f t="shared" si="27"/>
        <v>0</v>
      </c>
      <c r="CH12" s="170">
        <f ca="1">FV(CG12/1,DATEDIF(CA12,'Cap Table'!CC$60,"y"),0,-CD12)</f>
        <v>0</v>
      </c>
      <c r="CI12" s="170">
        <f ca="1">IF('Cap Table'!CC$80="no",IFERROR(CH12/(1-CE12),0),IFERROR(CH12/(1-(MAX(CE12,('Cap Table'!CC$62-CF12/'Cap Table'!CC$61)/'Cap Table'!CC$62))),0))</f>
        <v>0</v>
      </c>
      <c r="CJ12" s="146">
        <f t="shared" ca="1" si="28"/>
        <v>0</v>
      </c>
      <c r="CK12" s="149">
        <f ca="1">IF(AND('Cap Table'!CC$62=0,CH12&gt;0),CF12/'Cap Table'!CC$61,IFERROR(IF(CF12=0,'Cap Table'!CC$62*(1-CE12),MIN('Cap Table'!CC$62*(1-CE12),CF12/'Cap Table'!CC$61)),0))</f>
        <v>0</v>
      </c>
      <c r="CL12" s="170">
        <f t="shared" ca="1" si="82"/>
        <v>0</v>
      </c>
      <c r="CM12" s="170">
        <v>0</v>
      </c>
      <c r="CN12" s="146">
        <f t="shared" ca="1" si="29"/>
        <v>0</v>
      </c>
      <c r="CO12" s="146">
        <f t="shared" si="29"/>
        <v>0</v>
      </c>
      <c r="CP12" s="146">
        <f t="shared" ca="1" si="66"/>
        <v>0</v>
      </c>
      <c r="CQ12" s="147">
        <f t="shared" ca="1" si="30"/>
        <v>0</v>
      </c>
      <c r="CR12" s="146">
        <f ca="1">CP12*'Cap Table'!CC$62</f>
        <v>0</v>
      </c>
      <c r="CS12" s="173">
        <f ca="1">IFERROR(IF(OR(CB12='Cap Table'!$B$40,CB12='Cap Table'!$B$41,CB12='Cap Table'!$B$42),IF(SUM(CD12,BI12,AN12,S12)&lt;SUM(CC12,BH12,AM12,R12),FV(MAX(CG12,BL12,AQ12,V12)/1,DATEDIF(CA12,'Cap Table'!$CC$60,"y"),0,-MAX(CC12,BH12,AM12,R12))/(MAX(CF12,BK12,AP12,U12)/'Cap Table'!$CC$61),CP12),CP12),0)</f>
        <v>0</v>
      </c>
      <c r="CT12" s="147">
        <f t="shared" ca="1" si="31"/>
        <v>0</v>
      </c>
      <c r="CV12" s="168">
        <f t="shared" ca="1" si="67"/>
        <v>45308</v>
      </c>
      <c r="CW12" s="168" t="str">
        <f t="shared" si="68"/>
        <v>Equity</v>
      </c>
      <c r="CX12" s="169">
        <v>0</v>
      </c>
      <c r="CY12" s="169">
        <f>IF('Cap Table'!CX$79&lt;&gt;"na",IF(CB12='Cap Table'!$B$40,CC12-CD12,0),0)</f>
        <v>0</v>
      </c>
      <c r="CZ12" s="171">
        <f t="shared" si="32"/>
        <v>0</v>
      </c>
      <c r="DA12" s="169">
        <f t="shared" si="33"/>
        <v>0</v>
      </c>
      <c r="DB12" s="172">
        <f t="shared" si="34"/>
        <v>0</v>
      </c>
      <c r="DC12" s="170">
        <f ca="1">FV(DB12/1,DATEDIF(CV12,'Cap Table'!CX$60,"y"),0,-CY12)</f>
        <v>0</v>
      </c>
      <c r="DD12" s="170">
        <f ca="1">IF('Cap Table'!CX$80="no",IFERROR(DC12/(1-CZ12),0),IFERROR(DC12/(1-(MAX(CZ12,('Cap Table'!CX$62-DA12/'Cap Table'!CX$61)/'Cap Table'!CX$62))),0))</f>
        <v>0</v>
      </c>
      <c r="DE12" s="146">
        <f t="shared" ca="1" si="35"/>
        <v>0</v>
      </c>
      <c r="DF12" s="149">
        <f ca="1">IF(AND('Cap Table'!CX$62=0,DC12&gt;0),DA12/'Cap Table'!CX$61,IFERROR(IF(DA12=0,'Cap Table'!CX$62*(1-CZ12),MIN('Cap Table'!CX$62*(1-CZ12),DA12/'Cap Table'!CX$61)),0))</f>
        <v>0</v>
      </c>
      <c r="DG12" s="170">
        <f t="shared" ca="1" si="83"/>
        <v>0</v>
      </c>
      <c r="DH12" s="170">
        <v>0</v>
      </c>
      <c r="DI12" s="146">
        <f t="shared" ca="1" si="36"/>
        <v>0</v>
      </c>
      <c r="DJ12" s="146">
        <f t="shared" si="36"/>
        <v>0</v>
      </c>
      <c r="DK12" s="146">
        <f t="shared" ca="1" si="69"/>
        <v>0</v>
      </c>
      <c r="DL12" s="147">
        <f t="shared" ca="1" si="37"/>
        <v>0</v>
      </c>
      <c r="DM12" s="146">
        <f ca="1">DK12*'Cap Table'!CX$62</f>
        <v>0</v>
      </c>
      <c r="DN12" s="173">
        <f ca="1">IFERROR(IF(OR(CW12='Cap Table'!$B$40,CW12='Cap Table'!$B$41,CW12='Cap Table'!$B$42),IF(SUM(CY12,CD12,BI12,AN12,S12,)&lt;SUM(CX12,CC12,BH12,AM12,R12),FV(MAX(DB12,CG12,BL12,AQ12,V12)/1,DATEDIF(CV12,'Cap Table'!$CX$60,"y"),0,-MAX(CX12,CC12,BH12,AM12,R12))/(MAX(DA12,CF12,BK12,AP12,U12,)/'Cap Table'!$CX$61),DK12),DK12),0)</f>
        <v>0</v>
      </c>
      <c r="DO12" s="147">
        <f t="shared" ca="1" si="38"/>
        <v>0</v>
      </c>
      <c r="DQ12" s="168">
        <f t="shared" ca="1" si="70"/>
        <v>45674</v>
      </c>
      <c r="DR12" s="168" t="str">
        <f t="shared" si="71"/>
        <v>Equity</v>
      </c>
      <c r="DS12" s="169">
        <v>0</v>
      </c>
      <c r="DT12" s="169">
        <f>IF('Cap Table'!DS$79&lt;&gt;"na",IF(CW12='Cap Table'!$B$40,CX12-CY12,0),0)</f>
        <v>0</v>
      </c>
      <c r="DU12" s="171">
        <f t="shared" si="86"/>
        <v>0</v>
      </c>
      <c r="DV12" s="169">
        <f t="shared" si="87"/>
        <v>0</v>
      </c>
      <c r="DW12" s="172">
        <f t="shared" si="88"/>
        <v>0</v>
      </c>
      <c r="DX12" s="170">
        <f ca="1">FV(DW12/1,DATEDIF(DQ12,'Cap Table'!DS$60,"y"),0,-DT12)</f>
        <v>0</v>
      </c>
      <c r="DY12" s="170">
        <f ca="1">IF('Cap Table'!DS$80="no",IFERROR(DX12/(1-DU12),0),IFERROR(DX12/(1-(MAX(DU12,('Cap Table'!DS$62-DV12/'Cap Table'!DS$61)/'Cap Table'!DS$62))),0))</f>
        <v>0</v>
      </c>
      <c r="DZ12" s="146">
        <f t="shared" ca="1" si="42"/>
        <v>0</v>
      </c>
      <c r="EA12" s="149">
        <f ca="1">IF(AND('Cap Table'!DS$62=0,DX12&gt;0),DV12/'Cap Table'!DS$61,IFERROR(IF(DV12=0,'Cap Table'!DS$62*(1-DU12),MIN('Cap Table'!DS$62*(1-DU12),DV12/'Cap Table'!DS$61)),0))</f>
        <v>0</v>
      </c>
      <c r="EB12" s="170">
        <f t="shared" ca="1" si="84"/>
        <v>0</v>
      </c>
      <c r="EC12" s="170">
        <v>0</v>
      </c>
      <c r="ED12" s="146">
        <f t="shared" ca="1" si="72"/>
        <v>0</v>
      </c>
      <c r="EE12" s="146">
        <f t="shared" si="43"/>
        <v>0</v>
      </c>
      <c r="EF12" s="146">
        <f t="shared" ca="1" si="73"/>
        <v>0</v>
      </c>
      <c r="EG12" s="147">
        <f t="shared" ca="1" si="44"/>
        <v>0</v>
      </c>
      <c r="EH12" s="146">
        <f ca="1">EF12*'Cap Table'!DS$62</f>
        <v>0</v>
      </c>
      <c r="EI12" s="173">
        <f ca="1">IFERROR(IF(OR(DR12='Cap Table'!$B$40,DR12='Cap Table'!$B$41,DR12='Cap Table'!$B$42),IF(SUM(DT12,CY12,CD12,BI12,AN12,S12)&lt;SUM(DS12,CX12,CC12,BH12,AM12,R12),FV(MAX(DW12,DB12,CG12,BL12,AQ12,V12)/1,DATEDIF(DQ12,'Cap Table'!DS$60,"y"),0,-MAX(DS12,CX12,CC12,BH12,AM12,R12))/(MAX(DV12,DA12,CF12,BK12,AP12,U12)/'Cap Table'!$DS$61),EF12),EF12),0)</f>
        <v>0</v>
      </c>
      <c r="EJ12" s="147">
        <f t="shared" ca="1" si="45"/>
        <v>0</v>
      </c>
      <c r="EL12" s="146">
        <f t="shared" si="74"/>
        <v>0</v>
      </c>
      <c r="EM12" s="146">
        <f t="shared" si="74"/>
        <v>0</v>
      </c>
      <c r="EN12" s="174" t="s">
        <v>27</v>
      </c>
      <c r="EO12" s="174" t="s">
        <v>27</v>
      </c>
      <c r="EP12" s="174" t="s">
        <v>27</v>
      </c>
      <c r="EQ12" s="146">
        <f t="shared" ca="1" si="75"/>
        <v>0</v>
      </c>
      <c r="ER12" s="146">
        <f t="shared" ca="1" si="75"/>
        <v>0</v>
      </c>
      <c r="ES12" s="146">
        <f t="shared" ca="1" si="75"/>
        <v>0</v>
      </c>
      <c r="ET12" s="149">
        <f t="shared" ca="1" si="89"/>
        <v>0</v>
      </c>
      <c r="EU12" s="146">
        <f t="shared" ca="1" si="76"/>
        <v>0</v>
      </c>
      <c r="EV12" s="146">
        <f t="shared" si="76"/>
        <v>0</v>
      </c>
      <c r="EW12" s="146">
        <f t="shared" ca="1" si="77"/>
        <v>0</v>
      </c>
      <c r="EX12" s="146">
        <f t="shared" si="77"/>
        <v>0</v>
      </c>
      <c r="EY12" s="146">
        <f t="shared" ca="1" si="77"/>
        <v>0</v>
      </c>
      <c r="EZ12" s="147">
        <f t="shared" ca="1" si="46"/>
        <v>0</v>
      </c>
      <c r="FA12" s="146">
        <f t="shared" ca="1" si="78"/>
        <v>0</v>
      </c>
      <c r="FB12" s="146">
        <f t="shared" ca="1" si="78"/>
        <v>0</v>
      </c>
      <c r="FC12" s="147">
        <f t="shared" ca="1" si="47"/>
        <v>0</v>
      </c>
      <c r="FE12" s="149" t="str">
        <f t="shared" si="0"/>
        <v>Common</v>
      </c>
      <c r="FF12" s="146">
        <f t="shared" ca="1" si="48"/>
        <v>0</v>
      </c>
      <c r="FG12" s="146">
        <f t="shared" ca="1" si="49"/>
        <v>0</v>
      </c>
      <c r="FH12" s="146">
        <f t="shared" ca="1" si="50"/>
        <v>0</v>
      </c>
      <c r="FJ12" s="146" t="str">
        <f t="shared" si="51"/>
        <v>Common</v>
      </c>
      <c r="FK12" s="174" t="str">
        <f t="shared" ca="1" si="52"/>
        <v>na</v>
      </c>
      <c r="FL12" s="174" t="str">
        <f t="shared" ca="1" si="52"/>
        <v>na</v>
      </c>
      <c r="FM12" s="174" t="str">
        <f t="shared" ca="1" si="53"/>
        <v>na</v>
      </c>
    </row>
    <row r="13" spans="2:169">
      <c r="B13" s="145" t="s">
        <v>27</v>
      </c>
      <c r="D13" s="167" t="s">
        <v>27</v>
      </c>
      <c r="E13" s="167" t="str">
        <f t="shared" si="54"/>
        <v>Common</v>
      </c>
      <c r="G13" s="168">
        <f t="shared" ca="1" si="1"/>
        <v>43482</v>
      </c>
      <c r="H13" s="289" t="str">
        <f t="shared" si="2"/>
        <v>Equity</v>
      </c>
      <c r="I13" s="169">
        <v>0</v>
      </c>
      <c r="J13" s="170">
        <v>0</v>
      </c>
      <c r="K13" s="170">
        <f t="shared" si="55"/>
        <v>0</v>
      </c>
      <c r="L13" s="147">
        <f t="shared" si="3"/>
        <v>0</v>
      </c>
      <c r="M13" s="170">
        <f t="shared" si="56"/>
        <v>0</v>
      </c>
      <c r="N13" s="147">
        <f t="shared" si="4"/>
        <v>0</v>
      </c>
      <c r="O13" s="147"/>
      <c r="P13" s="168">
        <f t="shared" ca="1" si="85"/>
        <v>43847</v>
      </c>
      <c r="Q13" s="289" t="str">
        <f t="shared" si="5"/>
        <v>Equity</v>
      </c>
      <c r="R13" s="169">
        <v>0</v>
      </c>
      <c r="S13" s="169">
        <v>0</v>
      </c>
      <c r="T13" s="171">
        <v>0</v>
      </c>
      <c r="U13" s="145">
        <v>0</v>
      </c>
      <c r="V13" s="172">
        <v>0</v>
      </c>
      <c r="W13" s="170">
        <f ca="1">FV(V13/1,DATEDIF(P13,'Cap Table'!R$60,"y"),0,-S13)</f>
        <v>0</v>
      </c>
      <c r="X13" s="170">
        <f t="shared" ca="1" si="6"/>
        <v>0</v>
      </c>
      <c r="Y13" s="146">
        <f t="shared" ca="1" si="7"/>
        <v>0</v>
      </c>
      <c r="Z13" s="149">
        <f ca="1">IF(AND('Cap Table'!R$62=0,W13&gt;0),U13/'Cap Table'!R$61,IFERROR(IF(U13=0,'Cap Table'!R$62*(1-T13),MIN('Cap Table'!R$62*(1-T13),U13/'Cap Table'!R$61)),0))</f>
        <v>0</v>
      </c>
      <c r="AA13" s="170">
        <f t="shared" ca="1" si="79"/>
        <v>0</v>
      </c>
      <c r="AB13" s="170">
        <v>0</v>
      </c>
      <c r="AC13" s="146">
        <f t="shared" ca="1" si="8"/>
        <v>0</v>
      </c>
      <c r="AD13" s="146">
        <f t="shared" si="8"/>
        <v>0</v>
      </c>
      <c r="AE13" s="146">
        <f t="shared" ca="1" si="57"/>
        <v>0</v>
      </c>
      <c r="AF13" s="147">
        <f t="shared" ca="1" si="9"/>
        <v>0</v>
      </c>
      <c r="AG13" s="146">
        <f ca="1">AE13*'Cap Table'!R$62</f>
        <v>0</v>
      </c>
      <c r="AH13" s="146">
        <f ca="1">IFERROR(IF(OR(Q13='Cap Table'!$B$40,Q13='Cap Table'!$B$41,Q13='Cap Table'!$B$42),IF(SUM(S13)&lt;SUM(R13),(FV(V13/1,DATEDIF(P13,'Cap Table'!R$60,"y"),0,-R13))/(U13/'Cap Table'!$R$61),AE13),AE13),0)</f>
        <v>0</v>
      </c>
      <c r="AI13" s="147">
        <f t="shared" ca="1" si="10"/>
        <v>0</v>
      </c>
      <c r="AK13" s="168">
        <f t="shared" ca="1" si="58"/>
        <v>44213</v>
      </c>
      <c r="AL13" s="168" t="str">
        <f t="shared" si="59"/>
        <v>Equity</v>
      </c>
      <c r="AM13" s="169">
        <v>0</v>
      </c>
      <c r="AN13" s="169">
        <f>IF('Cap Table'!AM$79&lt;&gt;"na",IF(Q13='Cap Table'!$B$40,R13-S13,0),0)</f>
        <v>0</v>
      </c>
      <c r="AO13" s="171">
        <f t="shared" si="11"/>
        <v>0</v>
      </c>
      <c r="AP13" s="169">
        <f t="shared" si="12"/>
        <v>0</v>
      </c>
      <c r="AQ13" s="172">
        <f t="shared" si="13"/>
        <v>0</v>
      </c>
      <c r="AR13" s="170">
        <f ca="1">FV(AQ13/1,DATEDIF(AK13,'Cap Table'!AM$60,"y"),0,-AN13)</f>
        <v>0</v>
      </c>
      <c r="AS13" s="170">
        <f ca="1">IF('Cap Table'!AM$80="no",IFERROR(AR13/(1-AO13),0),IFERROR(AR13/(1-(MAX(AO13,('Cap Table'!AM$62-AP13/'Cap Table'!AM$61)/'Cap Table'!AM$62))),0))</f>
        <v>0</v>
      </c>
      <c r="AT13" s="146">
        <f t="shared" ca="1" si="14"/>
        <v>0</v>
      </c>
      <c r="AU13" s="149">
        <f ca="1">IF(AND('Cap Table'!AM$62=0,AR13&gt;0),AP13/'Cap Table'!AM$61,IFERROR(IF(AP13=0,'Cap Table'!AM$62*(1-AO13),MIN('Cap Table'!AM$62*(1-AO13),AP13/'Cap Table'!AM$61)),0))</f>
        <v>0</v>
      </c>
      <c r="AV13" s="170">
        <f t="shared" ca="1" si="80"/>
        <v>0</v>
      </c>
      <c r="AW13" s="170">
        <v>0</v>
      </c>
      <c r="AX13" s="146">
        <f t="shared" ca="1" si="15"/>
        <v>0</v>
      </c>
      <c r="AY13" s="146">
        <f t="shared" si="15"/>
        <v>0</v>
      </c>
      <c r="AZ13" s="146">
        <f t="shared" ca="1" si="60"/>
        <v>0</v>
      </c>
      <c r="BA13" s="147">
        <f t="shared" ca="1" si="16"/>
        <v>0</v>
      </c>
      <c r="BB13" s="146">
        <f ca="1">AZ13*'Cap Table'!AM$62</f>
        <v>0</v>
      </c>
      <c r="BC13" s="173">
        <f ca="1">IFERROR(IF(OR(AL13='Cap Table'!$B$40,AL13='Cap Table'!$B$41,AL13='Cap Table'!$B$42),IF(SUM(AN13,S13)&lt;SUM(AM13,R13),FV(MAX(AQ13,V13)/1,DATEDIF(AK13,'Cap Table'!$AM$60,"y"),0,-MAX(AM13,R13))/(MAX(AP13,U13)/'Cap Table'!$AM$61),AZ13),AZ13),0)</f>
        <v>0</v>
      </c>
      <c r="BD13" s="147">
        <f t="shared" ca="1" si="17"/>
        <v>0</v>
      </c>
      <c r="BF13" s="168">
        <f t="shared" ca="1" si="61"/>
        <v>44578</v>
      </c>
      <c r="BG13" s="168" t="str">
        <f t="shared" si="62"/>
        <v>Equity</v>
      </c>
      <c r="BH13" s="169">
        <v>0</v>
      </c>
      <c r="BI13" s="169">
        <f>IF('Cap Table'!BH$79&lt;&gt;"na",IF(AL13='Cap Table'!$B$40,AM13-AN13,0),0)</f>
        <v>0</v>
      </c>
      <c r="BJ13" s="171">
        <f t="shared" si="18"/>
        <v>0</v>
      </c>
      <c r="BK13" s="169">
        <f t="shared" si="19"/>
        <v>0</v>
      </c>
      <c r="BL13" s="172">
        <f t="shared" si="20"/>
        <v>0</v>
      </c>
      <c r="BM13" s="170">
        <f ca="1">FV(BL13/1,DATEDIF(BF13,'Cap Table'!BH$60,"y"),0,-BI13)</f>
        <v>0</v>
      </c>
      <c r="BN13" s="170">
        <f ca="1">IF('Cap Table'!BH$80="no",IFERROR(BM13/(1-BJ13),0),IFERROR(BM13/(1-(MAX(BJ13,('Cap Table'!BH$62-BK13/'Cap Table'!BH$61)/'Cap Table'!BH$62))),0))</f>
        <v>0</v>
      </c>
      <c r="BO13" s="146">
        <f t="shared" ca="1" si="21"/>
        <v>0</v>
      </c>
      <c r="BP13" s="149">
        <f ca="1">IF(AND('Cap Table'!BH$62=0,BM13&gt;0),BK13/'Cap Table'!BH$61,IFERROR(IF(BK13=0,'Cap Table'!BH$62*(1-BJ13),MIN('Cap Table'!BH$62*(1-BJ13),BK13/'Cap Table'!BH$61)),0))</f>
        <v>0</v>
      </c>
      <c r="BQ13" s="170">
        <f t="shared" ca="1" si="81"/>
        <v>0</v>
      </c>
      <c r="BR13" s="170">
        <v>0</v>
      </c>
      <c r="BS13" s="146">
        <f t="shared" ca="1" si="22"/>
        <v>0</v>
      </c>
      <c r="BT13" s="146">
        <f t="shared" si="22"/>
        <v>0</v>
      </c>
      <c r="BU13" s="146">
        <f t="shared" ca="1" si="63"/>
        <v>0</v>
      </c>
      <c r="BV13" s="147">
        <f t="shared" ca="1" si="23"/>
        <v>0</v>
      </c>
      <c r="BW13" s="146">
        <f ca="1">BU13*'Cap Table'!BH$62</f>
        <v>0</v>
      </c>
      <c r="BX13" s="173">
        <f ca="1">IFERROR(IF(OR(BG13='Cap Table'!$B$40,BG13='Cap Table'!$B$41,BG13='Cap Table'!$B$42),IF(SUM(BI13,AN13,S13)&lt;SUM(BH13,AM13,R13),FV(MAX(BL13,AQ13,V13)/1,DATEDIF(BF13,'Cap Table'!$BH$60,"y"),0,-MAX(BH13,AM13,R13))/(MAX(BK13,AP13,U13)/'Cap Table'!$BH$61),BU13),BU13),0)</f>
        <v>0</v>
      </c>
      <c r="BY13" s="147">
        <f t="shared" ca="1" si="24"/>
        <v>0</v>
      </c>
      <c r="CA13" s="168">
        <f t="shared" ca="1" si="64"/>
        <v>44943</v>
      </c>
      <c r="CB13" s="168" t="str">
        <f t="shared" si="65"/>
        <v>Equity</v>
      </c>
      <c r="CC13" s="169">
        <v>0</v>
      </c>
      <c r="CD13" s="169">
        <f>IF('Cap Table'!CC$79&lt;&gt;"na",IF(BG13='Cap Table'!$B$40,BH13-BI13,0),0)</f>
        <v>0</v>
      </c>
      <c r="CE13" s="171">
        <f t="shared" si="25"/>
        <v>0</v>
      </c>
      <c r="CF13" s="169">
        <f t="shared" si="26"/>
        <v>0</v>
      </c>
      <c r="CG13" s="172">
        <f t="shared" si="27"/>
        <v>0</v>
      </c>
      <c r="CH13" s="170">
        <f ca="1">FV(CG13/1,DATEDIF(CA13,'Cap Table'!CC$60,"y"),0,-CD13)</f>
        <v>0</v>
      </c>
      <c r="CI13" s="170">
        <f ca="1">IF('Cap Table'!CC$80="no",IFERROR(CH13/(1-CE13),0),IFERROR(CH13/(1-(MAX(CE13,('Cap Table'!CC$62-CF13/'Cap Table'!CC$61)/'Cap Table'!CC$62))),0))</f>
        <v>0</v>
      </c>
      <c r="CJ13" s="146">
        <f t="shared" ca="1" si="28"/>
        <v>0</v>
      </c>
      <c r="CK13" s="149">
        <f ca="1">IF(AND('Cap Table'!CC$62=0,CH13&gt;0),CF13/'Cap Table'!CC$61,IFERROR(IF(CF13=0,'Cap Table'!CC$62*(1-CE13),MIN('Cap Table'!CC$62*(1-CE13),CF13/'Cap Table'!CC$61)),0))</f>
        <v>0</v>
      </c>
      <c r="CL13" s="170">
        <f t="shared" ca="1" si="82"/>
        <v>0</v>
      </c>
      <c r="CM13" s="170">
        <v>0</v>
      </c>
      <c r="CN13" s="146">
        <f t="shared" ca="1" si="29"/>
        <v>0</v>
      </c>
      <c r="CO13" s="146">
        <f t="shared" si="29"/>
        <v>0</v>
      </c>
      <c r="CP13" s="146">
        <f t="shared" ca="1" si="66"/>
        <v>0</v>
      </c>
      <c r="CQ13" s="147">
        <f t="shared" ca="1" si="30"/>
        <v>0</v>
      </c>
      <c r="CR13" s="146">
        <f ca="1">CP13*'Cap Table'!CC$62</f>
        <v>0</v>
      </c>
      <c r="CS13" s="173">
        <f ca="1">IFERROR(IF(OR(CB13='Cap Table'!$B$40,CB13='Cap Table'!$B$41,CB13='Cap Table'!$B$42),IF(SUM(CD13,BI13,AN13,S13)&lt;SUM(CC13,BH13,AM13,R13),FV(MAX(CG13,BL13,AQ13,V13)/1,DATEDIF(CA13,'Cap Table'!$CC$60,"y"),0,-MAX(CC13,BH13,AM13,R13))/(MAX(CF13,BK13,AP13,U13)/'Cap Table'!$CC$61),CP13),CP13),0)</f>
        <v>0</v>
      </c>
      <c r="CT13" s="147">
        <f t="shared" ca="1" si="31"/>
        <v>0</v>
      </c>
      <c r="CV13" s="168">
        <f t="shared" ca="1" si="67"/>
        <v>45308</v>
      </c>
      <c r="CW13" s="168" t="str">
        <f t="shared" si="68"/>
        <v>Equity</v>
      </c>
      <c r="CX13" s="169">
        <v>0</v>
      </c>
      <c r="CY13" s="169">
        <f>IF('Cap Table'!CX$79&lt;&gt;"na",IF(CB13='Cap Table'!$B$40,CC13-CD13,0),0)</f>
        <v>0</v>
      </c>
      <c r="CZ13" s="171">
        <f t="shared" si="32"/>
        <v>0</v>
      </c>
      <c r="DA13" s="169">
        <f t="shared" si="33"/>
        <v>0</v>
      </c>
      <c r="DB13" s="172">
        <f t="shared" si="34"/>
        <v>0</v>
      </c>
      <c r="DC13" s="170">
        <f ca="1">FV(DB13/1,DATEDIF(CV13,'Cap Table'!CX$60,"y"),0,-CY13)</f>
        <v>0</v>
      </c>
      <c r="DD13" s="170">
        <f ca="1">IF('Cap Table'!CX$80="no",IFERROR(DC13/(1-CZ13),0),IFERROR(DC13/(1-(MAX(CZ13,('Cap Table'!CX$62-DA13/'Cap Table'!CX$61)/'Cap Table'!CX$62))),0))</f>
        <v>0</v>
      </c>
      <c r="DE13" s="146">
        <f t="shared" ca="1" si="35"/>
        <v>0</v>
      </c>
      <c r="DF13" s="149">
        <f ca="1">IF(AND('Cap Table'!CX$62=0,DC13&gt;0),DA13/'Cap Table'!CX$61,IFERROR(IF(DA13=0,'Cap Table'!CX$62*(1-CZ13),MIN('Cap Table'!CX$62*(1-CZ13),DA13/'Cap Table'!CX$61)),0))</f>
        <v>0</v>
      </c>
      <c r="DG13" s="170">
        <f t="shared" ca="1" si="83"/>
        <v>0</v>
      </c>
      <c r="DH13" s="170">
        <v>0</v>
      </c>
      <c r="DI13" s="146">
        <f t="shared" ca="1" si="36"/>
        <v>0</v>
      </c>
      <c r="DJ13" s="146">
        <f t="shared" si="36"/>
        <v>0</v>
      </c>
      <c r="DK13" s="146">
        <f t="shared" ca="1" si="69"/>
        <v>0</v>
      </c>
      <c r="DL13" s="147">
        <f t="shared" ca="1" si="37"/>
        <v>0</v>
      </c>
      <c r="DM13" s="146">
        <f ca="1">DK13*'Cap Table'!CX$62</f>
        <v>0</v>
      </c>
      <c r="DN13" s="173">
        <f ca="1">IFERROR(IF(OR(CW13='Cap Table'!$B$40,CW13='Cap Table'!$B$41,CW13='Cap Table'!$B$42),IF(SUM(CY13,CD13,BI13,AN13,S13,)&lt;SUM(CX13,CC13,BH13,AM13,R13),FV(MAX(DB13,CG13,BL13,AQ13,V13)/1,DATEDIF(CV13,'Cap Table'!$CX$60,"y"),0,-MAX(CX13,CC13,BH13,AM13,R13))/(MAX(DA13,CF13,BK13,AP13,U13,)/'Cap Table'!$CX$61),DK13),DK13),0)</f>
        <v>0</v>
      </c>
      <c r="DO13" s="147">
        <f t="shared" ca="1" si="38"/>
        <v>0</v>
      </c>
      <c r="DQ13" s="168">
        <f t="shared" ca="1" si="70"/>
        <v>45674</v>
      </c>
      <c r="DR13" s="168" t="str">
        <f t="shared" si="71"/>
        <v>Equity</v>
      </c>
      <c r="DS13" s="169">
        <v>0</v>
      </c>
      <c r="DT13" s="169">
        <f>IF('Cap Table'!DS$79&lt;&gt;"na",IF(CW13='Cap Table'!$B$40,CX13-CY13,0),0)</f>
        <v>0</v>
      </c>
      <c r="DU13" s="171">
        <f t="shared" si="86"/>
        <v>0</v>
      </c>
      <c r="DV13" s="169">
        <f t="shared" si="87"/>
        <v>0</v>
      </c>
      <c r="DW13" s="172">
        <f t="shared" si="88"/>
        <v>0</v>
      </c>
      <c r="DX13" s="170">
        <f ca="1">FV(DW13/1,DATEDIF(DQ13,'Cap Table'!DS$60,"y"),0,-DT13)</f>
        <v>0</v>
      </c>
      <c r="DY13" s="170">
        <f ca="1">IF('Cap Table'!DS$80="no",IFERROR(DX13/(1-DU13),0),IFERROR(DX13/(1-(MAX(DU13,('Cap Table'!DS$62-DV13/'Cap Table'!DS$61)/'Cap Table'!DS$62))),0))</f>
        <v>0</v>
      </c>
      <c r="DZ13" s="146">
        <f t="shared" ca="1" si="42"/>
        <v>0</v>
      </c>
      <c r="EA13" s="149">
        <f ca="1">IF(AND('Cap Table'!DS$62=0,DX13&gt;0),DV13/'Cap Table'!DS$61,IFERROR(IF(DV13=0,'Cap Table'!DS$62*(1-DU13),MIN('Cap Table'!DS$62*(1-DU13),DV13/'Cap Table'!DS$61)),0))</f>
        <v>0</v>
      </c>
      <c r="EB13" s="170">
        <f t="shared" ca="1" si="84"/>
        <v>0</v>
      </c>
      <c r="EC13" s="170">
        <v>0</v>
      </c>
      <c r="ED13" s="146">
        <f t="shared" ca="1" si="72"/>
        <v>0</v>
      </c>
      <c r="EE13" s="146">
        <f t="shared" si="43"/>
        <v>0</v>
      </c>
      <c r="EF13" s="146">
        <f t="shared" ca="1" si="73"/>
        <v>0</v>
      </c>
      <c r="EG13" s="147">
        <f t="shared" ca="1" si="44"/>
        <v>0</v>
      </c>
      <c r="EH13" s="146">
        <f ca="1">EF13*'Cap Table'!DS$62</f>
        <v>0</v>
      </c>
      <c r="EI13" s="173">
        <f ca="1">IFERROR(IF(OR(DR13='Cap Table'!$B$40,DR13='Cap Table'!$B$41,DR13='Cap Table'!$B$42),IF(SUM(DT13,CY13,CD13,BI13,AN13,S13)&lt;SUM(DS13,CX13,CC13,BH13,AM13,R13),FV(MAX(DW13,DB13,CG13,BL13,AQ13,V13)/1,DATEDIF(DQ13,'Cap Table'!DS$60,"y"),0,-MAX(DS13,CX13,CC13,BH13,AM13,R13))/(MAX(DV13,DA13,CF13,BK13,AP13,U13)/'Cap Table'!$DS$61),EF13),EF13),0)</f>
        <v>0</v>
      </c>
      <c r="EJ13" s="147">
        <f t="shared" ca="1" si="45"/>
        <v>0</v>
      </c>
      <c r="EL13" s="146">
        <f t="shared" si="74"/>
        <v>0</v>
      </c>
      <c r="EM13" s="146">
        <f t="shared" si="74"/>
        <v>0</v>
      </c>
      <c r="EN13" s="174" t="s">
        <v>27</v>
      </c>
      <c r="EO13" s="174" t="s">
        <v>27</v>
      </c>
      <c r="EP13" s="174" t="s">
        <v>27</v>
      </c>
      <c r="EQ13" s="146">
        <f t="shared" ca="1" si="75"/>
        <v>0</v>
      </c>
      <c r="ER13" s="146">
        <f t="shared" ca="1" si="75"/>
        <v>0</v>
      </c>
      <c r="ES13" s="146">
        <f t="shared" ca="1" si="75"/>
        <v>0</v>
      </c>
      <c r="ET13" s="149">
        <f t="shared" ca="1" si="89"/>
        <v>0</v>
      </c>
      <c r="EU13" s="146">
        <f t="shared" ca="1" si="76"/>
        <v>0</v>
      </c>
      <c r="EV13" s="146">
        <f t="shared" si="76"/>
        <v>0</v>
      </c>
      <c r="EW13" s="146">
        <f t="shared" ca="1" si="77"/>
        <v>0</v>
      </c>
      <c r="EX13" s="146">
        <f t="shared" si="77"/>
        <v>0</v>
      </c>
      <c r="EY13" s="146">
        <f t="shared" ca="1" si="77"/>
        <v>0</v>
      </c>
      <c r="EZ13" s="147">
        <f t="shared" ca="1" si="46"/>
        <v>0</v>
      </c>
      <c r="FA13" s="146">
        <f t="shared" ca="1" si="78"/>
        <v>0</v>
      </c>
      <c r="FB13" s="146">
        <f t="shared" ca="1" si="78"/>
        <v>0</v>
      </c>
      <c r="FC13" s="147">
        <f t="shared" ca="1" si="47"/>
        <v>0</v>
      </c>
      <c r="FE13" s="149" t="str">
        <f t="shared" si="0"/>
        <v>Common</v>
      </c>
      <c r="FF13" s="146">
        <f t="shared" ca="1" si="48"/>
        <v>0</v>
      </c>
      <c r="FG13" s="146">
        <f t="shared" ca="1" si="49"/>
        <v>0</v>
      </c>
      <c r="FH13" s="146">
        <f t="shared" ca="1" si="50"/>
        <v>0</v>
      </c>
      <c r="FJ13" s="146" t="str">
        <f t="shared" si="51"/>
        <v>Common</v>
      </c>
      <c r="FK13" s="174" t="str">
        <f t="shared" ca="1" si="52"/>
        <v>na</v>
      </c>
      <c r="FL13" s="174" t="str">
        <f t="shared" ca="1" si="52"/>
        <v>na</v>
      </c>
      <c r="FM13" s="174" t="str">
        <f t="shared" ca="1" si="53"/>
        <v>na</v>
      </c>
    </row>
    <row r="14" spans="2:169">
      <c r="B14" s="145" t="s">
        <v>27</v>
      </c>
      <c r="D14" s="167" t="s">
        <v>27</v>
      </c>
      <c r="E14" s="167" t="str">
        <f t="shared" si="54"/>
        <v>Common</v>
      </c>
      <c r="G14" s="168">
        <f t="shared" ca="1" si="1"/>
        <v>43482</v>
      </c>
      <c r="H14" s="289" t="str">
        <f t="shared" si="2"/>
        <v>Equity</v>
      </c>
      <c r="I14" s="169">
        <v>0</v>
      </c>
      <c r="J14" s="170">
        <v>0</v>
      </c>
      <c r="K14" s="170">
        <f t="shared" si="55"/>
        <v>0</v>
      </c>
      <c r="L14" s="147">
        <f t="shared" si="3"/>
        <v>0</v>
      </c>
      <c r="M14" s="170">
        <f t="shared" si="56"/>
        <v>0</v>
      </c>
      <c r="N14" s="147">
        <f t="shared" si="4"/>
        <v>0</v>
      </c>
      <c r="O14" s="147"/>
      <c r="P14" s="168">
        <f t="shared" ca="1" si="85"/>
        <v>43847</v>
      </c>
      <c r="Q14" s="289" t="str">
        <f t="shared" si="5"/>
        <v>Equity</v>
      </c>
      <c r="R14" s="169">
        <v>0</v>
      </c>
      <c r="S14" s="169">
        <v>0</v>
      </c>
      <c r="T14" s="171">
        <v>0</v>
      </c>
      <c r="U14" s="145">
        <v>0</v>
      </c>
      <c r="V14" s="172">
        <v>0</v>
      </c>
      <c r="W14" s="170">
        <f ca="1">FV(V14/1,DATEDIF(P14,'Cap Table'!R$60,"y"),0,-S14)</f>
        <v>0</v>
      </c>
      <c r="X14" s="170">
        <f t="shared" ca="1" si="6"/>
        <v>0</v>
      </c>
      <c r="Y14" s="146">
        <f t="shared" ca="1" si="7"/>
        <v>0</v>
      </c>
      <c r="Z14" s="149">
        <f ca="1">IF(AND('Cap Table'!R$62=0,W14&gt;0),U14/'Cap Table'!R$61,IFERROR(IF(U14=0,'Cap Table'!R$62*(1-T14),MIN('Cap Table'!R$62*(1-T14),U14/'Cap Table'!R$61)),0))</f>
        <v>0</v>
      </c>
      <c r="AA14" s="170">
        <f t="shared" ca="1" si="79"/>
        <v>0</v>
      </c>
      <c r="AB14" s="170">
        <v>0</v>
      </c>
      <c r="AC14" s="146">
        <f t="shared" ca="1" si="8"/>
        <v>0</v>
      </c>
      <c r="AD14" s="146">
        <f t="shared" si="8"/>
        <v>0</v>
      </c>
      <c r="AE14" s="146">
        <f t="shared" ca="1" si="57"/>
        <v>0</v>
      </c>
      <c r="AF14" s="147">
        <f t="shared" ca="1" si="9"/>
        <v>0</v>
      </c>
      <c r="AG14" s="146">
        <f ca="1">AE14*'Cap Table'!R$62</f>
        <v>0</v>
      </c>
      <c r="AH14" s="146">
        <f ca="1">IFERROR(IF(OR(Q14='Cap Table'!$B$40,Q14='Cap Table'!$B$41,Q14='Cap Table'!$B$42),IF(SUM(S14)&lt;SUM(R14),(FV(V14/1,DATEDIF(P14,'Cap Table'!R$60,"y"),0,-R14))/(U14/'Cap Table'!$R$61),AE14),AE14),0)</f>
        <v>0</v>
      </c>
      <c r="AI14" s="147">
        <f t="shared" ca="1" si="10"/>
        <v>0</v>
      </c>
      <c r="AK14" s="168">
        <f t="shared" ca="1" si="58"/>
        <v>44213</v>
      </c>
      <c r="AL14" s="168" t="str">
        <f t="shared" si="59"/>
        <v>Equity</v>
      </c>
      <c r="AM14" s="169">
        <v>0</v>
      </c>
      <c r="AN14" s="169">
        <f>IF('Cap Table'!AM$79&lt;&gt;"na",IF(Q14='Cap Table'!$B$40,R14-S14,0),0)</f>
        <v>0</v>
      </c>
      <c r="AO14" s="171">
        <f t="shared" si="11"/>
        <v>0</v>
      </c>
      <c r="AP14" s="169">
        <f t="shared" si="12"/>
        <v>0</v>
      </c>
      <c r="AQ14" s="172">
        <f t="shared" si="13"/>
        <v>0</v>
      </c>
      <c r="AR14" s="170">
        <f ca="1">FV(AQ14/1,DATEDIF(AK14,'Cap Table'!AM$60,"y"),0,-AN14)</f>
        <v>0</v>
      </c>
      <c r="AS14" s="170">
        <f ca="1">IF('Cap Table'!AM$80="no",IFERROR(AR14/(1-AO14),0),IFERROR(AR14/(1-(MAX(AO14,('Cap Table'!AM$62-AP14/'Cap Table'!AM$61)/'Cap Table'!AM$62))),0))</f>
        <v>0</v>
      </c>
      <c r="AT14" s="146">
        <f t="shared" ca="1" si="14"/>
        <v>0</v>
      </c>
      <c r="AU14" s="149">
        <f ca="1">IF(AND('Cap Table'!AM$62=0,AR14&gt;0),AP14/'Cap Table'!AM$61,IFERROR(IF(AP14=0,'Cap Table'!AM$62*(1-AO14),MIN('Cap Table'!AM$62*(1-AO14),AP14/'Cap Table'!AM$61)),0))</f>
        <v>0</v>
      </c>
      <c r="AV14" s="170">
        <f t="shared" ca="1" si="80"/>
        <v>0</v>
      </c>
      <c r="AW14" s="170">
        <v>0</v>
      </c>
      <c r="AX14" s="146">
        <f t="shared" ca="1" si="15"/>
        <v>0</v>
      </c>
      <c r="AY14" s="146">
        <f t="shared" si="15"/>
        <v>0</v>
      </c>
      <c r="AZ14" s="146">
        <f t="shared" ca="1" si="60"/>
        <v>0</v>
      </c>
      <c r="BA14" s="147">
        <f t="shared" ca="1" si="16"/>
        <v>0</v>
      </c>
      <c r="BB14" s="146">
        <f ca="1">AZ14*'Cap Table'!AM$62</f>
        <v>0</v>
      </c>
      <c r="BC14" s="173">
        <f ca="1">IFERROR(IF(OR(AL14='Cap Table'!$B$40,AL14='Cap Table'!$B$41,AL14='Cap Table'!$B$42),IF(SUM(AN14,S14)&lt;SUM(AM14,R14),FV(MAX(AQ14,V14)/1,DATEDIF(AK14,'Cap Table'!$AM$60,"y"),0,-MAX(AM14,R14))/(MAX(AP14,U14)/'Cap Table'!$AM$61),AZ14),AZ14),0)</f>
        <v>0</v>
      </c>
      <c r="BD14" s="147">
        <f t="shared" ca="1" si="17"/>
        <v>0</v>
      </c>
      <c r="BF14" s="168">
        <f t="shared" ca="1" si="61"/>
        <v>44578</v>
      </c>
      <c r="BG14" s="168" t="str">
        <f t="shared" si="62"/>
        <v>Equity</v>
      </c>
      <c r="BH14" s="169">
        <v>0</v>
      </c>
      <c r="BI14" s="169">
        <f>IF('Cap Table'!BH$79&lt;&gt;"na",IF(AL14='Cap Table'!$B$40,AM14-AN14,0),0)</f>
        <v>0</v>
      </c>
      <c r="BJ14" s="171">
        <f t="shared" si="18"/>
        <v>0</v>
      </c>
      <c r="BK14" s="169">
        <f t="shared" si="19"/>
        <v>0</v>
      </c>
      <c r="BL14" s="172">
        <f t="shared" si="20"/>
        <v>0</v>
      </c>
      <c r="BM14" s="170">
        <f ca="1">FV(BL14/1,DATEDIF(BF14,'Cap Table'!BH$60,"y"),0,-BI14)</f>
        <v>0</v>
      </c>
      <c r="BN14" s="170">
        <f ca="1">IF('Cap Table'!BH$80="no",IFERROR(BM14/(1-BJ14),0),IFERROR(BM14/(1-(MAX(BJ14,('Cap Table'!BH$62-BK14/'Cap Table'!BH$61)/'Cap Table'!BH$62))),0))</f>
        <v>0</v>
      </c>
      <c r="BO14" s="146">
        <f t="shared" ca="1" si="21"/>
        <v>0</v>
      </c>
      <c r="BP14" s="149">
        <f ca="1">IF(AND('Cap Table'!BH$62=0,BM14&gt;0),BK14/'Cap Table'!BH$61,IFERROR(IF(BK14=0,'Cap Table'!BH$62*(1-BJ14),MIN('Cap Table'!BH$62*(1-BJ14),BK14/'Cap Table'!BH$61)),0))</f>
        <v>0</v>
      </c>
      <c r="BQ14" s="170">
        <f t="shared" ca="1" si="81"/>
        <v>0</v>
      </c>
      <c r="BR14" s="170">
        <v>0</v>
      </c>
      <c r="BS14" s="146">
        <f t="shared" ca="1" si="22"/>
        <v>0</v>
      </c>
      <c r="BT14" s="146">
        <f t="shared" si="22"/>
        <v>0</v>
      </c>
      <c r="BU14" s="146">
        <f t="shared" ca="1" si="63"/>
        <v>0</v>
      </c>
      <c r="BV14" s="147">
        <f t="shared" ca="1" si="23"/>
        <v>0</v>
      </c>
      <c r="BW14" s="146">
        <f ca="1">BU14*'Cap Table'!BH$62</f>
        <v>0</v>
      </c>
      <c r="BX14" s="173">
        <f ca="1">IFERROR(IF(OR(BG14='Cap Table'!$B$40,BG14='Cap Table'!$B$41,BG14='Cap Table'!$B$42),IF(SUM(BI14,AN14,S14)&lt;SUM(BH14,AM14,R14),FV(MAX(BL14,AQ14,V14)/1,DATEDIF(BF14,'Cap Table'!$BH$60,"y"),0,-MAX(BH14,AM14,R14))/(MAX(BK14,AP14,U14)/'Cap Table'!$BH$61),BU14),BU14),0)</f>
        <v>0</v>
      </c>
      <c r="BY14" s="147">
        <f t="shared" ca="1" si="24"/>
        <v>0</v>
      </c>
      <c r="CA14" s="168">
        <f t="shared" ca="1" si="64"/>
        <v>44943</v>
      </c>
      <c r="CB14" s="168" t="str">
        <f t="shared" si="65"/>
        <v>Equity</v>
      </c>
      <c r="CC14" s="169">
        <v>0</v>
      </c>
      <c r="CD14" s="169">
        <f>IF('Cap Table'!CC$79&lt;&gt;"na",IF(BG14='Cap Table'!$B$40,BH14-BI14,0),0)</f>
        <v>0</v>
      </c>
      <c r="CE14" s="171">
        <f t="shared" si="25"/>
        <v>0</v>
      </c>
      <c r="CF14" s="169">
        <f t="shared" si="26"/>
        <v>0</v>
      </c>
      <c r="CG14" s="172">
        <f t="shared" si="27"/>
        <v>0</v>
      </c>
      <c r="CH14" s="170">
        <f ca="1">FV(CG14/1,DATEDIF(CA14,'Cap Table'!CC$60,"y"),0,-CD14)</f>
        <v>0</v>
      </c>
      <c r="CI14" s="170">
        <f ca="1">IF('Cap Table'!CC$80="no",IFERROR(CH14/(1-CE14),0),IFERROR(CH14/(1-(MAX(CE14,('Cap Table'!CC$62-CF14/'Cap Table'!CC$61)/'Cap Table'!CC$62))),0))</f>
        <v>0</v>
      </c>
      <c r="CJ14" s="146">
        <f t="shared" ca="1" si="28"/>
        <v>0</v>
      </c>
      <c r="CK14" s="149">
        <f ca="1">IF(AND('Cap Table'!CC$62=0,CH14&gt;0),CF14/'Cap Table'!CC$61,IFERROR(IF(CF14=0,'Cap Table'!CC$62*(1-CE14),MIN('Cap Table'!CC$62*(1-CE14),CF14/'Cap Table'!CC$61)),0))</f>
        <v>0</v>
      </c>
      <c r="CL14" s="170">
        <f t="shared" ca="1" si="82"/>
        <v>0</v>
      </c>
      <c r="CM14" s="170">
        <v>0</v>
      </c>
      <c r="CN14" s="146">
        <f t="shared" ca="1" si="29"/>
        <v>0</v>
      </c>
      <c r="CO14" s="146">
        <f t="shared" si="29"/>
        <v>0</v>
      </c>
      <c r="CP14" s="146">
        <f t="shared" ca="1" si="66"/>
        <v>0</v>
      </c>
      <c r="CQ14" s="147">
        <f t="shared" ca="1" si="30"/>
        <v>0</v>
      </c>
      <c r="CR14" s="146">
        <f ca="1">CP14*'Cap Table'!CC$62</f>
        <v>0</v>
      </c>
      <c r="CS14" s="173">
        <f ca="1">IFERROR(IF(OR(CB14='Cap Table'!$B$40,CB14='Cap Table'!$B$41,CB14='Cap Table'!$B$42),IF(SUM(CD14,BI14,AN14,S14)&lt;SUM(CC14,BH14,AM14,R14),FV(MAX(CG14,BL14,AQ14,V14)/1,DATEDIF(CA14,'Cap Table'!$CC$60,"y"),0,-MAX(CC14,BH14,AM14,R14))/(MAX(CF14,BK14,AP14,U14)/'Cap Table'!$CC$61),CP14),CP14),0)</f>
        <v>0</v>
      </c>
      <c r="CT14" s="147">
        <f t="shared" ca="1" si="31"/>
        <v>0</v>
      </c>
      <c r="CV14" s="168">
        <f t="shared" ca="1" si="67"/>
        <v>45308</v>
      </c>
      <c r="CW14" s="168" t="str">
        <f t="shared" si="68"/>
        <v>Equity</v>
      </c>
      <c r="CX14" s="169">
        <v>0</v>
      </c>
      <c r="CY14" s="169">
        <f>IF('Cap Table'!CX$79&lt;&gt;"na",IF(CB14='Cap Table'!$B$40,CC14-CD14,0),0)</f>
        <v>0</v>
      </c>
      <c r="CZ14" s="171">
        <f t="shared" si="32"/>
        <v>0</v>
      </c>
      <c r="DA14" s="169">
        <f t="shared" si="33"/>
        <v>0</v>
      </c>
      <c r="DB14" s="172">
        <f t="shared" si="34"/>
        <v>0</v>
      </c>
      <c r="DC14" s="170">
        <f ca="1">FV(DB14/1,DATEDIF(CV14,'Cap Table'!CX$60,"y"),0,-CY14)</f>
        <v>0</v>
      </c>
      <c r="DD14" s="170">
        <f ca="1">IF('Cap Table'!CX$80="no",IFERROR(DC14/(1-CZ14),0),IFERROR(DC14/(1-(MAX(CZ14,('Cap Table'!CX$62-DA14/'Cap Table'!CX$61)/'Cap Table'!CX$62))),0))</f>
        <v>0</v>
      </c>
      <c r="DE14" s="146">
        <f t="shared" ca="1" si="35"/>
        <v>0</v>
      </c>
      <c r="DF14" s="149">
        <f ca="1">IF(AND('Cap Table'!CX$62=0,DC14&gt;0),DA14/'Cap Table'!CX$61,IFERROR(IF(DA14=0,'Cap Table'!CX$62*(1-CZ14),MIN('Cap Table'!CX$62*(1-CZ14),DA14/'Cap Table'!CX$61)),0))</f>
        <v>0</v>
      </c>
      <c r="DG14" s="170">
        <f t="shared" ca="1" si="83"/>
        <v>0</v>
      </c>
      <c r="DH14" s="170">
        <v>0</v>
      </c>
      <c r="DI14" s="146">
        <f t="shared" ca="1" si="36"/>
        <v>0</v>
      </c>
      <c r="DJ14" s="146">
        <f t="shared" si="36"/>
        <v>0</v>
      </c>
      <c r="DK14" s="146">
        <f t="shared" ca="1" si="69"/>
        <v>0</v>
      </c>
      <c r="DL14" s="147">
        <f t="shared" ca="1" si="37"/>
        <v>0</v>
      </c>
      <c r="DM14" s="146">
        <f ca="1">DK14*'Cap Table'!CX$62</f>
        <v>0</v>
      </c>
      <c r="DN14" s="173">
        <f ca="1">IFERROR(IF(OR(CW14='Cap Table'!$B$40,CW14='Cap Table'!$B$41,CW14='Cap Table'!$B$42),IF(SUM(CY14,CD14,BI14,AN14,S14,)&lt;SUM(CX14,CC14,BH14,AM14,R14),FV(MAX(DB14,CG14,BL14,AQ14,V14)/1,DATEDIF(CV14,'Cap Table'!$CX$60,"y"),0,-MAX(CX14,CC14,BH14,AM14,R14))/(MAX(DA14,CF14,BK14,AP14,U14,)/'Cap Table'!$CX$61),DK14),DK14),0)</f>
        <v>0</v>
      </c>
      <c r="DO14" s="147">
        <f t="shared" ca="1" si="38"/>
        <v>0</v>
      </c>
      <c r="DQ14" s="168">
        <f t="shared" ca="1" si="70"/>
        <v>45674</v>
      </c>
      <c r="DR14" s="168" t="str">
        <f t="shared" si="71"/>
        <v>Equity</v>
      </c>
      <c r="DS14" s="169">
        <v>0</v>
      </c>
      <c r="DT14" s="169">
        <f>IF('Cap Table'!DS$79&lt;&gt;"na",IF(CW14='Cap Table'!$B$40,CX14-CY14,0),0)</f>
        <v>0</v>
      </c>
      <c r="DU14" s="171">
        <f t="shared" si="86"/>
        <v>0</v>
      </c>
      <c r="DV14" s="169">
        <f t="shared" si="87"/>
        <v>0</v>
      </c>
      <c r="DW14" s="172">
        <f t="shared" si="88"/>
        <v>0</v>
      </c>
      <c r="DX14" s="170">
        <f ca="1">FV(DW14/1,DATEDIF(DQ14,'Cap Table'!DS$60,"y"),0,-DT14)</f>
        <v>0</v>
      </c>
      <c r="DY14" s="170">
        <f ca="1">IF('Cap Table'!DS$80="no",IFERROR(DX14/(1-DU14),0),IFERROR(DX14/(1-(MAX(DU14,('Cap Table'!DS$62-DV14/'Cap Table'!DS$61)/'Cap Table'!DS$62))),0))</f>
        <v>0</v>
      </c>
      <c r="DZ14" s="146">
        <f t="shared" ca="1" si="42"/>
        <v>0</v>
      </c>
      <c r="EA14" s="149">
        <f ca="1">IF(AND('Cap Table'!DS$62=0,DX14&gt;0),DV14/'Cap Table'!DS$61,IFERROR(IF(DV14=0,'Cap Table'!DS$62*(1-DU14),MIN('Cap Table'!DS$62*(1-DU14),DV14/'Cap Table'!DS$61)),0))</f>
        <v>0</v>
      </c>
      <c r="EB14" s="170">
        <f t="shared" ca="1" si="84"/>
        <v>0</v>
      </c>
      <c r="EC14" s="170">
        <v>0</v>
      </c>
      <c r="ED14" s="146">
        <f t="shared" ca="1" si="72"/>
        <v>0</v>
      </c>
      <c r="EE14" s="146">
        <f t="shared" si="43"/>
        <v>0</v>
      </c>
      <c r="EF14" s="146">
        <f t="shared" ca="1" si="73"/>
        <v>0</v>
      </c>
      <c r="EG14" s="147">
        <f t="shared" ca="1" si="44"/>
        <v>0</v>
      </c>
      <c r="EH14" s="146">
        <f ca="1">EF14*'Cap Table'!DS$62</f>
        <v>0</v>
      </c>
      <c r="EI14" s="173">
        <f ca="1">IFERROR(IF(OR(DR14='Cap Table'!$B$40,DR14='Cap Table'!$B$41,DR14='Cap Table'!$B$42),IF(SUM(DT14,CY14,CD14,BI14,AN14,S14)&lt;SUM(DS14,CX14,CC14,BH14,AM14,R14),FV(MAX(DW14,DB14,CG14,BL14,AQ14,V14)/1,DATEDIF(DQ14,'Cap Table'!DS$60,"y"),0,-MAX(DS14,CX14,CC14,BH14,AM14,R14))/(MAX(DV14,DA14,CF14,BK14,AP14,U14)/'Cap Table'!$DS$61),EF14),EF14),0)</f>
        <v>0</v>
      </c>
      <c r="EJ14" s="147">
        <f t="shared" ca="1" si="45"/>
        <v>0</v>
      </c>
      <c r="EL14" s="146">
        <f t="shared" si="74"/>
        <v>0</v>
      </c>
      <c r="EM14" s="146">
        <f t="shared" si="74"/>
        <v>0</v>
      </c>
      <c r="EN14" s="174" t="s">
        <v>27</v>
      </c>
      <c r="EO14" s="174" t="s">
        <v>27</v>
      </c>
      <c r="EP14" s="174" t="s">
        <v>27</v>
      </c>
      <c r="EQ14" s="146">
        <f t="shared" ca="1" si="75"/>
        <v>0</v>
      </c>
      <c r="ER14" s="146">
        <f t="shared" ca="1" si="75"/>
        <v>0</v>
      </c>
      <c r="ES14" s="146">
        <f t="shared" ca="1" si="75"/>
        <v>0</v>
      </c>
      <c r="ET14" s="149">
        <f t="shared" ca="1" si="89"/>
        <v>0</v>
      </c>
      <c r="EU14" s="146">
        <f t="shared" ca="1" si="76"/>
        <v>0</v>
      </c>
      <c r="EV14" s="146">
        <f t="shared" si="76"/>
        <v>0</v>
      </c>
      <c r="EW14" s="146">
        <f t="shared" ca="1" si="77"/>
        <v>0</v>
      </c>
      <c r="EX14" s="146">
        <f t="shared" si="77"/>
        <v>0</v>
      </c>
      <c r="EY14" s="146">
        <f t="shared" ca="1" si="77"/>
        <v>0</v>
      </c>
      <c r="EZ14" s="147">
        <f t="shared" ca="1" si="46"/>
        <v>0</v>
      </c>
      <c r="FA14" s="146">
        <f t="shared" ca="1" si="78"/>
        <v>0</v>
      </c>
      <c r="FB14" s="146">
        <f t="shared" ca="1" si="78"/>
        <v>0</v>
      </c>
      <c r="FC14" s="147">
        <f t="shared" ca="1" si="47"/>
        <v>0</v>
      </c>
      <c r="FE14" s="149" t="str">
        <f t="shared" si="0"/>
        <v>Common</v>
      </c>
      <c r="FF14" s="146">
        <f t="shared" ca="1" si="48"/>
        <v>0</v>
      </c>
      <c r="FG14" s="146">
        <f t="shared" ca="1" si="49"/>
        <v>0</v>
      </c>
      <c r="FH14" s="146">
        <f t="shared" ca="1" si="50"/>
        <v>0</v>
      </c>
      <c r="FJ14" s="146" t="str">
        <f t="shared" si="51"/>
        <v>Common</v>
      </c>
      <c r="FK14" s="174" t="str">
        <f t="shared" ca="1" si="52"/>
        <v>na</v>
      </c>
      <c r="FL14" s="174" t="str">
        <f t="shared" ca="1" si="52"/>
        <v>na</v>
      </c>
      <c r="FM14" s="174" t="str">
        <f t="shared" ca="1" si="53"/>
        <v>na</v>
      </c>
    </row>
    <row r="15" spans="2:169">
      <c r="B15" s="145" t="s">
        <v>27</v>
      </c>
      <c r="D15" s="167" t="s">
        <v>27</v>
      </c>
      <c r="E15" s="167" t="str">
        <f t="shared" si="54"/>
        <v>Common</v>
      </c>
      <c r="G15" s="168">
        <f t="shared" ca="1" si="1"/>
        <v>43482</v>
      </c>
      <c r="H15" s="289" t="str">
        <f t="shared" si="2"/>
        <v>Equity</v>
      </c>
      <c r="I15" s="169">
        <v>0</v>
      </c>
      <c r="J15" s="170">
        <v>0</v>
      </c>
      <c r="K15" s="170">
        <f t="shared" si="55"/>
        <v>0</v>
      </c>
      <c r="L15" s="147">
        <f t="shared" si="3"/>
        <v>0</v>
      </c>
      <c r="M15" s="170">
        <f t="shared" si="56"/>
        <v>0</v>
      </c>
      <c r="N15" s="147">
        <f t="shared" si="4"/>
        <v>0</v>
      </c>
      <c r="O15" s="147"/>
      <c r="P15" s="168">
        <f t="shared" ca="1" si="85"/>
        <v>43847</v>
      </c>
      <c r="Q15" s="289" t="str">
        <f t="shared" si="5"/>
        <v>Equity</v>
      </c>
      <c r="R15" s="169">
        <v>0</v>
      </c>
      <c r="S15" s="169">
        <v>0</v>
      </c>
      <c r="T15" s="171">
        <v>0</v>
      </c>
      <c r="U15" s="145">
        <v>0</v>
      </c>
      <c r="V15" s="172">
        <v>0</v>
      </c>
      <c r="W15" s="170">
        <f ca="1">FV(V15/1,DATEDIF(P15,'Cap Table'!R$60,"y"),0,-S15)</f>
        <v>0</v>
      </c>
      <c r="X15" s="170">
        <f t="shared" ca="1" si="6"/>
        <v>0</v>
      </c>
      <c r="Y15" s="146">
        <f t="shared" ca="1" si="7"/>
        <v>0</v>
      </c>
      <c r="Z15" s="149">
        <f ca="1">IF(AND('Cap Table'!R$62=0,W15&gt;0),U15/'Cap Table'!R$61,IFERROR(IF(U15=0,'Cap Table'!R$62*(1-T15),MIN('Cap Table'!R$62*(1-T15),U15/'Cap Table'!R$61)),0))</f>
        <v>0</v>
      </c>
      <c r="AA15" s="170">
        <f t="shared" ca="1" si="79"/>
        <v>0</v>
      </c>
      <c r="AB15" s="170">
        <v>0</v>
      </c>
      <c r="AC15" s="146">
        <f t="shared" ca="1" si="8"/>
        <v>0</v>
      </c>
      <c r="AD15" s="146">
        <f t="shared" si="8"/>
        <v>0</v>
      </c>
      <c r="AE15" s="146">
        <f t="shared" ca="1" si="57"/>
        <v>0</v>
      </c>
      <c r="AF15" s="147">
        <f t="shared" ca="1" si="9"/>
        <v>0</v>
      </c>
      <c r="AG15" s="146">
        <f ca="1">AE15*'Cap Table'!R$62</f>
        <v>0</v>
      </c>
      <c r="AH15" s="146">
        <f ca="1">IFERROR(IF(OR(Q15='Cap Table'!$B$40,Q15='Cap Table'!$B$41,Q15='Cap Table'!$B$42),IF(SUM(S15)&lt;SUM(R15),(FV(V15/1,DATEDIF(P15,'Cap Table'!R$60,"y"),0,-R15))/(U15/'Cap Table'!$R$61),AE15),AE15),0)</f>
        <v>0</v>
      </c>
      <c r="AI15" s="147">
        <f t="shared" ca="1" si="10"/>
        <v>0</v>
      </c>
      <c r="AK15" s="168">
        <f t="shared" ca="1" si="58"/>
        <v>44213</v>
      </c>
      <c r="AL15" s="168" t="str">
        <f t="shared" si="59"/>
        <v>Equity</v>
      </c>
      <c r="AM15" s="169">
        <v>0</v>
      </c>
      <c r="AN15" s="169">
        <f>IF('Cap Table'!AM$79&lt;&gt;"na",IF(Q15='Cap Table'!$B$40,R15-S15,0),0)</f>
        <v>0</v>
      </c>
      <c r="AO15" s="171">
        <f t="shared" si="11"/>
        <v>0</v>
      </c>
      <c r="AP15" s="169">
        <f t="shared" si="12"/>
        <v>0</v>
      </c>
      <c r="AQ15" s="172">
        <f t="shared" si="13"/>
        <v>0</v>
      </c>
      <c r="AR15" s="170">
        <f ca="1">FV(AQ15/1,DATEDIF(AK15,'Cap Table'!AM$60,"y"),0,-AN15)</f>
        <v>0</v>
      </c>
      <c r="AS15" s="170">
        <f ca="1">IF('Cap Table'!AM$80="no",IFERROR(AR15/(1-AO15),0),IFERROR(AR15/(1-(MAX(AO15,('Cap Table'!AM$62-AP15/'Cap Table'!AM$61)/'Cap Table'!AM$62))),0))</f>
        <v>0</v>
      </c>
      <c r="AT15" s="146">
        <f t="shared" ca="1" si="14"/>
        <v>0</v>
      </c>
      <c r="AU15" s="149">
        <f ca="1">IF(AND('Cap Table'!AM$62=0,AR15&gt;0),AP15/'Cap Table'!AM$61,IFERROR(IF(AP15=0,'Cap Table'!AM$62*(1-AO15),MIN('Cap Table'!AM$62*(1-AO15),AP15/'Cap Table'!AM$61)),0))</f>
        <v>0</v>
      </c>
      <c r="AV15" s="170">
        <f t="shared" ca="1" si="80"/>
        <v>0</v>
      </c>
      <c r="AW15" s="170">
        <v>0</v>
      </c>
      <c r="AX15" s="146">
        <f t="shared" ca="1" si="15"/>
        <v>0</v>
      </c>
      <c r="AY15" s="146">
        <f t="shared" si="15"/>
        <v>0</v>
      </c>
      <c r="AZ15" s="146">
        <f t="shared" ca="1" si="60"/>
        <v>0</v>
      </c>
      <c r="BA15" s="147">
        <f t="shared" ca="1" si="16"/>
        <v>0</v>
      </c>
      <c r="BB15" s="146">
        <f ca="1">AZ15*'Cap Table'!AM$62</f>
        <v>0</v>
      </c>
      <c r="BC15" s="173">
        <f ca="1">IFERROR(IF(OR(AL15='Cap Table'!$B$40,AL15='Cap Table'!$B$41,AL15='Cap Table'!$B$42),IF(SUM(AN15,S15)&lt;SUM(AM15,R15),FV(MAX(AQ15,V15)/1,DATEDIF(AK15,'Cap Table'!$AM$60,"y"),0,-MAX(AM15,R15))/(MAX(AP15,U15)/'Cap Table'!$AM$61),AZ15),AZ15),0)</f>
        <v>0</v>
      </c>
      <c r="BD15" s="147">
        <f t="shared" ca="1" si="17"/>
        <v>0</v>
      </c>
      <c r="BF15" s="168">
        <f t="shared" ca="1" si="61"/>
        <v>44578</v>
      </c>
      <c r="BG15" s="168" t="str">
        <f t="shared" si="62"/>
        <v>Equity</v>
      </c>
      <c r="BH15" s="169">
        <v>0</v>
      </c>
      <c r="BI15" s="169">
        <f>IF('Cap Table'!BH$79&lt;&gt;"na",IF(AL15='Cap Table'!$B$40,AM15-AN15,0),0)</f>
        <v>0</v>
      </c>
      <c r="BJ15" s="171">
        <f t="shared" si="18"/>
        <v>0</v>
      </c>
      <c r="BK15" s="169">
        <f t="shared" si="19"/>
        <v>0</v>
      </c>
      <c r="BL15" s="172">
        <f t="shared" si="20"/>
        <v>0</v>
      </c>
      <c r="BM15" s="170">
        <f ca="1">FV(BL15/1,DATEDIF(BF15,'Cap Table'!BH$60,"y"),0,-BI15)</f>
        <v>0</v>
      </c>
      <c r="BN15" s="170">
        <f ca="1">IF('Cap Table'!BH$80="no",IFERROR(BM15/(1-BJ15),0),IFERROR(BM15/(1-(MAX(BJ15,('Cap Table'!BH$62-BK15/'Cap Table'!BH$61)/'Cap Table'!BH$62))),0))</f>
        <v>0</v>
      </c>
      <c r="BO15" s="146">
        <f t="shared" ca="1" si="21"/>
        <v>0</v>
      </c>
      <c r="BP15" s="149">
        <f ca="1">IF(AND('Cap Table'!BH$62=0,BM15&gt;0),BK15/'Cap Table'!BH$61,IFERROR(IF(BK15=0,'Cap Table'!BH$62*(1-BJ15),MIN('Cap Table'!BH$62*(1-BJ15),BK15/'Cap Table'!BH$61)),0))</f>
        <v>0</v>
      </c>
      <c r="BQ15" s="170">
        <f t="shared" ca="1" si="81"/>
        <v>0</v>
      </c>
      <c r="BR15" s="170">
        <v>0</v>
      </c>
      <c r="BS15" s="146">
        <f t="shared" ca="1" si="22"/>
        <v>0</v>
      </c>
      <c r="BT15" s="146">
        <f t="shared" si="22"/>
        <v>0</v>
      </c>
      <c r="BU15" s="146">
        <f t="shared" ca="1" si="63"/>
        <v>0</v>
      </c>
      <c r="BV15" s="147">
        <f t="shared" ca="1" si="23"/>
        <v>0</v>
      </c>
      <c r="BW15" s="146">
        <f ca="1">BU15*'Cap Table'!BH$62</f>
        <v>0</v>
      </c>
      <c r="BX15" s="173">
        <f ca="1">IFERROR(IF(OR(BG15='Cap Table'!$B$40,BG15='Cap Table'!$B$41,BG15='Cap Table'!$B$42),IF(SUM(BI15,AN15,S15)&lt;SUM(BH15,AM15,R15),FV(MAX(BL15,AQ15,V15)/1,DATEDIF(BF15,'Cap Table'!$BH$60,"y"),0,-MAX(BH15,AM15,R15))/(MAX(BK15,AP15,U15)/'Cap Table'!$BH$61),BU15),BU15),0)</f>
        <v>0</v>
      </c>
      <c r="BY15" s="147">
        <f t="shared" ca="1" si="24"/>
        <v>0</v>
      </c>
      <c r="CA15" s="168">
        <f t="shared" ca="1" si="64"/>
        <v>44943</v>
      </c>
      <c r="CB15" s="168" t="str">
        <f t="shared" si="65"/>
        <v>Equity</v>
      </c>
      <c r="CC15" s="169">
        <v>0</v>
      </c>
      <c r="CD15" s="169">
        <f>IF('Cap Table'!CC$79&lt;&gt;"na",IF(BG15='Cap Table'!$B$40,BH15-BI15,0),0)</f>
        <v>0</v>
      </c>
      <c r="CE15" s="171">
        <f t="shared" si="25"/>
        <v>0</v>
      </c>
      <c r="CF15" s="169">
        <f t="shared" si="26"/>
        <v>0</v>
      </c>
      <c r="CG15" s="172">
        <f t="shared" si="27"/>
        <v>0</v>
      </c>
      <c r="CH15" s="170">
        <f ca="1">FV(CG15/1,DATEDIF(CA15,'Cap Table'!CC$60,"y"),0,-CD15)</f>
        <v>0</v>
      </c>
      <c r="CI15" s="170">
        <f ca="1">IF('Cap Table'!CC$80="no",IFERROR(CH15/(1-CE15),0),IFERROR(CH15/(1-(MAX(CE15,('Cap Table'!CC$62-CF15/'Cap Table'!CC$61)/'Cap Table'!CC$62))),0))</f>
        <v>0</v>
      </c>
      <c r="CJ15" s="146">
        <f t="shared" ca="1" si="28"/>
        <v>0</v>
      </c>
      <c r="CK15" s="149">
        <f ca="1">IF(AND('Cap Table'!CC$62=0,CH15&gt;0),CF15/'Cap Table'!CC$61,IFERROR(IF(CF15=0,'Cap Table'!CC$62*(1-CE15),MIN('Cap Table'!CC$62*(1-CE15),CF15/'Cap Table'!CC$61)),0))</f>
        <v>0</v>
      </c>
      <c r="CL15" s="170">
        <f t="shared" ca="1" si="82"/>
        <v>0</v>
      </c>
      <c r="CM15" s="170">
        <v>0</v>
      </c>
      <c r="CN15" s="146">
        <f t="shared" ca="1" si="29"/>
        <v>0</v>
      </c>
      <c r="CO15" s="146">
        <f t="shared" si="29"/>
        <v>0</v>
      </c>
      <c r="CP15" s="146">
        <f t="shared" ca="1" si="66"/>
        <v>0</v>
      </c>
      <c r="CQ15" s="147">
        <f t="shared" ca="1" si="30"/>
        <v>0</v>
      </c>
      <c r="CR15" s="146">
        <f ca="1">CP15*'Cap Table'!CC$62</f>
        <v>0</v>
      </c>
      <c r="CS15" s="173">
        <f ca="1">IFERROR(IF(OR(CB15='Cap Table'!$B$40,CB15='Cap Table'!$B$41,CB15='Cap Table'!$B$42),IF(SUM(CD15,BI15,AN15,S15)&lt;SUM(CC15,BH15,AM15,R15),FV(MAX(CG15,BL15,AQ15,V15)/1,DATEDIF(CA15,'Cap Table'!$CC$60,"y"),0,-MAX(CC15,BH15,AM15,R15))/(MAX(CF15,BK15,AP15,U15)/'Cap Table'!$CC$61),CP15),CP15),0)</f>
        <v>0</v>
      </c>
      <c r="CT15" s="147">
        <f t="shared" ca="1" si="31"/>
        <v>0</v>
      </c>
      <c r="CV15" s="168">
        <f t="shared" ca="1" si="67"/>
        <v>45308</v>
      </c>
      <c r="CW15" s="168" t="str">
        <f t="shared" si="68"/>
        <v>Equity</v>
      </c>
      <c r="CX15" s="169">
        <v>0</v>
      </c>
      <c r="CY15" s="169">
        <f>IF('Cap Table'!CX$79&lt;&gt;"na",IF(CB15='Cap Table'!$B$40,CC15-CD15,0),0)</f>
        <v>0</v>
      </c>
      <c r="CZ15" s="171">
        <f t="shared" si="32"/>
        <v>0</v>
      </c>
      <c r="DA15" s="169">
        <f t="shared" si="33"/>
        <v>0</v>
      </c>
      <c r="DB15" s="172">
        <f t="shared" si="34"/>
        <v>0</v>
      </c>
      <c r="DC15" s="170">
        <f ca="1">FV(DB15/1,DATEDIF(CV15,'Cap Table'!CX$60,"y"),0,-CY15)</f>
        <v>0</v>
      </c>
      <c r="DD15" s="170">
        <f ca="1">IF('Cap Table'!CX$80="no",IFERROR(DC15/(1-CZ15),0),IFERROR(DC15/(1-(MAX(CZ15,('Cap Table'!CX$62-DA15/'Cap Table'!CX$61)/'Cap Table'!CX$62))),0))</f>
        <v>0</v>
      </c>
      <c r="DE15" s="146">
        <f t="shared" ca="1" si="35"/>
        <v>0</v>
      </c>
      <c r="DF15" s="149">
        <f ca="1">IF(AND('Cap Table'!CX$62=0,DC15&gt;0),DA15/'Cap Table'!CX$61,IFERROR(IF(DA15=0,'Cap Table'!CX$62*(1-CZ15),MIN('Cap Table'!CX$62*(1-CZ15),DA15/'Cap Table'!CX$61)),0))</f>
        <v>0</v>
      </c>
      <c r="DG15" s="170">
        <f t="shared" ca="1" si="83"/>
        <v>0</v>
      </c>
      <c r="DH15" s="170">
        <v>0</v>
      </c>
      <c r="DI15" s="146">
        <f t="shared" ca="1" si="36"/>
        <v>0</v>
      </c>
      <c r="DJ15" s="146">
        <f t="shared" si="36"/>
        <v>0</v>
      </c>
      <c r="DK15" s="146">
        <f t="shared" ca="1" si="69"/>
        <v>0</v>
      </c>
      <c r="DL15" s="147">
        <f t="shared" ca="1" si="37"/>
        <v>0</v>
      </c>
      <c r="DM15" s="146">
        <f ca="1">DK15*'Cap Table'!CX$62</f>
        <v>0</v>
      </c>
      <c r="DN15" s="173">
        <f ca="1">IFERROR(IF(OR(CW15='Cap Table'!$B$40,CW15='Cap Table'!$B$41,CW15='Cap Table'!$B$42),IF(SUM(CY15,CD15,BI15,AN15,S15,)&lt;SUM(CX15,CC15,BH15,AM15,R15),FV(MAX(DB15,CG15,BL15,AQ15,V15)/1,DATEDIF(CV15,'Cap Table'!$CX$60,"y"),0,-MAX(CX15,CC15,BH15,AM15,R15))/(MAX(DA15,CF15,BK15,AP15,U15,)/'Cap Table'!$CX$61),DK15),DK15),0)</f>
        <v>0</v>
      </c>
      <c r="DO15" s="147">
        <f t="shared" ca="1" si="38"/>
        <v>0</v>
      </c>
      <c r="DQ15" s="168">
        <f t="shared" ca="1" si="70"/>
        <v>45674</v>
      </c>
      <c r="DR15" s="168" t="str">
        <f t="shared" si="71"/>
        <v>Equity</v>
      </c>
      <c r="DS15" s="169">
        <v>0</v>
      </c>
      <c r="DT15" s="169">
        <f>IF('Cap Table'!DS$79&lt;&gt;"na",IF(CW15='Cap Table'!$B$40,CX15-CY15,0),0)</f>
        <v>0</v>
      </c>
      <c r="DU15" s="171">
        <f t="shared" si="86"/>
        <v>0</v>
      </c>
      <c r="DV15" s="169">
        <f t="shared" si="87"/>
        <v>0</v>
      </c>
      <c r="DW15" s="172">
        <f t="shared" si="88"/>
        <v>0</v>
      </c>
      <c r="DX15" s="170">
        <f ca="1">FV(DW15/1,DATEDIF(DQ15,'Cap Table'!DS$60,"y"),0,-DT15)</f>
        <v>0</v>
      </c>
      <c r="DY15" s="170">
        <f ca="1">IF('Cap Table'!DS$80="no",IFERROR(DX15/(1-DU15),0),IFERROR(DX15/(1-(MAX(DU15,('Cap Table'!DS$62-DV15/'Cap Table'!DS$61)/'Cap Table'!DS$62))),0))</f>
        <v>0</v>
      </c>
      <c r="DZ15" s="146">
        <f t="shared" ca="1" si="42"/>
        <v>0</v>
      </c>
      <c r="EA15" s="149">
        <f ca="1">IF(AND('Cap Table'!DS$62=0,DX15&gt;0),DV15/'Cap Table'!DS$61,IFERROR(IF(DV15=0,'Cap Table'!DS$62*(1-DU15),MIN('Cap Table'!DS$62*(1-DU15),DV15/'Cap Table'!DS$61)),0))</f>
        <v>0</v>
      </c>
      <c r="EB15" s="170">
        <f t="shared" ca="1" si="84"/>
        <v>0</v>
      </c>
      <c r="EC15" s="170">
        <v>0</v>
      </c>
      <c r="ED15" s="146">
        <f t="shared" ca="1" si="72"/>
        <v>0</v>
      </c>
      <c r="EE15" s="146">
        <f t="shared" si="43"/>
        <v>0</v>
      </c>
      <c r="EF15" s="146">
        <f t="shared" ca="1" si="73"/>
        <v>0</v>
      </c>
      <c r="EG15" s="147">
        <f t="shared" ca="1" si="44"/>
        <v>0</v>
      </c>
      <c r="EH15" s="146">
        <f ca="1">EF15*'Cap Table'!DS$62</f>
        <v>0</v>
      </c>
      <c r="EI15" s="173">
        <f ca="1">IFERROR(IF(OR(DR15='Cap Table'!$B$40,DR15='Cap Table'!$B$41,DR15='Cap Table'!$B$42),IF(SUM(DT15,CY15,CD15,BI15,AN15,S15)&lt;SUM(DS15,CX15,CC15,BH15,AM15,R15),FV(MAX(DW15,DB15,CG15,BL15,AQ15,V15)/1,DATEDIF(DQ15,'Cap Table'!DS$60,"y"),0,-MAX(DS15,CX15,CC15,BH15,AM15,R15))/(MAX(DV15,DA15,CF15,BK15,AP15,U15)/'Cap Table'!$DS$61),EF15),EF15),0)</f>
        <v>0</v>
      </c>
      <c r="EJ15" s="147">
        <f t="shared" ca="1" si="45"/>
        <v>0</v>
      </c>
      <c r="EL15" s="146">
        <f t="shared" si="74"/>
        <v>0</v>
      </c>
      <c r="EM15" s="146">
        <f t="shared" si="74"/>
        <v>0</v>
      </c>
      <c r="EN15" s="174" t="s">
        <v>27</v>
      </c>
      <c r="EO15" s="174" t="s">
        <v>27</v>
      </c>
      <c r="EP15" s="174" t="s">
        <v>27</v>
      </c>
      <c r="EQ15" s="146">
        <f t="shared" ca="1" si="75"/>
        <v>0</v>
      </c>
      <c r="ER15" s="146">
        <f t="shared" ca="1" si="75"/>
        <v>0</v>
      </c>
      <c r="ES15" s="146">
        <f t="shared" ca="1" si="75"/>
        <v>0</v>
      </c>
      <c r="ET15" s="149">
        <f t="shared" ca="1" si="89"/>
        <v>0</v>
      </c>
      <c r="EU15" s="146">
        <f t="shared" ca="1" si="76"/>
        <v>0</v>
      </c>
      <c r="EV15" s="146">
        <f t="shared" si="76"/>
        <v>0</v>
      </c>
      <c r="EW15" s="146">
        <f t="shared" ca="1" si="77"/>
        <v>0</v>
      </c>
      <c r="EX15" s="146">
        <f t="shared" si="77"/>
        <v>0</v>
      </c>
      <c r="EY15" s="146">
        <f t="shared" ca="1" si="77"/>
        <v>0</v>
      </c>
      <c r="EZ15" s="147">
        <f t="shared" ca="1" si="46"/>
        <v>0</v>
      </c>
      <c r="FA15" s="146">
        <f t="shared" ca="1" si="78"/>
        <v>0</v>
      </c>
      <c r="FB15" s="146">
        <f t="shared" ca="1" si="78"/>
        <v>0</v>
      </c>
      <c r="FC15" s="147">
        <f t="shared" ca="1" si="47"/>
        <v>0</v>
      </c>
      <c r="FE15" s="149" t="str">
        <f t="shared" si="0"/>
        <v>Common</v>
      </c>
      <c r="FF15" s="146">
        <f t="shared" ca="1" si="48"/>
        <v>0</v>
      </c>
      <c r="FG15" s="146">
        <f t="shared" ca="1" si="49"/>
        <v>0</v>
      </c>
      <c r="FH15" s="146">
        <f t="shared" ca="1" si="50"/>
        <v>0</v>
      </c>
      <c r="FJ15" s="146" t="str">
        <f t="shared" si="51"/>
        <v>Common</v>
      </c>
      <c r="FK15" s="174" t="str">
        <f t="shared" ca="1" si="52"/>
        <v>na</v>
      </c>
      <c r="FL15" s="174" t="str">
        <f t="shared" ca="1" si="52"/>
        <v>na</v>
      </c>
      <c r="FM15" s="174" t="str">
        <f t="shared" ca="1" si="53"/>
        <v>na</v>
      </c>
    </row>
    <row r="16" spans="2:169">
      <c r="B16" s="145" t="s">
        <v>27</v>
      </c>
      <c r="D16" s="167" t="s">
        <v>27</v>
      </c>
      <c r="E16" s="167" t="str">
        <f t="shared" si="54"/>
        <v>Common</v>
      </c>
      <c r="G16" s="168">
        <f t="shared" ca="1" si="1"/>
        <v>43482</v>
      </c>
      <c r="H16" s="289" t="str">
        <f t="shared" si="2"/>
        <v>Equity</v>
      </c>
      <c r="I16" s="169">
        <v>0</v>
      </c>
      <c r="J16" s="170">
        <v>0</v>
      </c>
      <c r="K16" s="170">
        <f t="shared" si="55"/>
        <v>0</v>
      </c>
      <c r="L16" s="147">
        <f t="shared" si="3"/>
        <v>0</v>
      </c>
      <c r="M16" s="170">
        <f t="shared" si="56"/>
        <v>0</v>
      </c>
      <c r="N16" s="147">
        <f t="shared" si="4"/>
        <v>0</v>
      </c>
      <c r="O16" s="147"/>
      <c r="P16" s="168">
        <f t="shared" ca="1" si="85"/>
        <v>43847</v>
      </c>
      <c r="Q16" s="289" t="str">
        <f t="shared" si="5"/>
        <v>Equity</v>
      </c>
      <c r="R16" s="169">
        <v>0</v>
      </c>
      <c r="S16" s="169">
        <v>0</v>
      </c>
      <c r="T16" s="171">
        <v>0</v>
      </c>
      <c r="U16" s="145">
        <v>0</v>
      </c>
      <c r="V16" s="172">
        <v>0</v>
      </c>
      <c r="W16" s="170">
        <f ca="1">FV(V16/1,DATEDIF(P16,'Cap Table'!R$60,"y"),0,-S16)</f>
        <v>0</v>
      </c>
      <c r="X16" s="170">
        <f t="shared" ca="1" si="6"/>
        <v>0</v>
      </c>
      <c r="Y16" s="146">
        <f t="shared" ca="1" si="7"/>
        <v>0</v>
      </c>
      <c r="Z16" s="149">
        <f ca="1">IF(AND('Cap Table'!R$62=0,W16&gt;0),U16/'Cap Table'!R$61,IFERROR(IF(U16=0,'Cap Table'!R$62*(1-T16),MIN('Cap Table'!R$62*(1-T16),U16/'Cap Table'!R$61)),0))</f>
        <v>0</v>
      </c>
      <c r="AA16" s="170">
        <f t="shared" ca="1" si="79"/>
        <v>0</v>
      </c>
      <c r="AB16" s="170">
        <v>0</v>
      </c>
      <c r="AC16" s="146">
        <f t="shared" ca="1" si="8"/>
        <v>0</v>
      </c>
      <c r="AD16" s="146">
        <f t="shared" si="8"/>
        <v>0</v>
      </c>
      <c r="AE16" s="146">
        <f t="shared" ca="1" si="57"/>
        <v>0</v>
      </c>
      <c r="AF16" s="147">
        <f t="shared" ca="1" si="9"/>
        <v>0</v>
      </c>
      <c r="AG16" s="146">
        <f ca="1">AE16*'Cap Table'!R$62</f>
        <v>0</v>
      </c>
      <c r="AH16" s="146">
        <f ca="1">IFERROR(IF(OR(Q16='Cap Table'!$B$40,Q16='Cap Table'!$B$41,Q16='Cap Table'!$B$42),IF(SUM(S16)&lt;SUM(R16),(FV(V16/1,DATEDIF(P16,'Cap Table'!R$60,"y"),0,-R16))/(U16/'Cap Table'!$R$61),AE16),AE16),0)</f>
        <v>0</v>
      </c>
      <c r="AI16" s="147">
        <f t="shared" ca="1" si="10"/>
        <v>0</v>
      </c>
      <c r="AK16" s="168">
        <f t="shared" ca="1" si="58"/>
        <v>44213</v>
      </c>
      <c r="AL16" s="168" t="str">
        <f t="shared" si="59"/>
        <v>Equity</v>
      </c>
      <c r="AM16" s="169">
        <v>0</v>
      </c>
      <c r="AN16" s="169">
        <f>IF('Cap Table'!AM$79&lt;&gt;"na",IF(Q16='Cap Table'!$B$40,R16-S16,0),0)</f>
        <v>0</v>
      </c>
      <c r="AO16" s="171">
        <f t="shared" si="11"/>
        <v>0</v>
      </c>
      <c r="AP16" s="169">
        <f t="shared" si="12"/>
        <v>0</v>
      </c>
      <c r="AQ16" s="172">
        <f t="shared" si="13"/>
        <v>0</v>
      </c>
      <c r="AR16" s="170">
        <f ca="1">FV(AQ16/1,DATEDIF(AK16,'Cap Table'!AM$60,"y"),0,-AN16)</f>
        <v>0</v>
      </c>
      <c r="AS16" s="170">
        <f ca="1">IF('Cap Table'!AM$80="no",IFERROR(AR16/(1-AO16),0),IFERROR(AR16/(1-(MAX(AO16,('Cap Table'!AM$62-AP16/'Cap Table'!AM$61)/'Cap Table'!AM$62))),0))</f>
        <v>0</v>
      </c>
      <c r="AT16" s="146">
        <f t="shared" ca="1" si="14"/>
        <v>0</v>
      </c>
      <c r="AU16" s="149">
        <f ca="1">IF(AND('Cap Table'!AM$62=0,AR16&gt;0),AP16/'Cap Table'!AM$61,IFERROR(IF(AP16=0,'Cap Table'!AM$62*(1-AO16),MIN('Cap Table'!AM$62*(1-AO16),AP16/'Cap Table'!AM$61)),0))</f>
        <v>0</v>
      </c>
      <c r="AV16" s="170">
        <f t="shared" ca="1" si="80"/>
        <v>0</v>
      </c>
      <c r="AW16" s="170">
        <v>0</v>
      </c>
      <c r="AX16" s="146">
        <f t="shared" ca="1" si="15"/>
        <v>0</v>
      </c>
      <c r="AY16" s="146">
        <f t="shared" si="15"/>
        <v>0</v>
      </c>
      <c r="AZ16" s="146">
        <f t="shared" ca="1" si="60"/>
        <v>0</v>
      </c>
      <c r="BA16" s="147">
        <f t="shared" ca="1" si="16"/>
        <v>0</v>
      </c>
      <c r="BB16" s="146">
        <f ca="1">AZ16*'Cap Table'!AM$62</f>
        <v>0</v>
      </c>
      <c r="BC16" s="173">
        <f ca="1">IFERROR(IF(OR(AL16='Cap Table'!$B$40,AL16='Cap Table'!$B$41,AL16='Cap Table'!$B$42),IF(SUM(AN16,S16)&lt;SUM(AM16,R16),FV(MAX(AQ16,V16)/1,DATEDIF(AK16,'Cap Table'!$AM$60,"y"),0,-MAX(AM16,R16))/(MAX(AP16,U16)/'Cap Table'!$AM$61),AZ16),AZ16),0)</f>
        <v>0</v>
      </c>
      <c r="BD16" s="147">
        <f t="shared" ca="1" si="17"/>
        <v>0</v>
      </c>
      <c r="BF16" s="168">
        <f t="shared" ca="1" si="61"/>
        <v>44578</v>
      </c>
      <c r="BG16" s="168" t="str">
        <f t="shared" si="62"/>
        <v>Equity</v>
      </c>
      <c r="BH16" s="169">
        <v>0</v>
      </c>
      <c r="BI16" s="169">
        <f>IF('Cap Table'!BH$79&lt;&gt;"na",IF(AL16='Cap Table'!$B$40,AM16-AN16,0),0)</f>
        <v>0</v>
      </c>
      <c r="BJ16" s="171">
        <f t="shared" si="18"/>
        <v>0</v>
      </c>
      <c r="BK16" s="169">
        <f t="shared" si="19"/>
        <v>0</v>
      </c>
      <c r="BL16" s="172">
        <f t="shared" si="20"/>
        <v>0</v>
      </c>
      <c r="BM16" s="170">
        <f ca="1">FV(BL16/1,DATEDIF(BF16,'Cap Table'!BH$60,"y"),0,-BI16)</f>
        <v>0</v>
      </c>
      <c r="BN16" s="170">
        <f ca="1">IF('Cap Table'!BH$80="no",IFERROR(BM16/(1-BJ16),0),IFERROR(BM16/(1-(MAX(BJ16,('Cap Table'!BH$62-BK16/'Cap Table'!BH$61)/'Cap Table'!BH$62))),0))</f>
        <v>0</v>
      </c>
      <c r="BO16" s="146">
        <f t="shared" ca="1" si="21"/>
        <v>0</v>
      </c>
      <c r="BP16" s="149">
        <f ca="1">IF(AND('Cap Table'!BH$62=0,BM16&gt;0),BK16/'Cap Table'!BH$61,IFERROR(IF(BK16=0,'Cap Table'!BH$62*(1-BJ16),MIN('Cap Table'!BH$62*(1-BJ16),BK16/'Cap Table'!BH$61)),0))</f>
        <v>0</v>
      </c>
      <c r="BQ16" s="170">
        <f t="shared" ca="1" si="81"/>
        <v>0</v>
      </c>
      <c r="BR16" s="170">
        <v>0</v>
      </c>
      <c r="BS16" s="146">
        <f t="shared" ca="1" si="22"/>
        <v>0</v>
      </c>
      <c r="BT16" s="146">
        <f t="shared" si="22"/>
        <v>0</v>
      </c>
      <c r="BU16" s="146">
        <f t="shared" ca="1" si="63"/>
        <v>0</v>
      </c>
      <c r="BV16" s="147">
        <f t="shared" ca="1" si="23"/>
        <v>0</v>
      </c>
      <c r="BW16" s="146">
        <f ca="1">BU16*'Cap Table'!BH$62</f>
        <v>0</v>
      </c>
      <c r="BX16" s="173">
        <f ca="1">IFERROR(IF(OR(BG16='Cap Table'!$B$40,BG16='Cap Table'!$B$41,BG16='Cap Table'!$B$42),IF(SUM(BI16,AN16,S16)&lt;SUM(BH16,AM16,R16),FV(MAX(BL16,AQ16,V16)/1,DATEDIF(BF16,'Cap Table'!$BH$60,"y"),0,-MAX(BH16,AM16,R16))/(MAX(BK16,AP16,U16)/'Cap Table'!$BH$61),BU16),BU16),0)</f>
        <v>0</v>
      </c>
      <c r="BY16" s="147">
        <f t="shared" ca="1" si="24"/>
        <v>0</v>
      </c>
      <c r="CA16" s="168">
        <f t="shared" ca="1" si="64"/>
        <v>44943</v>
      </c>
      <c r="CB16" s="168" t="str">
        <f t="shared" si="65"/>
        <v>Equity</v>
      </c>
      <c r="CC16" s="169">
        <v>0</v>
      </c>
      <c r="CD16" s="169">
        <f>IF('Cap Table'!CC$79&lt;&gt;"na",IF(BG16='Cap Table'!$B$40,BH16-BI16,0),0)</f>
        <v>0</v>
      </c>
      <c r="CE16" s="171">
        <f t="shared" si="25"/>
        <v>0</v>
      </c>
      <c r="CF16" s="169">
        <f t="shared" si="26"/>
        <v>0</v>
      </c>
      <c r="CG16" s="172">
        <f t="shared" si="27"/>
        <v>0</v>
      </c>
      <c r="CH16" s="170">
        <f ca="1">FV(CG16/1,DATEDIF(CA16,'Cap Table'!CC$60,"y"),0,-CD16)</f>
        <v>0</v>
      </c>
      <c r="CI16" s="170">
        <f ca="1">IF('Cap Table'!CC$80="no",IFERROR(CH16/(1-CE16),0),IFERROR(CH16/(1-(MAX(CE16,('Cap Table'!CC$62-CF16/'Cap Table'!CC$61)/'Cap Table'!CC$62))),0))</f>
        <v>0</v>
      </c>
      <c r="CJ16" s="146">
        <f t="shared" ca="1" si="28"/>
        <v>0</v>
      </c>
      <c r="CK16" s="149">
        <f ca="1">IF(AND('Cap Table'!CC$62=0,CH16&gt;0),CF16/'Cap Table'!CC$61,IFERROR(IF(CF16=0,'Cap Table'!CC$62*(1-CE16),MIN('Cap Table'!CC$62*(1-CE16),CF16/'Cap Table'!CC$61)),0))</f>
        <v>0</v>
      </c>
      <c r="CL16" s="170">
        <f t="shared" ca="1" si="82"/>
        <v>0</v>
      </c>
      <c r="CM16" s="170">
        <v>0</v>
      </c>
      <c r="CN16" s="146">
        <f t="shared" ca="1" si="29"/>
        <v>0</v>
      </c>
      <c r="CO16" s="146">
        <f t="shared" si="29"/>
        <v>0</v>
      </c>
      <c r="CP16" s="146">
        <f t="shared" ca="1" si="66"/>
        <v>0</v>
      </c>
      <c r="CQ16" s="147">
        <f t="shared" ca="1" si="30"/>
        <v>0</v>
      </c>
      <c r="CR16" s="146">
        <f ca="1">CP16*'Cap Table'!CC$62</f>
        <v>0</v>
      </c>
      <c r="CS16" s="173">
        <f ca="1">IFERROR(IF(OR(CB16='Cap Table'!$B$40,CB16='Cap Table'!$B$41,CB16='Cap Table'!$B$42),IF(SUM(CD16,BI16,AN16,S16)&lt;SUM(CC16,BH16,AM16,R16),FV(MAX(CG16,BL16,AQ16,V16)/1,DATEDIF(CA16,'Cap Table'!$CC$60,"y"),0,-MAX(CC16,BH16,AM16,R16))/(MAX(CF16,BK16,AP16,U16)/'Cap Table'!$CC$61),CP16),CP16),0)</f>
        <v>0</v>
      </c>
      <c r="CT16" s="147">
        <f t="shared" ca="1" si="31"/>
        <v>0</v>
      </c>
      <c r="CV16" s="168">
        <f t="shared" ca="1" si="67"/>
        <v>45308</v>
      </c>
      <c r="CW16" s="168" t="str">
        <f t="shared" si="68"/>
        <v>Equity</v>
      </c>
      <c r="CX16" s="169">
        <v>0</v>
      </c>
      <c r="CY16" s="169">
        <f>IF('Cap Table'!CX$79&lt;&gt;"na",IF(CB16='Cap Table'!$B$40,CC16-CD16,0),0)</f>
        <v>0</v>
      </c>
      <c r="CZ16" s="171">
        <f t="shared" si="32"/>
        <v>0</v>
      </c>
      <c r="DA16" s="169">
        <f t="shared" si="33"/>
        <v>0</v>
      </c>
      <c r="DB16" s="172">
        <f t="shared" si="34"/>
        <v>0</v>
      </c>
      <c r="DC16" s="170">
        <f ca="1">FV(DB16/1,DATEDIF(CV16,'Cap Table'!CX$60,"y"),0,-CY16)</f>
        <v>0</v>
      </c>
      <c r="DD16" s="170">
        <f ca="1">IF('Cap Table'!CX$80="no",IFERROR(DC16/(1-CZ16),0),IFERROR(DC16/(1-(MAX(CZ16,('Cap Table'!CX$62-DA16/'Cap Table'!CX$61)/'Cap Table'!CX$62))),0))</f>
        <v>0</v>
      </c>
      <c r="DE16" s="146">
        <f t="shared" ca="1" si="35"/>
        <v>0</v>
      </c>
      <c r="DF16" s="149">
        <f ca="1">IF(AND('Cap Table'!CX$62=0,DC16&gt;0),DA16/'Cap Table'!CX$61,IFERROR(IF(DA16=0,'Cap Table'!CX$62*(1-CZ16),MIN('Cap Table'!CX$62*(1-CZ16),DA16/'Cap Table'!CX$61)),0))</f>
        <v>0</v>
      </c>
      <c r="DG16" s="170">
        <f t="shared" ca="1" si="83"/>
        <v>0</v>
      </c>
      <c r="DH16" s="170">
        <v>0</v>
      </c>
      <c r="DI16" s="146">
        <f t="shared" ca="1" si="36"/>
        <v>0</v>
      </c>
      <c r="DJ16" s="146">
        <f t="shared" si="36"/>
        <v>0</v>
      </c>
      <c r="DK16" s="146">
        <f t="shared" ca="1" si="69"/>
        <v>0</v>
      </c>
      <c r="DL16" s="147">
        <f t="shared" ca="1" si="37"/>
        <v>0</v>
      </c>
      <c r="DM16" s="146">
        <f ca="1">DK16*'Cap Table'!CX$62</f>
        <v>0</v>
      </c>
      <c r="DN16" s="173">
        <f ca="1">IFERROR(IF(OR(CW16='Cap Table'!$B$40,CW16='Cap Table'!$B$41,CW16='Cap Table'!$B$42),IF(SUM(CY16,CD16,BI16,AN16,S16,)&lt;SUM(CX16,CC16,BH16,AM16,R16),FV(MAX(DB16,CG16,BL16,AQ16,V16)/1,DATEDIF(CV16,'Cap Table'!$CX$60,"y"),0,-MAX(CX16,CC16,BH16,AM16,R16))/(MAX(DA16,CF16,BK16,AP16,U16,)/'Cap Table'!$CX$61),DK16),DK16),0)</f>
        <v>0</v>
      </c>
      <c r="DO16" s="147">
        <f t="shared" ca="1" si="38"/>
        <v>0</v>
      </c>
      <c r="DQ16" s="168">
        <f t="shared" ca="1" si="70"/>
        <v>45674</v>
      </c>
      <c r="DR16" s="168" t="str">
        <f t="shared" si="71"/>
        <v>Equity</v>
      </c>
      <c r="DS16" s="169">
        <v>0</v>
      </c>
      <c r="DT16" s="169">
        <f>IF('Cap Table'!DS$79&lt;&gt;"na",IF(CW16='Cap Table'!$B$40,CX16-CY16,0),0)</f>
        <v>0</v>
      </c>
      <c r="DU16" s="171">
        <f t="shared" si="86"/>
        <v>0</v>
      </c>
      <c r="DV16" s="169">
        <f t="shared" si="87"/>
        <v>0</v>
      </c>
      <c r="DW16" s="172">
        <f t="shared" si="88"/>
        <v>0</v>
      </c>
      <c r="DX16" s="170">
        <f ca="1">FV(DW16/1,DATEDIF(DQ16,'Cap Table'!DS$60,"y"),0,-DT16)</f>
        <v>0</v>
      </c>
      <c r="DY16" s="170">
        <f ca="1">IF('Cap Table'!DS$80="no",IFERROR(DX16/(1-DU16),0),IFERROR(DX16/(1-(MAX(DU16,('Cap Table'!DS$62-DV16/'Cap Table'!DS$61)/'Cap Table'!DS$62))),0))</f>
        <v>0</v>
      </c>
      <c r="DZ16" s="146">
        <f t="shared" ca="1" si="42"/>
        <v>0</v>
      </c>
      <c r="EA16" s="149">
        <f ca="1">IF(AND('Cap Table'!DS$62=0,DX16&gt;0),DV16/'Cap Table'!DS$61,IFERROR(IF(DV16=0,'Cap Table'!DS$62*(1-DU16),MIN('Cap Table'!DS$62*(1-DU16),DV16/'Cap Table'!DS$61)),0))</f>
        <v>0</v>
      </c>
      <c r="EB16" s="170">
        <f t="shared" ca="1" si="84"/>
        <v>0</v>
      </c>
      <c r="EC16" s="170">
        <v>0</v>
      </c>
      <c r="ED16" s="146">
        <f t="shared" ca="1" si="72"/>
        <v>0</v>
      </c>
      <c r="EE16" s="146">
        <f t="shared" si="43"/>
        <v>0</v>
      </c>
      <c r="EF16" s="146">
        <f t="shared" ca="1" si="73"/>
        <v>0</v>
      </c>
      <c r="EG16" s="147">
        <f t="shared" ca="1" si="44"/>
        <v>0</v>
      </c>
      <c r="EH16" s="146">
        <f ca="1">EF16*'Cap Table'!DS$62</f>
        <v>0</v>
      </c>
      <c r="EI16" s="173">
        <f ca="1">IFERROR(IF(OR(DR16='Cap Table'!$B$40,DR16='Cap Table'!$B$41,DR16='Cap Table'!$B$42),IF(SUM(DT16,CY16,CD16,BI16,AN16,S16)&lt;SUM(DS16,CX16,CC16,BH16,AM16,R16),FV(MAX(DW16,DB16,CG16,BL16,AQ16,V16)/1,DATEDIF(DQ16,'Cap Table'!DS$60,"y"),0,-MAX(DS16,CX16,CC16,BH16,AM16,R16))/(MAX(DV16,DA16,CF16,BK16,AP16,U16)/'Cap Table'!$DS$61),EF16),EF16),0)</f>
        <v>0</v>
      </c>
      <c r="EJ16" s="147">
        <f t="shared" ca="1" si="45"/>
        <v>0</v>
      </c>
      <c r="EL16" s="146">
        <f t="shared" si="74"/>
        <v>0</v>
      </c>
      <c r="EM16" s="146">
        <f t="shared" si="74"/>
        <v>0</v>
      </c>
      <c r="EN16" s="174" t="s">
        <v>27</v>
      </c>
      <c r="EO16" s="174" t="s">
        <v>27</v>
      </c>
      <c r="EP16" s="174" t="s">
        <v>27</v>
      </c>
      <c r="EQ16" s="146">
        <f t="shared" ca="1" si="75"/>
        <v>0</v>
      </c>
      <c r="ER16" s="146">
        <f t="shared" ca="1" si="75"/>
        <v>0</v>
      </c>
      <c r="ES16" s="146">
        <f t="shared" ca="1" si="75"/>
        <v>0</v>
      </c>
      <c r="ET16" s="149">
        <f t="shared" ca="1" si="89"/>
        <v>0</v>
      </c>
      <c r="EU16" s="146">
        <f t="shared" ca="1" si="76"/>
        <v>0</v>
      </c>
      <c r="EV16" s="146">
        <f t="shared" si="76"/>
        <v>0</v>
      </c>
      <c r="EW16" s="146">
        <f t="shared" ca="1" si="77"/>
        <v>0</v>
      </c>
      <c r="EX16" s="146">
        <f t="shared" si="77"/>
        <v>0</v>
      </c>
      <c r="EY16" s="146">
        <f t="shared" ca="1" si="77"/>
        <v>0</v>
      </c>
      <c r="EZ16" s="147">
        <f t="shared" ca="1" si="46"/>
        <v>0</v>
      </c>
      <c r="FA16" s="146">
        <f t="shared" ca="1" si="78"/>
        <v>0</v>
      </c>
      <c r="FB16" s="146">
        <f t="shared" ca="1" si="78"/>
        <v>0</v>
      </c>
      <c r="FC16" s="147">
        <f t="shared" ca="1" si="47"/>
        <v>0</v>
      </c>
      <c r="FE16" s="149" t="str">
        <f t="shared" si="0"/>
        <v>Common</v>
      </c>
      <c r="FF16" s="146">
        <f t="shared" ca="1" si="48"/>
        <v>0</v>
      </c>
      <c r="FG16" s="146">
        <f t="shared" ca="1" si="49"/>
        <v>0</v>
      </c>
      <c r="FH16" s="146">
        <f t="shared" ca="1" si="50"/>
        <v>0</v>
      </c>
      <c r="FJ16" s="146" t="str">
        <f t="shared" si="51"/>
        <v>Common</v>
      </c>
      <c r="FK16" s="174" t="str">
        <f t="shared" ca="1" si="52"/>
        <v>na</v>
      </c>
      <c r="FL16" s="174" t="str">
        <f t="shared" ca="1" si="52"/>
        <v>na</v>
      </c>
      <c r="FM16" s="174" t="str">
        <f t="shared" ca="1" si="53"/>
        <v>na</v>
      </c>
    </row>
    <row r="17" spans="2:169">
      <c r="B17" s="145" t="s">
        <v>27</v>
      </c>
      <c r="D17" s="167" t="s">
        <v>27</v>
      </c>
      <c r="E17" s="167" t="str">
        <f t="shared" si="54"/>
        <v>Common</v>
      </c>
      <c r="G17" s="168">
        <f t="shared" ca="1" si="1"/>
        <v>43482</v>
      </c>
      <c r="H17" s="289" t="str">
        <f t="shared" si="2"/>
        <v>Equity</v>
      </c>
      <c r="I17" s="169">
        <v>0</v>
      </c>
      <c r="J17" s="170">
        <v>0</v>
      </c>
      <c r="K17" s="170">
        <f t="shared" si="55"/>
        <v>0</v>
      </c>
      <c r="L17" s="147">
        <f t="shared" si="3"/>
        <v>0</v>
      </c>
      <c r="M17" s="170">
        <f t="shared" si="56"/>
        <v>0</v>
      </c>
      <c r="N17" s="147">
        <f t="shared" si="4"/>
        <v>0</v>
      </c>
      <c r="O17" s="147"/>
      <c r="P17" s="168">
        <f t="shared" ca="1" si="85"/>
        <v>43847</v>
      </c>
      <c r="Q17" s="289" t="str">
        <f t="shared" si="5"/>
        <v>Equity</v>
      </c>
      <c r="R17" s="169">
        <v>0</v>
      </c>
      <c r="S17" s="169">
        <v>0</v>
      </c>
      <c r="T17" s="171">
        <v>0</v>
      </c>
      <c r="U17" s="145">
        <v>0</v>
      </c>
      <c r="V17" s="172">
        <v>0</v>
      </c>
      <c r="W17" s="170">
        <f ca="1">FV(V17/1,DATEDIF(P17,'Cap Table'!R$60,"y"),0,-S17)</f>
        <v>0</v>
      </c>
      <c r="X17" s="170">
        <f t="shared" ca="1" si="6"/>
        <v>0</v>
      </c>
      <c r="Y17" s="146">
        <f t="shared" ca="1" si="7"/>
        <v>0</v>
      </c>
      <c r="Z17" s="149">
        <f ca="1">IF(AND('Cap Table'!R$62=0,W17&gt;0),U17/'Cap Table'!R$61,IFERROR(IF(U17=0,'Cap Table'!R$62*(1-T17),MIN('Cap Table'!R$62*(1-T17),U17/'Cap Table'!R$61)),0))</f>
        <v>0</v>
      </c>
      <c r="AA17" s="170">
        <f t="shared" ca="1" si="79"/>
        <v>0</v>
      </c>
      <c r="AB17" s="170">
        <v>0</v>
      </c>
      <c r="AC17" s="146">
        <f t="shared" ca="1" si="8"/>
        <v>0</v>
      </c>
      <c r="AD17" s="146">
        <f t="shared" si="8"/>
        <v>0</v>
      </c>
      <c r="AE17" s="146">
        <f t="shared" ca="1" si="57"/>
        <v>0</v>
      </c>
      <c r="AF17" s="147">
        <f t="shared" ca="1" si="9"/>
        <v>0</v>
      </c>
      <c r="AG17" s="146">
        <f ca="1">AE17*'Cap Table'!R$62</f>
        <v>0</v>
      </c>
      <c r="AH17" s="146">
        <f ca="1">IFERROR(IF(OR(Q17='Cap Table'!$B$40,Q17='Cap Table'!$B$41,Q17='Cap Table'!$B$42),IF(SUM(S17)&lt;SUM(R17),(FV(V17/1,DATEDIF(P17,'Cap Table'!R$60,"y"),0,-R17))/(U17/'Cap Table'!$R$61),AE17),AE17),0)</f>
        <v>0</v>
      </c>
      <c r="AI17" s="147">
        <f t="shared" ca="1" si="10"/>
        <v>0</v>
      </c>
      <c r="AK17" s="168">
        <f t="shared" ca="1" si="58"/>
        <v>44213</v>
      </c>
      <c r="AL17" s="168" t="str">
        <f t="shared" si="59"/>
        <v>Equity</v>
      </c>
      <c r="AM17" s="169">
        <v>0</v>
      </c>
      <c r="AN17" s="169">
        <f>IF('Cap Table'!AM$79&lt;&gt;"na",IF(Q17='Cap Table'!$B$40,R17-S17,0),0)</f>
        <v>0</v>
      </c>
      <c r="AO17" s="171">
        <f t="shared" si="11"/>
        <v>0</v>
      </c>
      <c r="AP17" s="169">
        <f t="shared" si="12"/>
        <v>0</v>
      </c>
      <c r="AQ17" s="172">
        <f t="shared" si="13"/>
        <v>0</v>
      </c>
      <c r="AR17" s="170">
        <f ca="1">FV(AQ17/1,DATEDIF(AK17,'Cap Table'!AM$60,"y"),0,-AN17)</f>
        <v>0</v>
      </c>
      <c r="AS17" s="170">
        <f ca="1">IF('Cap Table'!AM$80="no",IFERROR(AR17/(1-AO17),0),IFERROR(AR17/(1-(MAX(AO17,('Cap Table'!AM$62-AP17/'Cap Table'!AM$61)/'Cap Table'!AM$62))),0))</f>
        <v>0</v>
      </c>
      <c r="AT17" s="146">
        <f t="shared" ca="1" si="14"/>
        <v>0</v>
      </c>
      <c r="AU17" s="149">
        <f ca="1">IF(AND('Cap Table'!AM$62=0,AR17&gt;0),AP17/'Cap Table'!AM$61,IFERROR(IF(AP17=0,'Cap Table'!AM$62*(1-AO17),MIN('Cap Table'!AM$62*(1-AO17),AP17/'Cap Table'!AM$61)),0))</f>
        <v>0</v>
      </c>
      <c r="AV17" s="170">
        <f t="shared" ca="1" si="80"/>
        <v>0</v>
      </c>
      <c r="AW17" s="170">
        <v>0</v>
      </c>
      <c r="AX17" s="146">
        <f t="shared" ca="1" si="15"/>
        <v>0</v>
      </c>
      <c r="AY17" s="146">
        <f t="shared" si="15"/>
        <v>0</v>
      </c>
      <c r="AZ17" s="146">
        <f t="shared" ca="1" si="60"/>
        <v>0</v>
      </c>
      <c r="BA17" s="147">
        <f t="shared" ca="1" si="16"/>
        <v>0</v>
      </c>
      <c r="BB17" s="146">
        <f ca="1">AZ17*'Cap Table'!AM$62</f>
        <v>0</v>
      </c>
      <c r="BC17" s="173">
        <f ca="1">IFERROR(IF(OR(AL17='Cap Table'!$B$40,AL17='Cap Table'!$B$41,AL17='Cap Table'!$B$42),IF(SUM(AN17,S17)&lt;SUM(AM17,R17),FV(MAX(AQ17,V17)/1,DATEDIF(AK17,'Cap Table'!$AM$60,"y"),0,-MAX(AM17,R17))/(MAX(AP17,U17)/'Cap Table'!$AM$61),AZ17),AZ17),0)</f>
        <v>0</v>
      </c>
      <c r="BD17" s="147">
        <f t="shared" ca="1" si="17"/>
        <v>0</v>
      </c>
      <c r="BF17" s="168">
        <f t="shared" ca="1" si="61"/>
        <v>44578</v>
      </c>
      <c r="BG17" s="168" t="str">
        <f t="shared" si="62"/>
        <v>Equity</v>
      </c>
      <c r="BH17" s="169">
        <v>0</v>
      </c>
      <c r="BI17" s="169">
        <f>IF('Cap Table'!BH$79&lt;&gt;"na",IF(AL17='Cap Table'!$B$40,AM17-AN17,0),0)</f>
        <v>0</v>
      </c>
      <c r="BJ17" s="171">
        <f t="shared" si="18"/>
        <v>0</v>
      </c>
      <c r="BK17" s="169">
        <f t="shared" si="19"/>
        <v>0</v>
      </c>
      <c r="BL17" s="172">
        <f t="shared" si="20"/>
        <v>0</v>
      </c>
      <c r="BM17" s="170">
        <f ca="1">FV(BL17/1,DATEDIF(BF17,'Cap Table'!BH$60,"y"),0,-BI17)</f>
        <v>0</v>
      </c>
      <c r="BN17" s="170">
        <f ca="1">IF('Cap Table'!BH$80="no",IFERROR(BM17/(1-BJ17),0),IFERROR(BM17/(1-(MAX(BJ17,('Cap Table'!BH$62-BK17/'Cap Table'!BH$61)/'Cap Table'!BH$62))),0))</f>
        <v>0</v>
      </c>
      <c r="BO17" s="146">
        <f t="shared" ca="1" si="21"/>
        <v>0</v>
      </c>
      <c r="BP17" s="149">
        <f ca="1">IF(AND('Cap Table'!BH$62=0,BM17&gt;0),BK17/'Cap Table'!BH$61,IFERROR(IF(BK17=0,'Cap Table'!BH$62*(1-BJ17),MIN('Cap Table'!BH$62*(1-BJ17),BK17/'Cap Table'!BH$61)),0))</f>
        <v>0</v>
      </c>
      <c r="BQ17" s="170">
        <f t="shared" ca="1" si="81"/>
        <v>0</v>
      </c>
      <c r="BR17" s="170">
        <v>0</v>
      </c>
      <c r="BS17" s="146">
        <f t="shared" ca="1" si="22"/>
        <v>0</v>
      </c>
      <c r="BT17" s="146">
        <f t="shared" si="22"/>
        <v>0</v>
      </c>
      <c r="BU17" s="146">
        <f t="shared" ca="1" si="63"/>
        <v>0</v>
      </c>
      <c r="BV17" s="147">
        <f t="shared" ca="1" si="23"/>
        <v>0</v>
      </c>
      <c r="BW17" s="146">
        <f ca="1">BU17*'Cap Table'!BH$62</f>
        <v>0</v>
      </c>
      <c r="BX17" s="173">
        <f ca="1">IFERROR(IF(OR(BG17='Cap Table'!$B$40,BG17='Cap Table'!$B$41,BG17='Cap Table'!$B$42),IF(SUM(BI17,AN17,S17)&lt;SUM(BH17,AM17,R17),FV(MAX(BL17,AQ17,V17)/1,DATEDIF(BF17,'Cap Table'!$BH$60,"y"),0,-MAX(BH17,AM17,R17))/(MAX(BK17,AP17,U17)/'Cap Table'!$BH$61),BU17),BU17),0)</f>
        <v>0</v>
      </c>
      <c r="BY17" s="147">
        <f t="shared" ca="1" si="24"/>
        <v>0</v>
      </c>
      <c r="CA17" s="168">
        <f t="shared" ca="1" si="64"/>
        <v>44943</v>
      </c>
      <c r="CB17" s="168" t="str">
        <f t="shared" si="65"/>
        <v>Equity</v>
      </c>
      <c r="CC17" s="169">
        <v>0</v>
      </c>
      <c r="CD17" s="169">
        <f>IF('Cap Table'!CC$79&lt;&gt;"na",IF(BG17='Cap Table'!$B$40,BH17-BI17,0),0)</f>
        <v>0</v>
      </c>
      <c r="CE17" s="171">
        <f t="shared" si="25"/>
        <v>0</v>
      </c>
      <c r="CF17" s="169">
        <f t="shared" si="26"/>
        <v>0</v>
      </c>
      <c r="CG17" s="172">
        <f t="shared" si="27"/>
        <v>0</v>
      </c>
      <c r="CH17" s="170">
        <f ca="1">FV(CG17/1,DATEDIF(CA17,'Cap Table'!CC$60,"y"),0,-CD17)</f>
        <v>0</v>
      </c>
      <c r="CI17" s="170">
        <f ca="1">IF('Cap Table'!CC$80="no",IFERROR(CH17/(1-CE17),0),IFERROR(CH17/(1-(MAX(CE17,('Cap Table'!CC$62-CF17/'Cap Table'!CC$61)/'Cap Table'!CC$62))),0))</f>
        <v>0</v>
      </c>
      <c r="CJ17" s="146">
        <f t="shared" ca="1" si="28"/>
        <v>0</v>
      </c>
      <c r="CK17" s="149">
        <f ca="1">IF(AND('Cap Table'!CC$62=0,CH17&gt;0),CF17/'Cap Table'!CC$61,IFERROR(IF(CF17=0,'Cap Table'!CC$62*(1-CE17),MIN('Cap Table'!CC$62*(1-CE17),CF17/'Cap Table'!CC$61)),0))</f>
        <v>0</v>
      </c>
      <c r="CL17" s="170">
        <f t="shared" ca="1" si="82"/>
        <v>0</v>
      </c>
      <c r="CM17" s="170">
        <v>0</v>
      </c>
      <c r="CN17" s="146">
        <f t="shared" ca="1" si="29"/>
        <v>0</v>
      </c>
      <c r="CO17" s="146">
        <f t="shared" si="29"/>
        <v>0</v>
      </c>
      <c r="CP17" s="146">
        <f t="shared" ca="1" si="66"/>
        <v>0</v>
      </c>
      <c r="CQ17" s="147">
        <f t="shared" ca="1" si="30"/>
        <v>0</v>
      </c>
      <c r="CR17" s="146">
        <f ca="1">CP17*'Cap Table'!CC$62</f>
        <v>0</v>
      </c>
      <c r="CS17" s="173">
        <f ca="1">IFERROR(IF(OR(CB17='Cap Table'!$B$40,CB17='Cap Table'!$B$41,CB17='Cap Table'!$B$42),IF(SUM(CD17,BI17,AN17,S17)&lt;SUM(CC17,BH17,AM17,R17),FV(MAX(CG17,BL17,AQ17,V17)/1,DATEDIF(CA17,'Cap Table'!$CC$60,"y"),0,-MAX(CC17,BH17,AM17,R17))/(MAX(CF17,BK17,AP17,U17)/'Cap Table'!$CC$61),CP17),CP17),0)</f>
        <v>0</v>
      </c>
      <c r="CT17" s="147">
        <f t="shared" ca="1" si="31"/>
        <v>0</v>
      </c>
      <c r="CV17" s="168">
        <f t="shared" ca="1" si="67"/>
        <v>45308</v>
      </c>
      <c r="CW17" s="168" t="str">
        <f t="shared" si="68"/>
        <v>Equity</v>
      </c>
      <c r="CX17" s="169">
        <v>0</v>
      </c>
      <c r="CY17" s="169">
        <f>IF('Cap Table'!CX$79&lt;&gt;"na",IF(CB17='Cap Table'!$B$40,CC17-CD17,0),0)</f>
        <v>0</v>
      </c>
      <c r="CZ17" s="171">
        <f t="shared" si="32"/>
        <v>0</v>
      </c>
      <c r="DA17" s="169">
        <f t="shared" si="33"/>
        <v>0</v>
      </c>
      <c r="DB17" s="172">
        <f t="shared" si="34"/>
        <v>0</v>
      </c>
      <c r="DC17" s="170">
        <f ca="1">FV(DB17/1,DATEDIF(CV17,'Cap Table'!CX$60,"y"),0,-CY17)</f>
        <v>0</v>
      </c>
      <c r="DD17" s="170">
        <f ca="1">IF('Cap Table'!CX$80="no",IFERROR(DC17/(1-CZ17),0),IFERROR(DC17/(1-(MAX(CZ17,('Cap Table'!CX$62-DA17/'Cap Table'!CX$61)/'Cap Table'!CX$62))),0))</f>
        <v>0</v>
      </c>
      <c r="DE17" s="146">
        <f t="shared" ca="1" si="35"/>
        <v>0</v>
      </c>
      <c r="DF17" s="149">
        <f ca="1">IF(AND('Cap Table'!CX$62=0,DC17&gt;0),DA17/'Cap Table'!CX$61,IFERROR(IF(DA17=0,'Cap Table'!CX$62*(1-CZ17),MIN('Cap Table'!CX$62*(1-CZ17),DA17/'Cap Table'!CX$61)),0))</f>
        <v>0</v>
      </c>
      <c r="DG17" s="170">
        <f t="shared" ca="1" si="83"/>
        <v>0</v>
      </c>
      <c r="DH17" s="170">
        <v>0</v>
      </c>
      <c r="DI17" s="146">
        <f t="shared" ca="1" si="36"/>
        <v>0</v>
      </c>
      <c r="DJ17" s="146">
        <f t="shared" si="36"/>
        <v>0</v>
      </c>
      <c r="DK17" s="146">
        <f t="shared" ca="1" si="69"/>
        <v>0</v>
      </c>
      <c r="DL17" s="147">
        <f t="shared" ca="1" si="37"/>
        <v>0</v>
      </c>
      <c r="DM17" s="146">
        <f ca="1">DK17*'Cap Table'!CX$62</f>
        <v>0</v>
      </c>
      <c r="DN17" s="173">
        <f ca="1">IFERROR(IF(OR(CW17='Cap Table'!$B$40,CW17='Cap Table'!$B$41,CW17='Cap Table'!$B$42),IF(SUM(CY17,CD17,BI17,AN17,S17,)&lt;SUM(CX17,CC17,BH17,AM17,R17),FV(MAX(DB17,CG17,BL17,AQ17,V17)/1,DATEDIF(CV17,'Cap Table'!$CX$60,"y"),0,-MAX(CX17,CC17,BH17,AM17,R17))/(MAX(DA17,CF17,BK17,AP17,U17,)/'Cap Table'!$CX$61),DK17),DK17),0)</f>
        <v>0</v>
      </c>
      <c r="DO17" s="147">
        <f t="shared" ca="1" si="38"/>
        <v>0</v>
      </c>
      <c r="DQ17" s="168">
        <f t="shared" ca="1" si="70"/>
        <v>45674</v>
      </c>
      <c r="DR17" s="168" t="str">
        <f t="shared" si="71"/>
        <v>Equity</v>
      </c>
      <c r="DS17" s="169">
        <v>0</v>
      </c>
      <c r="DT17" s="169">
        <f>IF('Cap Table'!DS$79&lt;&gt;"na",IF(CW17='Cap Table'!$B$40,CX17-CY17,0),0)</f>
        <v>0</v>
      </c>
      <c r="DU17" s="171">
        <f t="shared" si="86"/>
        <v>0</v>
      </c>
      <c r="DV17" s="169">
        <f t="shared" si="87"/>
        <v>0</v>
      </c>
      <c r="DW17" s="172">
        <f t="shared" si="88"/>
        <v>0</v>
      </c>
      <c r="DX17" s="170">
        <f ca="1">FV(DW17/1,DATEDIF(DQ17,'Cap Table'!DS$60,"y"),0,-DT17)</f>
        <v>0</v>
      </c>
      <c r="DY17" s="170">
        <f ca="1">IF('Cap Table'!DS$80="no",IFERROR(DX17/(1-DU17),0),IFERROR(DX17/(1-(MAX(DU17,('Cap Table'!DS$62-DV17/'Cap Table'!DS$61)/'Cap Table'!DS$62))),0))</f>
        <v>0</v>
      </c>
      <c r="DZ17" s="146">
        <f t="shared" ca="1" si="42"/>
        <v>0</v>
      </c>
      <c r="EA17" s="149">
        <f ca="1">IF(AND('Cap Table'!DS$62=0,DX17&gt;0),DV17/'Cap Table'!DS$61,IFERROR(IF(DV17=0,'Cap Table'!DS$62*(1-DU17),MIN('Cap Table'!DS$62*(1-DU17),DV17/'Cap Table'!DS$61)),0))</f>
        <v>0</v>
      </c>
      <c r="EB17" s="170">
        <f t="shared" ca="1" si="84"/>
        <v>0</v>
      </c>
      <c r="EC17" s="170">
        <v>0</v>
      </c>
      <c r="ED17" s="146">
        <f t="shared" ca="1" si="72"/>
        <v>0</v>
      </c>
      <c r="EE17" s="146">
        <f t="shared" si="43"/>
        <v>0</v>
      </c>
      <c r="EF17" s="146">
        <f t="shared" ca="1" si="73"/>
        <v>0</v>
      </c>
      <c r="EG17" s="147">
        <f t="shared" ca="1" si="44"/>
        <v>0</v>
      </c>
      <c r="EH17" s="146">
        <f ca="1">EF17*'Cap Table'!DS$62</f>
        <v>0</v>
      </c>
      <c r="EI17" s="173">
        <f ca="1">IFERROR(IF(OR(DR17='Cap Table'!$B$40,DR17='Cap Table'!$B$41,DR17='Cap Table'!$B$42),IF(SUM(DT17,CY17,CD17,BI17,AN17,S17)&lt;SUM(DS17,CX17,CC17,BH17,AM17,R17),FV(MAX(DW17,DB17,CG17,BL17,AQ17,V17)/1,DATEDIF(DQ17,'Cap Table'!DS$60,"y"),0,-MAX(DS17,CX17,CC17,BH17,AM17,R17))/(MAX(DV17,DA17,CF17,BK17,AP17,U17)/'Cap Table'!$DS$61),EF17),EF17),0)</f>
        <v>0</v>
      </c>
      <c r="EJ17" s="147">
        <f t="shared" ca="1" si="45"/>
        <v>0</v>
      </c>
      <c r="EL17" s="146">
        <f t="shared" si="74"/>
        <v>0</v>
      </c>
      <c r="EM17" s="146">
        <f t="shared" si="74"/>
        <v>0</v>
      </c>
      <c r="EN17" s="174" t="s">
        <v>27</v>
      </c>
      <c r="EO17" s="174" t="s">
        <v>27</v>
      </c>
      <c r="EP17" s="174" t="s">
        <v>27</v>
      </c>
      <c r="EQ17" s="146">
        <f t="shared" ca="1" si="75"/>
        <v>0</v>
      </c>
      <c r="ER17" s="146">
        <f t="shared" ca="1" si="75"/>
        <v>0</v>
      </c>
      <c r="ES17" s="146">
        <f t="shared" ca="1" si="75"/>
        <v>0</v>
      </c>
      <c r="ET17" s="149">
        <f t="shared" ca="1" si="89"/>
        <v>0</v>
      </c>
      <c r="EU17" s="146">
        <f t="shared" ca="1" si="76"/>
        <v>0</v>
      </c>
      <c r="EV17" s="146">
        <f t="shared" si="76"/>
        <v>0</v>
      </c>
      <c r="EW17" s="146">
        <f t="shared" ca="1" si="77"/>
        <v>0</v>
      </c>
      <c r="EX17" s="146">
        <f t="shared" si="77"/>
        <v>0</v>
      </c>
      <c r="EY17" s="146">
        <f t="shared" ca="1" si="77"/>
        <v>0</v>
      </c>
      <c r="EZ17" s="147">
        <f t="shared" ca="1" si="46"/>
        <v>0</v>
      </c>
      <c r="FA17" s="146">
        <f t="shared" ca="1" si="78"/>
        <v>0</v>
      </c>
      <c r="FB17" s="146">
        <f t="shared" ca="1" si="78"/>
        <v>0</v>
      </c>
      <c r="FC17" s="147">
        <f t="shared" ca="1" si="47"/>
        <v>0</v>
      </c>
      <c r="FE17" s="149" t="str">
        <f t="shared" si="0"/>
        <v>Common</v>
      </c>
      <c r="FF17" s="146">
        <f t="shared" ca="1" si="48"/>
        <v>0</v>
      </c>
      <c r="FG17" s="146">
        <f t="shared" ca="1" si="49"/>
        <v>0</v>
      </c>
      <c r="FH17" s="146">
        <f t="shared" ca="1" si="50"/>
        <v>0</v>
      </c>
      <c r="FJ17" s="146" t="str">
        <f t="shared" si="51"/>
        <v>Common</v>
      </c>
      <c r="FK17" s="174" t="str">
        <f t="shared" ca="1" si="52"/>
        <v>na</v>
      </c>
      <c r="FL17" s="174" t="str">
        <f t="shared" ca="1" si="52"/>
        <v>na</v>
      </c>
      <c r="FM17" s="174" t="str">
        <f t="shared" ca="1" si="53"/>
        <v>na</v>
      </c>
    </row>
    <row r="18" spans="2:169">
      <c r="B18" s="145" t="s">
        <v>27</v>
      </c>
      <c r="D18" s="167" t="s">
        <v>27</v>
      </c>
      <c r="E18" s="167" t="str">
        <f t="shared" si="54"/>
        <v>Common</v>
      </c>
      <c r="G18" s="168">
        <f t="shared" ca="1" si="1"/>
        <v>43482</v>
      </c>
      <c r="H18" s="289" t="str">
        <f t="shared" si="2"/>
        <v>Equity</v>
      </c>
      <c r="I18" s="169">
        <v>0</v>
      </c>
      <c r="J18" s="170">
        <v>0</v>
      </c>
      <c r="K18" s="170">
        <f t="shared" si="55"/>
        <v>0</v>
      </c>
      <c r="L18" s="147">
        <f t="shared" si="3"/>
        <v>0</v>
      </c>
      <c r="M18" s="170">
        <f t="shared" si="56"/>
        <v>0</v>
      </c>
      <c r="N18" s="147">
        <f t="shared" si="4"/>
        <v>0</v>
      </c>
      <c r="O18" s="147"/>
      <c r="P18" s="168">
        <f t="shared" ca="1" si="85"/>
        <v>43847</v>
      </c>
      <c r="Q18" s="289" t="str">
        <f t="shared" si="5"/>
        <v>Equity</v>
      </c>
      <c r="R18" s="169">
        <v>0</v>
      </c>
      <c r="S18" s="169">
        <v>0</v>
      </c>
      <c r="T18" s="171">
        <v>0</v>
      </c>
      <c r="U18" s="145">
        <v>0</v>
      </c>
      <c r="V18" s="172">
        <v>0</v>
      </c>
      <c r="W18" s="170">
        <f ca="1">FV(V18/1,DATEDIF(P18,'Cap Table'!R$60,"y"),0,-S18)</f>
        <v>0</v>
      </c>
      <c r="X18" s="170">
        <f t="shared" ca="1" si="6"/>
        <v>0</v>
      </c>
      <c r="Y18" s="146">
        <f t="shared" ca="1" si="7"/>
        <v>0</v>
      </c>
      <c r="Z18" s="149">
        <f ca="1">IF(AND('Cap Table'!R$62=0,W18&gt;0),U18/'Cap Table'!R$61,IFERROR(IF(U18=0,'Cap Table'!R$62*(1-T18),MIN('Cap Table'!R$62*(1-T18),U18/'Cap Table'!R$61)),0))</f>
        <v>0</v>
      </c>
      <c r="AA18" s="170">
        <f t="shared" ca="1" si="79"/>
        <v>0</v>
      </c>
      <c r="AB18" s="170">
        <v>0</v>
      </c>
      <c r="AC18" s="146">
        <f t="shared" ca="1" si="8"/>
        <v>0</v>
      </c>
      <c r="AD18" s="146">
        <f t="shared" si="8"/>
        <v>0</v>
      </c>
      <c r="AE18" s="146">
        <f t="shared" ca="1" si="57"/>
        <v>0</v>
      </c>
      <c r="AF18" s="147">
        <f t="shared" ca="1" si="9"/>
        <v>0</v>
      </c>
      <c r="AG18" s="146">
        <f ca="1">AE18*'Cap Table'!R$62</f>
        <v>0</v>
      </c>
      <c r="AH18" s="146">
        <f ca="1">IFERROR(IF(OR(Q18='Cap Table'!$B$40,Q18='Cap Table'!$B$41,Q18='Cap Table'!$B$42),IF(SUM(S18)&lt;SUM(R18),(FV(V18/1,DATEDIF(P18,'Cap Table'!R$60,"y"),0,-R18))/(U18/'Cap Table'!$R$61),AE18),AE18),0)</f>
        <v>0</v>
      </c>
      <c r="AI18" s="147">
        <f t="shared" ca="1" si="10"/>
        <v>0</v>
      </c>
      <c r="AK18" s="168">
        <f t="shared" ca="1" si="58"/>
        <v>44213</v>
      </c>
      <c r="AL18" s="168" t="str">
        <f t="shared" si="59"/>
        <v>Equity</v>
      </c>
      <c r="AM18" s="169">
        <v>0</v>
      </c>
      <c r="AN18" s="169">
        <f>IF('Cap Table'!AM$79&lt;&gt;"na",IF(Q18='Cap Table'!$B$40,R18-S18,0),0)</f>
        <v>0</v>
      </c>
      <c r="AO18" s="171">
        <f t="shared" si="11"/>
        <v>0</v>
      </c>
      <c r="AP18" s="169">
        <f t="shared" si="12"/>
        <v>0</v>
      </c>
      <c r="AQ18" s="172">
        <f t="shared" si="13"/>
        <v>0</v>
      </c>
      <c r="AR18" s="170">
        <f ca="1">FV(AQ18/1,DATEDIF(AK18,'Cap Table'!AM$60,"y"),0,-AN18)</f>
        <v>0</v>
      </c>
      <c r="AS18" s="170">
        <f ca="1">IF('Cap Table'!AM$80="no",IFERROR(AR18/(1-AO18),0),IFERROR(AR18/(1-(MAX(AO18,('Cap Table'!AM$62-AP18/'Cap Table'!AM$61)/'Cap Table'!AM$62))),0))</f>
        <v>0</v>
      </c>
      <c r="AT18" s="146">
        <f t="shared" ca="1" si="14"/>
        <v>0</v>
      </c>
      <c r="AU18" s="149">
        <f ca="1">IF(AND('Cap Table'!AM$62=0,AR18&gt;0),AP18/'Cap Table'!AM$61,IFERROR(IF(AP18=0,'Cap Table'!AM$62*(1-AO18),MIN('Cap Table'!AM$62*(1-AO18),AP18/'Cap Table'!AM$61)),0))</f>
        <v>0</v>
      </c>
      <c r="AV18" s="170">
        <f t="shared" ca="1" si="80"/>
        <v>0</v>
      </c>
      <c r="AW18" s="170">
        <v>0</v>
      </c>
      <c r="AX18" s="146">
        <f t="shared" ca="1" si="15"/>
        <v>0</v>
      </c>
      <c r="AY18" s="146">
        <f t="shared" si="15"/>
        <v>0</v>
      </c>
      <c r="AZ18" s="146">
        <f t="shared" ca="1" si="60"/>
        <v>0</v>
      </c>
      <c r="BA18" s="147">
        <f t="shared" ca="1" si="16"/>
        <v>0</v>
      </c>
      <c r="BB18" s="146">
        <f ca="1">AZ18*'Cap Table'!AM$62</f>
        <v>0</v>
      </c>
      <c r="BC18" s="173">
        <f ca="1">IFERROR(IF(OR(AL18='Cap Table'!$B$40,AL18='Cap Table'!$B$41,AL18='Cap Table'!$B$42),IF(SUM(AN18,S18)&lt;SUM(AM18,R18),FV(MAX(AQ18,V18)/1,DATEDIF(AK18,'Cap Table'!$AM$60,"y"),0,-MAX(AM18,R18))/(MAX(AP18,U18)/'Cap Table'!$AM$61),AZ18),AZ18),0)</f>
        <v>0</v>
      </c>
      <c r="BD18" s="147">
        <f t="shared" ca="1" si="17"/>
        <v>0</v>
      </c>
      <c r="BF18" s="168">
        <f t="shared" ca="1" si="61"/>
        <v>44578</v>
      </c>
      <c r="BG18" s="168" t="str">
        <f t="shared" si="62"/>
        <v>Equity</v>
      </c>
      <c r="BH18" s="169">
        <v>0</v>
      </c>
      <c r="BI18" s="169">
        <f>IF('Cap Table'!BH$79&lt;&gt;"na",IF(AL18='Cap Table'!$B$40,AM18-AN18,0),0)</f>
        <v>0</v>
      </c>
      <c r="BJ18" s="171">
        <f t="shared" si="18"/>
        <v>0</v>
      </c>
      <c r="BK18" s="169">
        <f t="shared" si="19"/>
        <v>0</v>
      </c>
      <c r="BL18" s="172">
        <f t="shared" si="20"/>
        <v>0</v>
      </c>
      <c r="BM18" s="170">
        <f ca="1">FV(BL18/1,DATEDIF(BF18,'Cap Table'!BH$60,"y"),0,-BI18)</f>
        <v>0</v>
      </c>
      <c r="BN18" s="170">
        <f ca="1">IF('Cap Table'!BH$80="no",IFERROR(BM18/(1-BJ18),0),IFERROR(BM18/(1-(MAX(BJ18,('Cap Table'!BH$62-BK18/'Cap Table'!BH$61)/'Cap Table'!BH$62))),0))</f>
        <v>0</v>
      </c>
      <c r="BO18" s="146">
        <f t="shared" ca="1" si="21"/>
        <v>0</v>
      </c>
      <c r="BP18" s="149">
        <f ca="1">IF(AND('Cap Table'!BH$62=0,BM18&gt;0),BK18/'Cap Table'!BH$61,IFERROR(IF(BK18=0,'Cap Table'!BH$62*(1-BJ18),MIN('Cap Table'!BH$62*(1-BJ18),BK18/'Cap Table'!BH$61)),0))</f>
        <v>0</v>
      </c>
      <c r="BQ18" s="170">
        <f t="shared" ca="1" si="81"/>
        <v>0</v>
      </c>
      <c r="BR18" s="170">
        <v>0</v>
      </c>
      <c r="BS18" s="146">
        <f t="shared" ca="1" si="22"/>
        <v>0</v>
      </c>
      <c r="BT18" s="146">
        <f t="shared" si="22"/>
        <v>0</v>
      </c>
      <c r="BU18" s="146">
        <f t="shared" ca="1" si="63"/>
        <v>0</v>
      </c>
      <c r="BV18" s="147">
        <f t="shared" ca="1" si="23"/>
        <v>0</v>
      </c>
      <c r="BW18" s="146">
        <f ca="1">BU18*'Cap Table'!BH$62</f>
        <v>0</v>
      </c>
      <c r="BX18" s="173">
        <f ca="1">IFERROR(IF(OR(BG18='Cap Table'!$B$40,BG18='Cap Table'!$B$41,BG18='Cap Table'!$B$42),IF(SUM(BI18,AN18,S18)&lt;SUM(BH18,AM18,R18),FV(MAX(BL18,AQ18,V18)/1,DATEDIF(BF18,'Cap Table'!$BH$60,"y"),0,-MAX(BH18,AM18,R18))/(MAX(BK18,AP18,U18)/'Cap Table'!$BH$61),BU18),BU18),0)</f>
        <v>0</v>
      </c>
      <c r="BY18" s="147">
        <f t="shared" ca="1" si="24"/>
        <v>0</v>
      </c>
      <c r="CA18" s="168">
        <f t="shared" ca="1" si="64"/>
        <v>44943</v>
      </c>
      <c r="CB18" s="168" t="str">
        <f t="shared" si="65"/>
        <v>Equity</v>
      </c>
      <c r="CC18" s="169">
        <v>0</v>
      </c>
      <c r="CD18" s="169">
        <f>IF('Cap Table'!CC$79&lt;&gt;"na",IF(BG18='Cap Table'!$B$40,BH18-BI18,0),0)</f>
        <v>0</v>
      </c>
      <c r="CE18" s="171">
        <f t="shared" si="25"/>
        <v>0</v>
      </c>
      <c r="CF18" s="169">
        <f t="shared" si="26"/>
        <v>0</v>
      </c>
      <c r="CG18" s="172">
        <f t="shared" si="27"/>
        <v>0</v>
      </c>
      <c r="CH18" s="170">
        <f ca="1">FV(CG18/1,DATEDIF(CA18,'Cap Table'!CC$60,"y"),0,-CD18)</f>
        <v>0</v>
      </c>
      <c r="CI18" s="170">
        <f ca="1">IF('Cap Table'!CC$80="no",IFERROR(CH18/(1-CE18),0),IFERROR(CH18/(1-(MAX(CE18,('Cap Table'!CC$62-CF18/'Cap Table'!CC$61)/'Cap Table'!CC$62))),0))</f>
        <v>0</v>
      </c>
      <c r="CJ18" s="146">
        <f t="shared" ca="1" si="28"/>
        <v>0</v>
      </c>
      <c r="CK18" s="149">
        <f ca="1">IF(AND('Cap Table'!CC$62=0,CH18&gt;0),CF18/'Cap Table'!CC$61,IFERROR(IF(CF18=0,'Cap Table'!CC$62*(1-CE18),MIN('Cap Table'!CC$62*(1-CE18),CF18/'Cap Table'!CC$61)),0))</f>
        <v>0</v>
      </c>
      <c r="CL18" s="170">
        <f t="shared" ca="1" si="82"/>
        <v>0</v>
      </c>
      <c r="CM18" s="170">
        <v>0</v>
      </c>
      <c r="CN18" s="146">
        <f t="shared" ca="1" si="29"/>
        <v>0</v>
      </c>
      <c r="CO18" s="146">
        <f t="shared" si="29"/>
        <v>0</v>
      </c>
      <c r="CP18" s="146">
        <f t="shared" ca="1" si="66"/>
        <v>0</v>
      </c>
      <c r="CQ18" s="147">
        <f t="shared" ca="1" si="30"/>
        <v>0</v>
      </c>
      <c r="CR18" s="146">
        <f ca="1">CP18*'Cap Table'!CC$62</f>
        <v>0</v>
      </c>
      <c r="CS18" s="173">
        <f ca="1">IFERROR(IF(OR(CB18='Cap Table'!$B$40,CB18='Cap Table'!$B$41,CB18='Cap Table'!$B$42),IF(SUM(CD18,BI18,AN18,S18)&lt;SUM(CC18,BH18,AM18,R18),FV(MAX(CG18,BL18,AQ18,V18)/1,DATEDIF(CA18,'Cap Table'!$CC$60,"y"),0,-MAX(CC18,BH18,AM18,R18))/(MAX(CF18,BK18,AP18,U18)/'Cap Table'!$CC$61),CP18),CP18),0)</f>
        <v>0</v>
      </c>
      <c r="CT18" s="147">
        <f t="shared" ca="1" si="31"/>
        <v>0</v>
      </c>
      <c r="CV18" s="168">
        <f t="shared" ca="1" si="67"/>
        <v>45308</v>
      </c>
      <c r="CW18" s="168" t="str">
        <f t="shared" si="68"/>
        <v>Equity</v>
      </c>
      <c r="CX18" s="169">
        <v>0</v>
      </c>
      <c r="CY18" s="169">
        <f>IF('Cap Table'!CX$79&lt;&gt;"na",IF(CB18='Cap Table'!$B$40,CC18-CD18,0),0)</f>
        <v>0</v>
      </c>
      <c r="CZ18" s="171">
        <f t="shared" si="32"/>
        <v>0</v>
      </c>
      <c r="DA18" s="169">
        <f t="shared" si="33"/>
        <v>0</v>
      </c>
      <c r="DB18" s="172">
        <f t="shared" si="34"/>
        <v>0</v>
      </c>
      <c r="DC18" s="170">
        <f ca="1">FV(DB18/1,DATEDIF(CV18,'Cap Table'!CX$60,"y"),0,-CY18)</f>
        <v>0</v>
      </c>
      <c r="DD18" s="170">
        <f ca="1">IF('Cap Table'!CX$80="no",IFERROR(DC18/(1-CZ18),0),IFERROR(DC18/(1-(MAX(CZ18,('Cap Table'!CX$62-DA18/'Cap Table'!CX$61)/'Cap Table'!CX$62))),0))</f>
        <v>0</v>
      </c>
      <c r="DE18" s="146">
        <f t="shared" ca="1" si="35"/>
        <v>0</v>
      </c>
      <c r="DF18" s="149">
        <f ca="1">IF(AND('Cap Table'!CX$62=0,DC18&gt;0),DA18/'Cap Table'!CX$61,IFERROR(IF(DA18=0,'Cap Table'!CX$62*(1-CZ18),MIN('Cap Table'!CX$62*(1-CZ18),DA18/'Cap Table'!CX$61)),0))</f>
        <v>0</v>
      </c>
      <c r="DG18" s="170">
        <f t="shared" ca="1" si="83"/>
        <v>0</v>
      </c>
      <c r="DH18" s="170">
        <v>0</v>
      </c>
      <c r="DI18" s="146">
        <f t="shared" ca="1" si="36"/>
        <v>0</v>
      </c>
      <c r="DJ18" s="146">
        <f t="shared" si="36"/>
        <v>0</v>
      </c>
      <c r="DK18" s="146">
        <f t="shared" ca="1" si="69"/>
        <v>0</v>
      </c>
      <c r="DL18" s="147">
        <f t="shared" ca="1" si="37"/>
        <v>0</v>
      </c>
      <c r="DM18" s="146">
        <f ca="1">DK18*'Cap Table'!CX$62</f>
        <v>0</v>
      </c>
      <c r="DN18" s="173">
        <f ca="1">IFERROR(IF(OR(CW18='Cap Table'!$B$40,CW18='Cap Table'!$B$41,CW18='Cap Table'!$B$42),IF(SUM(CY18,CD18,BI18,AN18,S18,)&lt;SUM(CX18,CC18,BH18,AM18,R18),FV(MAX(DB18,CG18,BL18,AQ18,V18)/1,DATEDIF(CV18,'Cap Table'!$CX$60,"y"),0,-MAX(CX18,CC18,BH18,AM18,R18))/(MAX(DA18,CF18,BK18,AP18,U18,)/'Cap Table'!$CX$61),DK18),DK18),0)</f>
        <v>0</v>
      </c>
      <c r="DO18" s="147">
        <f t="shared" ca="1" si="38"/>
        <v>0</v>
      </c>
      <c r="DQ18" s="168">
        <f t="shared" ca="1" si="70"/>
        <v>45674</v>
      </c>
      <c r="DR18" s="168" t="str">
        <f t="shared" si="71"/>
        <v>Equity</v>
      </c>
      <c r="DS18" s="169">
        <v>0</v>
      </c>
      <c r="DT18" s="169">
        <f>IF('Cap Table'!DS$79&lt;&gt;"na",IF(CW18='Cap Table'!$B$40,CX18-CY18,0),0)</f>
        <v>0</v>
      </c>
      <c r="DU18" s="171">
        <f t="shared" si="86"/>
        <v>0</v>
      </c>
      <c r="DV18" s="169">
        <f t="shared" si="87"/>
        <v>0</v>
      </c>
      <c r="DW18" s="172">
        <f t="shared" si="88"/>
        <v>0</v>
      </c>
      <c r="DX18" s="170">
        <f ca="1">FV(DW18/1,DATEDIF(DQ18,'Cap Table'!DS$60,"y"),0,-DT18)</f>
        <v>0</v>
      </c>
      <c r="DY18" s="170">
        <f ca="1">IF('Cap Table'!DS$80="no",IFERROR(DX18/(1-DU18),0),IFERROR(DX18/(1-(MAX(DU18,('Cap Table'!DS$62-DV18/'Cap Table'!DS$61)/'Cap Table'!DS$62))),0))</f>
        <v>0</v>
      </c>
      <c r="DZ18" s="146">
        <f t="shared" ca="1" si="42"/>
        <v>0</v>
      </c>
      <c r="EA18" s="149">
        <f ca="1">IF(AND('Cap Table'!DS$62=0,DX18&gt;0),DV18/'Cap Table'!DS$61,IFERROR(IF(DV18=0,'Cap Table'!DS$62*(1-DU18),MIN('Cap Table'!DS$62*(1-DU18),DV18/'Cap Table'!DS$61)),0))</f>
        <v>0</v>
      </c>
      <c r="EB18" s="170">
        <f t="shared" ca="1" si="84"/>
        <v>0</v>
      </c>
      <c r="EC18" s="170">
        <v>0</v>
      </c>
      <c r="ED18" s="146">
        <f t="shared" ca="1" si="72"/>
        <v>0</v>
      </c>
      <c r="EE18" s="146">
        <f t="shared" si="43"/>
        <v>0</v>
      </c>
      <c r="EF18" s="146">
        <f t="shared" ca="1" si="73"/>
        <v>0</v>
      </c>
      <c r="EG18" s="147">
        <f t="shared" ca="1" si="44"/>
        <v>0</v>
      </c>
      <c r="EH18" s="146">
        <f ca="1">EF18*'Cap Table'!DS$62</f>
        <v>0</v>
      </c>
      <c r="EI18" s="173">
        <f ca="1">IFERROR(IF(OR(DR18='Cap Table'!$B$40,DR18='Cap Table'!$B$41,DR18='Cap Table'!$B$42),IF(SUM(DT18,CY18,CD18,BI18,AN18,S18)&lt;SUM(DS18,CX18,CC18,BH18,AM18,R18),FV(MAX(DW18,DB18,CG18,BL18,AQ18,V18)/1,DATEDIF(DQ18,'Cap Table'!DS$60,"y"),0,-MAX(DS18,CX18,CC18,BH18,AM18,R18))/(MAX(DV18,DA18,CF18,BK18,AP18,U18)/'Cap Table'!$DS$61),EF18),EF18),0)</f>
        <v>0</v>
      </c>
      <c r="EJ18" s="147">
        <f t="shared" ca="1" si="45"/>
        <v>0</v>
      </c>
      <c r="EL18" s="146">
        <f t="shared" si="74"/>
        <v>0</v>
      </c>
      <c r="EM18" s="146">
        <f t="shared" si="74"/>
        <v>0</v>
      </c>
      <c r="EN18" s="174" t="s">
        <v>27</v>
      </c>
      <c r="EO18" s="174" t="s">
        <v>27</v>
      </c>
      <c r="EP18" s="174" t="s">
        <v>27</v>
      </c>
      <c r="EQ18" s="146">
        <f t="shared" ca="1" si="75"/>
        <v>0</v>
      </c>
      <c r="ER18" s="146">
        <f t="shared" ca="1" si="75"/>
        <v>0</v>
      </c>
      <c r="ES18" s="146">
        <f t="shared" ca="1" si="75"/>
        <v>0</v>
      </c>
      <c r="ET18" s="149">
        <f t="shared" ca="1" si="89"/>
        <v>0</v>
      </c>
      <c r="EU18" s="146">
        <f t="shared" ca="1" si="76"/>
        <v>0</v>
      </c>
      <c r="EV18" s="146">
        <f t="shared" si="76"/>
        <v>0</v>
      </c>
      <c r="EW18" s="146">
        <f t="shared" ca="1" si="77"/>
        <v>0</v>
      </c>
      <c r="EX18" s="146">
        <f t="shared" si="77"/>
        <v>0</v>
      </c>
      <c r="EY18" s="146">
        <f t="shared" ca="1" si="77"/>
        <v>0</v>
      </c>
      <c r="EZ18" s="147">
        <f t="shared" ca="1" si="46"/>
        <v>0</v>
      </c>
      <c r="FA18" s="146">
        <f t="shared" ca="1" si="78"/>
        <v>0</v>
      </c>
      <c r="FB18" s="146">
        <f t="shared" ca="1" si="78"/>
        <v>0</v>
      </c>
      <c r="FC18" s="147">
        <f t="shared" ca="1" si="47"/>
        <v>0</v>
      </c>
      <c r="FE18" s="149" t="str">
        <f t="shared" si="0"/>
        <v>Common</v>
      </c>
      <c r="FF18" s="146">
        <f t="shared" ca="1" si="48"/>
        <v>0</v>
      </c>
      <c r="FG18" s="146">
        <f t="shared" ca="1" si="49"/>
        <v>0</v>
      </c>
      <c r="FH18" s="146">
        <f t="shared" ca="1" si="50"/>
        <v>0</v>
      </c>
      <c r="FJ18" s="146" t="str">
        <f t="shared" si="51"/>
        <v>Common</v>
      </c>
      <c r="FK18" s="174" t="str">
        <f t="shared" ca="1" si="52"/>
        <v>na</v>
      </c>
      <c r="FL18" s="174" t="str">
        <f t="shared" ca="1" si="52"/>
        <v>na</v>
      </c>
      <c r="FM18" s="174" t="str">
        <f t="shared" ca="1" si="53"/>
        <v>na</v>
      </c>
    </row>
    <row r="19" spans="2:169">
      <c r="B19" s="145" t="s">
        <v>27</v>
      </c>
      <c r="D19" s="167" t="s">
        <v>27</v>
      </c>
      <c r="E19" s="167" t="str">
        <f t="shared" si="54"/>
        <v>Common</v>
      </c>
      <c r="G19" s="168">
        <f t="shared" ca="1" si="1"/>
        <v>43482</v>
      </c>
      <c r="H19" s="289" t="str">
        <f t="shared" si="2"/>
        <v>Equity</v>
      </c>
      <c r="I19" s="169">
        <v>0</v>
      </c>
      <c r="J19" s="170">
        <v>0</v>
      </c>
      <c r="K19" s="170">
        <f t="shared" si="55"/>
        <v>0</v>
      </c>
      <c r="L19" s="147">
        <f t="shared" si="3"/>
        <v>0</v>
      </c>
      <c r="M19" s="170">
        <f t="shared" si="56"/>
        <v>0</v>
      </c>
      <c r="N19" s="147">
        <f t="shared" si="4"/>
        <v>0</v>
      </c>
      <c r="O19" s="147"/>
      <c r="P19" s="168">
        <f t="shared" ca="1" si="85"/>
        <v>43847</v>
      </c>
      <c r="Q19" s="289" t="str">
        <f t="shared" si="5"/>
        <v>Equity</v>
      </c>
      <c r="R19" s="169">
        <v>0</v>
      </c>
      <c r="S19" s="169">
        <v>0</v>
      </c>
      <c r="T19" s="171">
        <v>0</v>
      </c>
      <c r="U19" s="145">
        <v>0</v>
      </c>
      <c r="V19" s="172">
        <v>0</v>
      </c>
      <c r="W19" s="170">
        <f ca="1">FV(V19/1,DATEDIF(P19,'Cap Table'!R$60,"y"),0,-S19)</f>
        <v>0</v>
      </c>
      <c r="X19" s="170">
        <f t="shared" ca="1" si="6"/>
        <v>0</v>
      </c>
      <c r="Y19" s="146">
        <f t="shared" ca="1" si="7"/>
        <v>0</v>
      </c>
      <c r="Z19" s="149">
        <f ca="1">IF(AND('Cap Table'!R$62=0,W19&gt;0),U19/'Cap Table'!R$61,IFERROR(IF(U19=0,'Cap Table'!R$62*(1-T19),MIN('Cap Table'!R$62*(1-T19),U19/'Cap Table'!R$61)),0))</f>
        <v>0</v>
      </c>
      <c r="AA19" s="170">
        <f t="shared" ca="1" si="79"/>
        <v>0</v>
      </c>
      <c r="AB19" s="170">
        <v>0</v>
      </c>
      <c r="AC19" s="146">
        <f t="shared" ca="1" si="8"/>
        <v>0</v>
      </c>
      <c r="AD19" s="146">
        <f t="shared" si="8"/>
        <v>0</v>
      </c>
      <c r="AE19" s="146">
        <f t="shared" ca="1" si="57"/>
        <v>0</v>
      </c>
      <c r="AF19" s="147">
        <f t="shared" ca="1" si="9"/>
        <v>0</v>
      </c>
      <c r="AG19" s="146">
        <f ca="1">AE19*'Cap Table'!R$62</f>
        <v>0</v>
      </c>
      <c r="AH19" s="146">
        <f ca="1">IFERROR(IF(OR(Q19='Cap Table'!$B$40,Q19='Cap Table'!$B$41,Q19='Cap Table'!$B$42),IF(SUM(S19)&lt;SUM(R19),(FV(V19/1,DATEDIF(P19,'Cap Table'!R$60,"y"),0,-R19))/(U19/'Cap Table'!$R$61),AE19),AE19),0)</f>
        <v>0</v>
      </c>
      <c r="AI19" s="147">
        <f t="shared" ca="1" si="10"/>
        <v>0</v>
      </c>
      <c r="AK19" s="168">
        <f t="shared" ca="1" si="58"/>
        <v>44213</v>
      </c>
      <c r="AL19" s="168" t="str">
        <f t="shared" si="59"/>
        <v>Equity</v>
      </c>
      <c r="AM19" s="169">
        <v>0</v>
      </c>
      <c r="AN19" s="169">
        <f>IF('Cap Table'!AM$79&lt;&gt;"na",IF(Q19='Cap Table'!$B$40,R19-S19,0),0)</f>
        <v>0</v>
      </c>
      <c r="AO19" s="171">
        <f t="shared" si="11"/>
        <v>0</v>
      </c>
      <c r="AP19" s="169">
        <f t="shared" si="12"/>
        <v>0</v>
      </c>
      <c r="AQ19" s="172">
        <f t="shared" si="13"/>
        <v>0</v>
      </c>
      <c r="AR19" s="170">
        <f ca="1">FV(AQ19/1,DATEDIF(AK19,'Cap Table'!AM$60,"y"),0,-AN19)</f>
        <v>0</v>
      </c>
      <c r="AS19" s="170">
        <f ca="1">IF('Cap Table'!AM$80="no",IFERROR(AR19/(1-AO19),0),IFERROR(AR19/(1-(MAX(AO19,('Cap Table'!AM$62-AP19/'Cap Table'!AM$61)/'Cap Table'!AM$62))),0))</f>
        <v>0</v>
      </c>
      <c r="AT19" s="146">
        <f t="shared" ca="1" si="14"/>
        <v>0</v>
      </c>
      <c r="AU19" s="149">
        <f ca="1">IF(AND('Cap Table'!AM$62=0,AR19&gt;0),AP19/'Cap Table'!AM$61,IFERROR(IF(AP19=0,'Cap Table'!AM$62*(1-AO19),MIN('Cap Table'!AM$62*(1-AO19),AP19/'Cap Table'!AM$61)),0))</f>
        <v>0</v>
      </c>
      <c r="AV19" s="170">
        <f t="shared" ca="1" si="80"/>
        <v>0</v>
      </c>
      <c r="AW19" s="170">
        <v>0</v>
      </c>
      <c r="AX19" s="146">
        <f t="shared" ca="1" si="15"/>
        <v>0</v>
      </c>
      <c r="AY19" s="146">
        <f t="shared" si="15"/>
        <v>0</v>
      </c>
      <c r="AZ19" s="146">
        <f t="shared" ca="1" si="60"/>
        <v>0</v>
      </c>
      <c r="BA19" s="147">
        <f t="shared" ca="1" si="16"/>
        <v>0</v>
      </c>
      <c r="BB19" s="146">
        <f ca="1">AZ19*'Cap Table'!AM$62</f>
        <v>0</v>
      </c>
      <c r="BC19" s="173">
        <f ca="1">IFERROR(IF(OR(AL19='Cap Table'!$B$40,AL19='Cap Table'!$B$41,AL19='Cap Table'!$B$42),IF(SUM(AN19,S19)&lt;SUM(AM19,R19),FV(MAX(AQ19,V19)/1,DATEDIF(AK19,'Cap Table'!$AM$60,"y"),0,-MAX(AM19,R19))/(MAX(AP19,U19)/'Cap Table'!$AM$61),AZ19),AZ19),0)</f>
        <v>0</v>
      </c>
      <c r="BD19" s="147">
        <f t="shared" ca="1" si="17"/>
        <v>0</v>
      </c>
      <c r="BF19" s="168">
        <f t="shared" ca="1" si="61"/>
        <v>44578</v>
      </c>
      <c r="BG19" s="168" t="str">
        <f t="shared" si="62"/>
        <v>Equity</v>
      </c>
      <c r="BH19" s="169">
        <v>0</v>
      </c>
      <c r="BI19" s="169">
        <f>IF('Cap Table'!BH$79&lt;&gt;"na",IF(AL19='Cap Table'!$B$40,AM19-AN19,0),0)</f>
        <v>0</v>
      </c>
      <c r="BJ19" s="171">
        <f t="shared" si="18"/>
        <v>0</v>
      </c>
      <c r="BK19" s="169">
        <f t="shared" si="19"/>
        <v>0</v>
      </c>
      <c r="BL19" s="172">
        <f t="shared" si="20"/>
        <v>0</v>
      </c>
      <c r="BM19" s="170">
        <f ca="1">FV(BL19/1,DATEDIF(BF19,'Cap Table'!BH$60,"y"),0,-BI19)</f>
        <v>0</v>
      </c>
      <c r="BN19" s="170">
        <f ca="1">IF('Cap Table'!BH$80="no",IFERROR(BM19/(1-BJ19),0),IFERROR(BM19/(1-(MAX(BJ19,('Cap Table'!BH$62-BK19/'Cap Table'!BH$61)/'Cap Table'!BH$62))),0))</f>
        <v>0</v>
      </c>
      <c r="BO19" s="146">
        <f t="shared" ca="1" si="21"/>
        <v>0</v>
      </c>
      <c r="BP19" s="149">
        <f ca="1">IF(AND('Cap Table'!BH$62=0,BM19&gt;0),BK19/'Cap Table'!BH$61,IFERROR(IF(BK19=0,'Cap Table'!BH$62*(1-BJ19),MIN('Cap Table'!BH$62*(1-BJ19),BK19/'Cap Table'!BH$61)),0))</f>
        <v>0</v>
      </c>
      <c r="BQ19" s="170">
        <f t="shared" ca="1" si="81"/>
        <v>0</v>
      </c>
      <c r="BR19" s="170">
        <v>0</v>
      </c>
      <c r="BS19" s="146">
        <f t="shared" ca="1" si="22"/>
        <v>0</v>
      </c>
      <c r="BT19" s="146">
        <f t="shared" si="22"/>
        <v>0</v>
      </c>
      <c r="BU19" s="146">
        <f t="shared" ca="1" si="63"/>
        <v>0</v>
      </c>
      <c r="BV19" s="147">
        <f t="shared" ca="1" si="23"/>
        <v>0</v>
      </c>
      <c r="BW19" s="146">
        <f ca="1">BU19*'Cap Table'!BH$62</f>
        <v>0</v>
      </c>
      <c r="BX19" s="173">
        <f ca="1">IFERROR(IF(OR(BG19='Cap Table'!$B$40,BG19='Cap Table'!$B$41,BG19='Cap Table'!$B$42),IF(SUM(BI19,AN19,S19)&lt;SUM(BH19,AM19,R19),FV(MAX(BL19,AQ19,V19)/1,DATEDIF(BF19,'Cap Table'!$BH$60,"y"),0,-MAX(BH19,AM19,R19))/(MAX(BK19,AP19,U19)/'Cap Table'!$BH$61),BU19),BU19),0)</f>
        <v>0</v>
      </c>
      <c r="BY19" s="147">
        <f t="shared" ca="1" si="24"/>
        <v>0</v>
      </c>
      <c r="CA19" s="168">
        <f t="shared" ca="1" si="64"/>
        <v>44943</v>
      </c>
      <c r="CB19" s="168" t="str">
        <f t="shared" si="65"/>
        <v>Equity</v>
      </c>
      <c r="CC19" s="169">
        <v>0</v>
      </c>
      <c r="CD19" s="169">
        <f>IF('Cap Table'!CC$79&lt;&gt;"na",IF(BG19='Cap Table'!$B$40,BH19-BI19,0),0)</f>
        <v>0</v>
      </c>
      <c r="CE19" s="171">
        <f t="shared" si="25"/>
        <v>0</v>
      </c>
      <c r="CF19" s="169">
        <f t="shared" si="26"/>
        <v>0</v>
      </c>
      <c r="CG19" s="172">
        <f t="shared" si="27"/>
        <v>0</v>
      </c>
      <c r="CH19" s="170">
        <f ca="1">FV(CG19/1,DATEDIF(CA19,'Cap Table'!CC$60,"y"),0,-CD19)</f>
        <v>0</v>
      </c>
      <c r="CI19" s="170">
        <f ca="1">IF('Cap Table'!CC$80="no",IFERROR(CH19/(1-CE19),0),IFERROR(CH19/(1-(MAX(CE19,('Cap Table'!CC$62-CF19/'Cap Table'!CC$61)/'Cap Table'!CC$62))),0))</f>
        <v>0</v>
      </c>
      <c r="CJ19" s="146">
        <f t="shared" ca="1" si="28"/>
        <v>0</v>
      </c>
      <c r="CK19" s="149">
        <f ca="1">IF(AND('Cap Table'!CC$62=0,CH19&gt;0),CF19/'Cap Table'!CC$61,IFERROR(IF(CF19=0,'Cap Table'!CC$62*(1-CE19),MIN('Cap Table'!CC$62*(1-CE19),CF19/'Cap Table'!CC$61)),0))</f>
        <v>0</v>
      </c>
      <c r="CL19" s="170">
        <f t="shared" ca="1" si="82"/>
        <v>0</v>
      </c>
      <c r="CM19" s="170">
        <v>0</v>
      </c>
      <c r="CN19" s="146">
        <f t="shared" ca="1" si="29"/>
        <v>0</v>
      </c>
      <c r="CO19" s="146">
        <f t="shared" si="29"/>
        <v>0</v>
      </c>
      <c r="CP19" s="146">
        <f t="shared" ca="1" si="66"/>
        <v>0</v>
      </c>
      <c r="CQ19" s="147">
        <f t="shared" ca="1" si="30"/>
        <v>0</v>
      </c>
      <c r="CR19" s="146">
        <f ca="1">CP19*'Cap Table'!CC$62</f>
        <v>0</v>
      </c>
      <c r="CS19" s="173">
        <f ca="1">IFERROR(IF(OR(CB19='Cap Table'!$B$40,CB19='Cap Table'!$B$41,CB19='Cap Table'!$B$42),IF(SUM(CD19,BI19,AN19,S19)&lt;SUM(CC19,BH19,AM19,R19),FV(MAX(CG19,BL19,AQ19,V19)/1,DATEDIF(CA19,'Cap Table'!$CC$60,"y"),0,-MAX(CC19,BH19,AM19,R19))/(MAX(CF19,BK19,AP19,U19)/'Cap Table'!$CC$61),CP19),CP19),0)</f>
        <v>0</v>
      </c>
      <c r="CT19" s="147">
        <f t="shared" ca="1" si="31"/>
        <v>0</v>
      </c>
      <c r="CV19" s="168">
        <f t="shared" ca="1" si="67"/>
        <v>45308</v>
      </c>
      <c r="CW19" s="168" t="str">
        <f t="shared" si="68"/>
        <v>Equity</v>
      </c>
      <c r="CX19" s="169">
        <v>0</v>
      </c>
      <c r="CY19" s="169">
        <f>IF('Cap Table'!CX$79&lt;&gt;"na",IF(CB19='Cap Table'!$B$40,CC19-CD19,0),0)</f>
        <v>0</v>
      </c>
      <c r="CZ19" s="171">
        <f t="shared" si="32"/>
        <v>0</v>
      </c>
      <c r="DA19" s="169">
        <f t="shared" si="33"/>
        <v>0</v>
      </c>
      <c r="DB19" s="172">
        <f t="shared" si="34"/>
        <v>0</v>
      </c>
      <c r="DC19" s="170">
        <f ca="1">FV(DB19/1,DATEDIF(CV19,'Cap Table'!CX$60,"y"),0,-CY19)</f>
        <v>0</v>
      </c>
      <c r="DD19" s="170">
        <f ca="1">IF('Cap Table'!CX$80="no",IFERROR(DC19/(1-CZ19),0),IFERROR(DC19/(1-(MAX(CZ19,('Cap Table'!CX$62-DA19/'Cap Table'!CX$61)/'Cap Table'!CX$62))),0))</f>
        <v>0</v>
      </c>
      <c r="DE19" s="146">
        <f t="shared" ca="1" si="35"/>
        <v>0</v>
      </c>
      <c r="DF19" s="149">
        <f ca="1">IF(AND('Cap Table'!CX$62=0,DC19&gt;0),DA19/'Cap Table'!CX$61,IFERROR(IF(DA19=0,'Cap Table'!CX$62*(1-CZ19),MIN('Cap Table'!CX$62*(1-CZ19),DA19/'Cap Table'!CX$61)),0))</f>
        <v>0</v>
      </c>
      <c r="DG19" s="170">
        <f t="shared" ca="1" si="83"/>
        <v>0</v>
      </c>
      <c r="DH19" s="170">
        <v>0</v>
      </c>
      <c r="DI19" s="146">
        <f t="shared" ca="1" si="36"/>
        <v>0</v>
      </c>
      <c r="DJ19" s="146">
        <f t="shared" si="36"/>
        <v>0</v>
      </c>
      <c r="DK19" s="146">
        <f t="shared" ca="1" si="69"/>
        <v>0</v>
      </c>
      <c r="DL19" s="147">
        <f t="shared" ca="1" si="37"/>
        <v>0</v>
      </c>
      <c r="DM19" s="146">
        <f ca="1">DK19*'Cap Table'!CX$62</f>
        <v>0</v>
      </c>
      <c r="DN19" s="173">
        <f ca="1">IFERROR(IF(OR(CW19='Cap Table'!$B$40,CW19='Cap Table'!$B$41,CW19='Cap Table'!$B$42),IF(SUM(CY19,CD19,BI19,AN19,S19,)&lt;SUM(CX19,CC19,BH19,AM19,R19),FV(MAX(DB19,CG19,BL19,AQ19,V19)/1,DATEDIF(CV19,'Cap Table'!$CX$60,"y"),0,-MAX(CX19,CC19,BH19,AM19,R19))/(MAX(DA19,CF19,BK19,AP19,U19,)/'Cap Table'!$CX$61),DK19),DK19),0)</f>
        <v>0</v>
      </c>
      <c r="DO19" s="147">
        <f t="shared" ca="1" si="38"/>
        <v>0</v>
      </c>
      <c r="DQ19" s="168">
        <f t="shared" ca="1" si="70"/>
        <v>45674</v>
      </c>
      <c r="DR19" s="168" t="str">
        <f t="shared" si="71"/>
        <v>Equity</v>
      </c>
      <c r="DS19" s="169">
        <v>0</v>
      </c>
      <c r="DT19" s="169">
        <f>IF('Cap Table'!DS$79&lt;&gt;"na",IF(CW19='Cap Table'!$B$40,CX19-CY19,0),0)</f>
        <v>0</v>
      </c>
      <c r="DU19" s="171">
        <f t="shared" si="86"/>
        <v>0</v>
      </c>
      <c r="DV19" s="169">
        <f t="shared" si="87"/>
        <v>0</v>
      </c>
      <c r="DW19" s="172">
        <f t="shared" si="88"/>
        <v>0</v>
      </c>
      <c r="DX19" s="170">
        <f ca="1">FV(DW19/1,DATEDIF(DQ19,'Cap Table'!DS$60,"y"),0,-DT19)</f>
        <v>0</v>
      </c>
      <c r="DY19" s="170">
        <f ca="1">IF('Cap Table'!DS$80="no",IFERROR(DX19/(1-DU19),0),IFERROR(DX19/(1-(MAX(DU19,('Cap Table'!DS$62-DV19/'Cap Table'!DS$61)/'Cap Table'!DS$62))),0))</f>
        <v>0</v>
      </c>
      <c r="DZ19" s="146">
        <f t="shared" ca="1" si="42"/>
        <v>0</v>
      </c>
      <c r="EA19" s="149">
        <f ca="1">IF(AND('Cap Table'!DS$62=0,DX19&gt;0),DV19/'Cap Table'!DS$61,IFERROR(IF(DV19=0,'Cap Table'!DS$62*(1-DU19),MIN('Cap Table'!DS$62*(1-DU19),DV19/'Cap Table'!DS$61)),0))</f>
        <v>0</v>
      </c>
      <c r="EB19" s="170">
        <f t="shared" ca="1" si="84"/>
        <v>0</v>
      </c>
      <c r="EC19" s="170">
        <v>0</v>
      </c>
      <c r="ED19" s="146">
        <f t="shared" ca="1" si="72"/>
        <v>0</v>
      </c>
      <c r="EE19" s="146">
        <f t="shared" si="43"/>
        <v>0</v>
      </c>
      <c r="EF19" s="146">
        <f t="shared" ca="1" si="73"/>
        <v>0</v>
      </c>
      <c r="EG19" s="147">
        <f t="shared" ca="1" si="44"/>
        <v>0</v>
      </c>
      <c r="EH19" s="146">
        <f ca="1">EF19*'Cap Table'!DS$62</f>
        <v>0</v>
      </c>
      <c r="EI19" s="173">
        <f ca="1">IFERROR(IF(OR(DR19='Cap Table'!$B$40,DR19='Cap Table'!$B$41,DR19='Cap Table'!$B$42),IF(SUM(DT19,CY19,CD19,BI19,AN19,S19)&lt;SUM(DS19,CX19,CC19,BH19,AM19,R19),FV(MAX(DW19,DB19,CG19,BL19,AQ19,V19)/1,DATEDIF(DQ19,'Cap Table'!DS$60,"y"),0,-MAX(DS19,CX19,CC19,BH19,AM19,R19))/(MAX(DV19,DA19,CF19,BK19,AP19,U19)/'Cap Table'!$DS$61),EF19),EF19),0)</f>
        <v>0</v>
      </c>
      <c r="EJ19" s="147">
        <f t="shared" ca="1" si="45"/>
        <v>0</v>
      </c>
      <c r="EL19" s="146">
        <f t="shared" si="74"/>
        <v>0</v>
      </c>
      <c r="EM19" s="146">
        <f t="shared" si="74"/>
        <v>0</v>
      </c>
      <c r="EN19" s="174" t="s">
        <v>27</v>
      </c>
      <c r="EO19" s="174" t="s">
        <v>27</v>
      </c>
      <c r="EP19" s="174" t="s">
        <v>27</v>
      </c>
      <c r="EQ19" s="146">
        <f t="shared" ca="1" si="75"/>
        <v>0</v>
      </c>
      <c r="ER19" s="146">
        <f t="shared" ca="1" si="75"/>
        <v>0</v>
      </c>
      <c r="ES19" s="146">
        <f t="shared" ca="1" si="75"/>
        <v>0</v>
      </c>
      <c r="ET19" s="149">
        <f t="shared" ca="1" si="89"/>
        <v>0</v>
      </c>
      <c r="EU19" s="146">
        <f t="shared" ca="1" si="76"/>
        <v>0</v>
      </c>
      <c r="EV19" s="146">
        <f t="shared" si="76"/>
        <v>0</v>
      </c>
      <c r="EW19" s="146">
        <f t="shared" ca="1" si="77"/>
        <v>0</v>
      </c>
      <c r="EX19" s="146">
        <f t="shared" si="77"/>
        <v>0</v>
      </c>
      <c r="EY19" s="146">
        <f t="shared" ca="1" si="77"/>
        <v>0</v>
      </c>
      <c r="EZ19" s="147">
        <f t="shared" ca="1" si="46"/>
        <v>0</v>
      </c>
      <c r="FA19" s="146">
        <f t="shared" ca="1" si="78"/>
        <v>0</v>
      </c>
      <c r="FB19" s="146">
        <f t="shared" ca="1" si="78"/>
        <v>0</v>
      </c>
      <c r="FC19" s="147">
        <f t="shared" ca="1" si="47"/>
        <v>0</v>
      </c>
      <c r="FE19" s="149" t="str">
        <f t="shared" si="0"/>
        <v>Common</v>
      </c>
      <c r="FF19" s="146">
        <f t="shared" ca="1" si="48"/>
        <v>0</v>
      </c>
      <c r="FG19" s="146">
        <f t="shared" ca="1" si="49"/>
        <v>0</v>
      </c>
      <c r="FH19" s="146">
        <f t="shared" ca="1" si="50"/>
        <v>0</v>
      </c>
      <c r="FJ19" s="146" t="str">
        <f t="shared" si="51"/>
        <v>Common</v>
      </c>
      <c r="FK19" s="174" t="str">
        <f t="shared" ca="1" si="52"/>
        <v>na</v>
      </c>
      <c r="FL19" s="174" t="str">
        <f t="shared" ca="1" si="52"/>
        <v>na</v>
      </c>
      <c r="FM19" s="174" t="str">
        <f t="shared" ca="1" si="53"/>
        <v>na</v>
      </c>
    </row>
    <row r="20" spans="2:169">
      <c r="B20" s="145" t="s">
        <v>27</v>
      </c>
      <c r="D20" s="167" t="s">
        <v>27</v>
      </c>
      <c r="E20" s="167" t="str">
        <f t="shared" si="54"/>
        <v>Common</v>
      </c>
      <c r="G20" s="168">
        <f t="shared" ca="1" si="1"/>
        <v>43482</v>
      </c>
      <c r="H20" s="289" t="str">
        <f t="shared" si="2"/>
        <v>Equity</v>
      </c>
      <c r="I20" s="169">
        <v>0</v>
      </c>
      <c r="J20" s="170">
        <v>0</v>
      </c>
      <c r="K20" s="170">
        <f t="shared" si="55"/>
        <v>0</v>
      </c>
      <c r="L20" s="147">
        <f t="shared" si="3"/>
        <v>0</v>
      </c>
      <c r="M20" s="170">
        <f t="shared" si="56"/>
        <v>0</v>
      </c>
      <c r="N20" s="147">
        <f t="shared" si="4"/>
        <v>0</v>
      </c>
      <c r="O20" s="147"/>
      <c r="P20" s="168">
        <f t="shared" ca="1" si="85"/>
        <v>43847</v>
      </c>
      <c r="Q20" s="289" t="str">
        <f t="shared" si="5"/>
        <v>Equity</v>
      </c>
      <c r="R20" s="169">
        <v>0</v>
      </c>
      <c r="S20" s="169">
        <v>0</v>
      </c>
      <c r="T20" s="171">
        <v>0</v>
      </c>
      <c r="U20" s="145">
        <v>0</v>
      </c>
      <c r="V20" s="172">
        <v>0</v>
      </c>
      <c r="W20" s="170">
        <f ca="1">FV(V20/1,DATEDIF(P20,'Cap Table'!R$60,"y"),0,-S20)</f>
        <v>0</v>
      </c>
      <c r="X20" s="170">
        <f t="shared" ca="1" si="6"/>
        <v>0</v>
      </c>
      <c r="Y20" s="146">
        <f t="shared" ca="1" si="7"/>
        <v>0</v>
      </c>
      <c r="Z20" s="149">
        <f ca="1">IF(AND('Cap Table'!R$62=0,W20&gt;0),U20/'Cap Table'!R$61,IFERROR(IF(U20=0,'Cap Table'!R$62*(1-T20),MIN('Cap Table'!R$62*(1-T20),U20/'Cap Table'!R$61)),0))</f>
        <v>0</v>
      </c>
      <c r="AA20" s="170">
        <f t="shared" ca="1" si="79"/>
        <v>0</v>
      </c>
      <c r="AB20" s="170">
        <v>0</v>
      </c>
      <c r="AC20" s="146">
        <f t="shared" ca="1" si="8"/>
        <v>0</v>
      </c>
      <c r="AD20" s="146">
        <f t="shared" si="8"/>
        <v>0</v>
      </c>
      <c r="AE20" s="146">
        <f t="shared" ca="1" si="57"/>
        <v>0</v>
      </c>
      <c r="AF20" s="147">
        <f t="shared" ca="1" si="9"/>
        <v>0</v>
      </c>
      <c r="AG20" s="146">
        <f ca="1">AE20*'Cap Table'!R$62</f>
        <v>0</v>
      </c>
      <c r="AH20" s="146">
        <f ca="1">IFERROR(IF(OR(Q20='Cap Table'!$B$40,Q20='Cap Table'!$B$41,Q20='Cap Table'!$B$42),IF(SUM(S20)&lt;SUM(R20),(FV(V20/1,DATEDIF(P20,'Cap Table'!R$60,"y"),0,-R20))/(U20/'Cap Table'!$R$61),AE20),AE20),0)</f>
        <v>0</v>
      </c>
      <c r="AI20" s="147">
        <f t="shared" ca="1" si="10"/>
        <v>0</v>
      </c>
      <c r="AK20" s="168">
        <f t="shared" ca="1" si="58"/>
        <v>44213</v>
      </c>
      <c r="AL20" s="168" t="str">
        <f t="shared" si="59"/>
        <v>Equity</v>
      </c>
      <c r="AM20" s="169">
        <v>0</v>
      </c>
      <c r="AN20" s="169">
        <f>IF('Cap Table'!AM$79&lt;&gt;"na",IF(Q20='Cap Table'!$B$40,R20-S20,0),0)</f>
        <v>0</v>
      </c>
      <c r="AO20" s="171">
        <f t="shared" si="11"/>
        <v>0</v>
      </c>
      <c r="AP20" s="169">
        <f t="shared" si="12"/>
        <v>0</v>
      </c>
      <c r="AQ20" s="172">
        <f t="shared" si="13"/>
        <v>0</v>
      </c>
      <c r="AR20" s="170">
        <f ca="1">FV(AQ20/1,DATEDIF(AK20,'Cap Table'!AM$60,"y"),0,-AN20)</f>
        <v>0</v>
      </c>
      <c r="AS20" s="170">
        <f ca="1">IF('Cap Table'!AM$80="no",IFERROR(AR20/(1-AO20),0),IFERROR(AR20/(1-(MAX(AO20,('Cap Table'!AM$62-AP20/'Cap Table'!AM$61)/'Cap Table'!AM$62))),0))</f>
        <v>0</v>
      </c>
      <c r="AT20" s="146">
        <f t="shared" ca="1" si="14"/>
        <v>0</v>
      </c>
      <c r="AU20" s="149">
        <f ca="1">IF(AND('Cap Table'!AM$62=0,AR20&gt;0),AP20/'Cap Table'!AM$61,IFERROR(IF(AP20=0,'Cap Table'!AM$62*(1-AO20),MIN('Cap Table'!AM$62*(1-AO20),AP20/'Cap Table'!AM$61)),0))</f>
        <v>0</v>
      </c>
      <c r="AV20" s="170">
        <f t="shared" ca="1" si="80"/>
        <v>0</v>
      </c>
      <c r="AW20" s="170">
        <v>0</v>
      </c>
      <c r="AX20" s="146">
        <f t="shared" ca="1" si="15"/>
        <v>0</v>
      </c>
      <c r="AY20" s="146">
        <f t="shared" si="15"/>
        <v>0</v>
      </c>
      <c r="AZ20" s="146">
        <f t="shared" ca="1" si="60"/>
        <v>0</v>
      </c>
      <c r="BA20" s="147">
        <f t="shared" ca="1" si="16"/>
        <v>0</v>
      </c>
      <c r="BB20" s="146">
        <f ca="1">AZ20*'Cap Table'!AM$62</f>
        <v>0</v>
      </c>
      <c r="BC20" s="173">
        <f ca="1">IFERROR(IF(OR(AL20='Cap Table'!$B$40,AL20='Cap Table'!$B$41,AL20='Cap Table'!$B$42),IF(SUM(AN20,S20)&lt;SUM(AM20,R20),FV(MAX(AQ20,V20)/1,DATEDIF(AK20,'Cap Table'!$AM$60,"y"),0,-MAX(AM20,R20))/(MAX(AP20,U20)/'Cap Table'!$AM$61),AZ20),AZ20),0)</f>
        <v>0</v>
      </c>
      <c r="BD20" s="147">
        <f t="shared" ca="1" si="17"/>
        <v>0</v>
      </c>
      <c r="BF20" s="168">
        <f t="shared" ca="1" si="61"/>
        <v>44578</v>
      </c>
      <c r="BG20" s="168" t="str">
        <f t="shared" si="62"/>
        <v>Equity</v>
      </c>
      <c r="BH20" s="169">
        <v>0</v>
      </c>
      <c r="BI20" s="169">
        <f>IF('Cap Table'!BH$79&lt;&gt;"na",IF(AL20='Cap Table'!$B$40,AM20-AN20,0),0)</f>
        <v>0</v>
      </c>
      <c r="BJ20" s="171">
        <f t="shared" si="18"/>
        <v>0</v>
      </c>
      <c r="BK20" s="169">
        <f t="shared" si="19"/>
        <v>0</v>
      </c>
      <c r="BL20" s="172">
        <f t="shared" si="20"/>
        <v>0</v>
      </c>
      <c r="BM20" s="170">
        <f ca="1">FV(BL20/1,DATEDIF(BF20,'Cap Table'!BH$60,"y"),0,-BI20)</f>
        <v>0</v>
      </c>
      <c r="BN20" s="170">
        <f ca="1">IF('Cap Table'!BH$80="no",IFERROR(BM20/(1-BJ20),0),IFERROR(BM20/(1-(MAX(BJ20,('Cap Table'!BH$62-BK20/'Cap Table'!BH$61)/'Cap Table'!BH$62))),0))</f>
        <v>0</v>
      </c>
      <c r="BO20" s="146">
        <f t="shared" ca="1" si="21"/>
        <v>0</v>
      </c>
      <c r="BP20" s="149">
        <f ca="1">IF(AND('Cap Table'!BH$62=0,BM20&gt;0),BK20/'Cap Table'!BH$61,IFERROR(IF(BK20=0,'Cap Table'!BH$62*(1-BJ20),MIN('Cap Table'!BH$62*(1-BJ20),BK20/'Cap Table'!BH$61)),0))</f>
        <v>0</v>
      </c>
      <c r="BQ20" s="170">
        <f t="shared" ca="1" si="81"/>
        <v>0</v>
      </c>
      <c r="BR20" s="170">
        <v>0</v>
      </c>
      <c r="BS20" s="146">
        <f t="shared" ca="1" si="22"/>
        <v>0</v>
      </c>
      <c r="BT20" s="146">
        <f t="shared" si="22"/>
        <v>0</v>
      </c>
      <c r="BU20" s="146">
        <f t="shared" ca="1" si="63"/>
        <v>0</v>
      </c>
      <c r="BV20" s="147">
        <f t="shared" ca="1" si="23"/>
        <v>0</v>
      </c>
      <c r="BW20" s="146">
        <f ca="1">BU20*'Cap Table'!BH$62</f>
        <v>0</v>
      </c>
      <c r="BX20" s="173">
        <f ca="1">IFERROR(IF(OR(BG20='Cap Table'!$B$40,BG20='Cap Table'!$B$41,BG20='Cap Table'!$B$42),IF(SUM(BI20,AN20,S20)&lt;SUM(BH20,AM20,R20),FV(MAX(BL20,AQ20,V20)/1,DATEDIF(BF20,'Cap Table'!$BH$60,"y"),0,-MAX(BH20,AM20,R20))/(MAX(BK20,AP20,U20)/'Cap Table'!$BH$61),BU20),BU20),0)</f>
        <v>0</v>
      </c>
      <c r="BY20" s="147">
        <f t="shared" ca="1" si="24"/>
        <v>0</v>
      </c>
      <c r="CA20" s="168">
        <f t="shared" ca="1" si="64"/>
        <v>44943</v>
      </c>
      <c r="CB20" s="168" t="str">
        <f t="shared" si="65"/>
        <v>Equity</v>
      </c>
      <c r="CC20" s="169">
        <v>0</v>
      </c>
      <c r="CD20" s="169">
        <f>IF('Cap Table'!CC$79&lt;&gt;"na",IF(BG20='Cap Table'!$B$40,BH20-BI20,0),0)</f>
        <v>0</v>
      </c>
      <c r="CE20" s="171">
        <f t="shared" si="25"/>
        <v>0</v>
      </c>
      <c r="CF20" s="169">
        <f t="shared" si="26"/>
        <v>0</v>
      </c>
      <c r="CG20" s="172">
        <f t="shared" si="27"/>
        <v>0</v>
      </c>
      <c r="CH20" s="170">
        <f ca="1">FV(CG20/1,DATEDIF(CA20,'Cap Table'!CC$60,"y"),0,-CD20)</f>
        <v>0</v>
      </c>
      <c r="CI20" s="170">
        <f ca="1">IF('Cap Table'!CC$80="no",IFERROR(CH20/(1-CE20),0),IFERROR(CH20/(1-(MAX(CE20,('Cap Table'!CC$62-CF20/'Cap Table'!CC$61)/'Cap Table'!CC$62))),0))</f>
        <v>0</v>
      </c>
      <c r="CJ20" s="146">
        <f t="shared" ca="1" si="28"/>
        <v>0</v>
      </c>
      <c r="CK20" s="149">
        <f ca="1">IF(AND('Cap Table'!CC$62=0,CH20&gt;0),CF20/'Cap Table'!CC$61,IFERROR(IF(CF20=0,'Cap Table'!CC$62*(1-CE20),MIN('Cap Table'!CC$62*(1-CE20),CF20/'Cap Table'!CC$61)),0))</f>
        <v>0</v>
      </c>
      <c r="CL20" s="170">
        <f t="shared" ca="1" si="82"/>
        <v>0</v>
      </c>
      <c r="CM20" s="170">
        <v>0</v>
      </c>
      <c r="CN20" s="146">
        <f t="shared" ca="1" si="29"/>
        <v>0</v>
      </c>
      <c r="CO20" s="146">
        <f t="shared" si="29"/>
        <v>0</v>
      </c>
      <c r="CP20" s="146">
        <f t="shared" ca="1" si="66"/>
        <v>0</v>
      </c>
      <c r="CQ20" s="147">
        <f t="shared" ca="1" si="30"/>
        <v>0</v>
      </c>
      <c r="CR20" s="146">
        <f ca="1">CP20*'Cap Table'!CC$62</f>
        <v>0</v>
      </c>
      <c r="CS20" s="173">
        <f ca="1">IFERROR(IF(OR(CB20='Cap Table'!$B$40,CB20='Cap Table'!$B$41,CB20='Cap Table'!$B$42),IF(SUM(CD20,BI20,AN20,S20)&lt;SUM(CC20,BH20,AM20,R20),FV(MAX(CG20,BL20,AQ20,V20)/1,DATEDIF(CA20,'Cap Table'!$CC$60,"y"),0,-MAX(CC20,BH20,AM20,R20))/(MAX(CF20,BK20,AP20,U20)/'Cap Table'!$CC$61),CP20),CP20),0)</f>
        <v>0</v>
      </c>
      <c r="CT20" s="147">
        <f t="shared" ca="1" si="31"/>
        <v>0</v>
      </c>
      <c r="CV20" s="168">
        <f t="shared" ca="1" si="67"/>
        <v>45308</v>
      </c>
      <c r="CW20" s="168" t="str">
        <f t="shared" si="68"/>
        <v>Equity</v>
      </c>
      <c r="CX20" s="169">
        <v>0</v>
      </c>
      <c r="CY20" s="169">
        <f>IF('Cap Table'!CX$79&lt;&gt;"na",IF(CB20='Cap Table'!$B$40,CC20-CD20,0),0)</f>
        <v>0</v>
      </c>
      <c r="CZ20" s="171">
        <f t="shared" si="32"/>
        <v>0</v>
      </c>
      <c r="DA20" s="169">
        <f t="shared" si="33"/>
        <v>0</v>
      </c>
      <c r="DB20" s="172">
        <f t="shared" si="34"/>
        <v>0</v>
      </c>
      <c r="DC20" s="170">
        <f ca="1">FV(DB20/1,DATEDIF(CV20,'Cap Table'!CX$60,"y"),0,-CY20)</f>
        <v>0</v>
      </c>
      <c r="DD20" s="170">
        <f ca="1">IF('Cap Table'!CX$80="no",IFERROR(DC20/(1-CZ20),0),IFERROR(DC20/(1-(MAX(CZ20,('Cap Table'!CX$62-DA20/'Cap Table'!CX$61)/'Cap Table'!CX$62))),0))</f>
        <v>0</v>
      </c>
      <c r="DE20" s="146">
        <f t="shared" ca="1" si="35"/>
        <v>0</v>
      </c>
      <c r="DF20" s="149">
        <f ca="1">IF(AND('Cap Table'!CX$62=0,DC20&gt;0),DA20/'Cap Table'!CX$61,IFERROR(IF(DA20=0,'Cap Table'!CX$62*(1-CZ20),MIN('Cap Table'!CX$62*(1-CZ20),DA20/'Cap Table'!CX$61)),0))</f>
        <v>0</v>
      </c>
      <c r="DG20" s="170">
        <f t="shared" ca="1" si="83"/>
        <v>0</v>
      </c>
      <c r="DH20" s="170">
        <v>0</v>
      </c>
      <c r="DI20" s="146">
        <f t="shared" ca="1" si="36"/>
        <v>0</v>
      </c>
      <c r="DJ20" s="146">
        <f t="shared" si="36"/>
        <v>0</v>
      </c>
      <c r="DK20" s="146">
        <f t="shared" ca="1" si="69"/>
        <v>0</v>
      </c>
      <c r="DL20" s="147">
        <f t="shared" ca="1" si="37"/>
        <v>0</v>
      </c>
      <c r="DM20" s="146">
        <f ca="1">DK20*'Cap Table'!CX$62</f>
        <v>0</v>
      </c>
      <c r="DN20" s="173">
        <f ca="1">IFERROR(IF(OR(CW20='Cap Table'!$B$40,CW20='Cap Table'!$B$41,CW20='Cap Table'!$B$42),IF(SUM(CY20,CD20,BI20,AN20,S20,)&lt;SUM(CX20,CC20,BH20,AM20,R20),FV(MAX(DB20,CG20,BL20,AQ20,V20)/1,DATEDIF(CV20,'Cap Table'!$CX$60,"y"),0,-MAX(CX20,CC20,BH20,AM20,R20))/(MAX(DA20,CF20,BK20,AP20,U20,)/'Cap Table'!$CX$61),DK20),DK20),0)</f>
        <v>0</v>
      </c>
      <c r="DO20" s="147">
        <f t="shared" ca="1" si="38"/>
        <v>0</v>
      </c>
      <c r="DQ20" s="168">
        <f t="shared" ca="1" si="70"/>
        <v>45674</v>
      </c>
      <c r="DR20" s="168" t="str">
        <f t="shared" si="71"/>
        <v>Equity</v>
      </c>
      <c r="DS20" s="169">
        <v>0</v>
      </c>
      <c r="DT20" s="169">
        <f>IF('Cap Table'!DS$79&lt;&gt;"na",IF(CW20='Cap Table'!$B$40,CX20-CY20,0),0)</f>
        <v>0</v>
      </c>
      <c r="DU20" s="171">
        <f t="shared" si="86"/>
        <v>0</v>
      </c>
      <c r="DV20" s="169">
        <f t="shared" si="87"/>
        <v>0</v>
      </c>
      <c r="DW20" s="172">
        <f t="shared" si="88"/>
        <v>0</v>
      </c>
      <c r="DX20" s="170">
        <f ca="1">FV(DW20/1,DATEDIF(DQ20,'Cap Table'!DS$60,"y"),0,-DT20)</f>
        <v>0</v>
      </c>
      <c r="DY20" s="170">
        <f ca="1">IF('Cap Table'!DS$80="no",IFERROR(DX20/(1-DU20),0),IFERROR(DX20/(1-(MAX(DU20,('Cap Table'!DS$62-DV20/'Cap Table'!DS$61)/'Cap Table'!DS$62))),0))</f>
        <v>0</v>
      </c>
      <c r="DZ20" s="146">
        <f t="shared" ca="1" si="42"/>
        <v>0</v>
      </c>
      <c r="EA20" s="149">
        <f ca="1">IF(AND('Cap Table'!DS$62=0,DX20&gt;0),DV20/'Cap Table'!DS$61,IFERROR(IF(DV20=0,'Cap Table'!DS$62*(1-DU20),MIN('Cap Table'!DS$62*(1-DU20),DV20/'Cap Table'!DS$61)),0))</f>
        <v>0</v>
      </c>
      <c r="EB20" s="170">
        <f t="shared" ca="1" si="84"/>
        <v>0</v>
      </c>
      <c r="EC20" s="170">
        <v>0</v>
      </c>
      <c r="ED20" s="146">
        <f t="shared" ca="1" si="72"/>
        <v>0</v>
      </c>
      <c r="EE20" s="146">
        <f t="shared" si="43"/>
        <v>0</v>
      </c>
      <c r="EF20" s="146">
        <f t="shared" ca="1" si="73"/>
        <v>0</v>
      </c>
      <c r="EG20" s="147">
        <f t="shared" ca="1" si="44"/>
        <v>0</v>
      </c>
      <c r="EH20" s="146">
        <f ca="1">EF20*'Cap Table'!DS$62</f>
        <v>0</v>
      </c>
      <c r="EI20" s="173">
        <f ca="1">IFERROR(IF(OR(DR20='Cap Table'!$B$40,DR20='Cap Table'!$B$41,DR20='Cap Table'!$B$42),IF(SUM(DT20,CY20,CD20,BI20,AN20,S20)&lt;SUM(DS20,CX20,CC20,BH20,AM20,R20),FV(MAX(DW20,DB20,CG20,BL20,AQ20,V20)/1,DATEDIF(DQ20,'Cap Table'!DS$60,"y"),0,-MAX(DS20,CX20,CC20,BH20,AM20,R20))/(MAX(DV20,DA20,CF20,BK20,AP20,U20)/'Cap Table'!$DS$61),EF20),EF20),0)</f>
        <v>0</v>
      </c>
      <c r="EJ20" s="147">
        <f t="shared" ca="1" si="45"/>
        <v>0</v>
      </c>
      <c r="EL20" s="146">
        <f t="shared" si="74"/>
        <v>0</v>
      </c>
      <c r="EM20" s="146">
        <f t="shared" si="74"/>
        <v>0</v>
      </c>
      <c r="EN20" s="174" t="s">
        <v>27</v>
      </c>
      <c r="EO20" s="174" t="s">
        <v>27</v>
      </c>
      <c r="EP20" s="174" t="s">
        <v>27</v>
      </c>
      <c r="EQ20" s="146">
        <f t="shared" ca="1" si="75"/>
        <v>0</v>
      </c>
      <c r="ER20" s="146">
        <f t="shared" ca="1" si="75"/>
        <v>0</v>
      </c>
      <c r="ES20" s="146">
        <f t="shared" ca="1" si="75"/>
        <v>0</v>
      </c>
      <c r="ET20" s="149">
        <f t="shared" ca="1" si="89"/>
        <v>0</v>
      </c>
      <c r="EU20" s="146">
        <f t="shared" ca="1" si="76"/>
        <v>0</v>
      </c>
      <c r="EV20" s="146">
        <f t="shared" si="76"/>
        <v>0</v>
      </c>
      <c r="EW20" s="146">
        <f t="shared" ca="1" si="77"/>
        <v>0</v>
      </c>
      <c r="EX20" s="146">
        <f t="shared" si="77"/>
        <v>0</v>
      </c>
      <c r="EY20" s="146">
        <f t="shared" ca="1" si="77"/>
        <v>0</v>
      </c>
      <c r="EZ20" s="147">
        <f t="shared" ca="1" si="46"/>
        <v>0</v>
      </c>
      <c r="FA20" s="146">
        <f t="shared" ca="1" si="78"/>
        <v>0</v>
      </c>
      <c r="FB20" s="146">
        <f t="shared" ca="1" si="78"/>
        <v>0</v>
      </c>
      <c r="FC20" s="147">
        <f t="shared" ca="1" si="47"/>
        <v>0</v>
      </c>
      <c r="FE20" s="149" t="str">
        <f t="shared" si="0"/>
        <v>Common</v>
      </c>
      <c r="FF20" s="146">
        <f t="shared" ca="1" si="48"/>
        <v>0</v>
      </c>
      <c r="FG20" s="146">
        <f t="shared" ca="1" si="49"/>
        <v>0</v>
      </c>
      <c r="FH20" s="146">
        <f t="shared" ca="1" si="50"/>
        <v>0</v>
      </c>
      <c r="FJ20" s="146" t="str">
        <f t="shared" si="51"/>
        <v>Common</v>
      </c>
      <c r="FK20" s="174" t="str">
        <f t="shared" ca="1" si="52"/>
        <v>na</v>
      </c>
      <c r="FL20" s="174" t="str">
        <f t="shared" ca="1" si="52"/>
        <v>na</v>
      </c>
      <c r="FM20" s="174" t="str">
        <f t="shared" ca="1" si="53"/>
        <v>na</v>
      </c>
    </row>
    <row r="21" spans="2:169">
      <c r="B21" s="145" t="s">
        <v>27</v>
      </c>
      <c r="D21" s="167" t="s">
        <v>27</v>
      </c>
      <c r="E21" s="167" t="str">
        <f t="shared" si="54"/>
        <v>Common</v>
      </c>
      <c r="G21" s="168">
        <f t="shared" ca="1" si="1"/>
        <v>43482</v>
      </c>
      <c r="H21" s="289" t="str">
        <f t="shared" si="2"/>
        <v>Equity</v>
      </c>
      <c r="I21" s="169">
        <v>0</v>
      </c>
      <c r="J21" s="170">
        <v>0</v>
      </c>
      <c r="K21" s="170">
        <f t="shared" si="55"/>
        <v>0</v>
      </c>
      <c r="L21" s="147">
        <f t="shared" si="3"/>
        <v>0</v>
      </c>
      <c r="M21" s="170">
        <f t="shared" si="56"/>
        <v>0</v>
      </c>
      <c r="N21" s="147">
        <f t="shared" si="4"/>
        <v>0</v>
      </c>
      <c r="O21" s="147"/>
      <c r="P21" s="168">
        <f t="shared" ca="1" si="85"/>
        <v>43847</v>
      </c>
      <c r="Q21" s="289" t="str">
        <f t="shared" si="5"/>
        <v>Equity</v>
      </c>
      <c r="R21" s="169">
        <v>0</v>
      </c>
      <c r="S21" s="169">
        <v>0</v>
      </c>
      <c r="T21" s="171">
        <v>0</v>
      </c>
      <c r="U21" s="145">
        <v>0</v>
      </c>
      <c r="V21" s="172">
        <v>0</v>
      </c>
      <c r="W21" s="170">
        <f ca="1">FV(V21/1,DATEDIF(P21,'Cap Table'!R$60,"y"),0,-S21)</f>
        <v>0</v>
      </c>
      <c r="X21" s="170">
        <f t="shared" ca="1" si="6"/>
        <v>0</v>
      </c>
      <c r="Y21" s="146">
        <f t="shared" ca="1" si="7"/>
        <v>0</v>
      </c>
      <c r="Z21" s="149">
        <f ca="1">IF(AND('Cap Table'!R$62=0,W21&gt;0),U21/'Cap Table'!R$61,IFERROR(IF(U21=0,'Cap Table'!R$62*(1-T21),MIN('Cap Table'!R$62*(1-T21),U21/'Cap Table'!R$61)),0))</f>
        <v>0</v>
      </c>
      <c r="AA21" s="170">
        <f t="shared" ca="1" si="79"/>
        <v>0</v>
      </c>
      <c r="AB21" s="170">
        <v>0</v>
      </c>
      <c r="AC21" s="146">
        <f t="shared" ca="1" si="8"/>
        <v>0</v>
      </c>
      <c r="AD21" s="146">
        <f t="shared" si="8"/>
        <v>0</v>
      </c>
      <c r="AE21" s="146">
        <f t="shared" ca="1" si="57"/>
        <v>0</v>
      </c>
      <c r="AF21" s="147">
        <f t="shared" ca="1" si="9"/>
        <v>0</v>
      </c>
      <c r="AG21" s="146">
        <f ca="1">AE21*'Cap Table'!R$62</f>
        <v>0</v>
      </c>
      <c r="AH21" s="146">
        <f ca="1">IFERROR(IF(OR(Q21='Cap Table'!$B$40,Q21='Cap Table'!$B$41,Q21='Cap Table'!$B$42),IF(SUM(S21)&lt;SUM(R21),(FV(V21/1,DATEDIF(P21,'Cap Table'!R$60,"y"),0,-R21))/(U21/'Cap Table'!$R$61),AE21),AE21),0)</f>
        <v>0</v>
      </c>
      <c r="AI21" s="147">
        <f t="shared" ca="1" si="10"/>
        <v>0</v>
      </c>
      <c r="AK21" s="168">
        <f t="shared" ca="1" si="58"/>
        <v>44213</v>
      </c>
      <c r="AL21" s="168" t="str">
        <f t="shared" si="59"/>
        <v>Equity</v>
      </c>
      <c r="AM21" s="169">
        <v>0</v>
      </c>
      <c r="AN21" s="169">
        <f>IF('Cap Table'!AM$79&lt;&gt;"na",IF(Q21='Cap Table'!$B$40,R21-S21,0),0)</f>
        <v>0</v>
      </c>
      <c r="AO21" s="171">
        <f t="shared" si="11"/>
        <v>0</v>
      </c>
      <c r="AP21" s="169">
        <f t="shared" si="12"/>
        <v>0</v>
      </c>
      <c r="AQ21" s="172">
        <f t="shared" si="13"/>
        <v>0</v>
      </c>
      <c r="AR21" s="170">
        <f ca="1">FV(AQ21/1,DATEDIF(AK21,'Cap Table'!AM$60,"y"),0,-AN21)</f>
        <v>0</v>
      </c>
      <c r="AS21" s="170">
        <f ca="1">IF('Cap Table'!AM$80="no",IFERROR(AR21/(1-AO21),0),IFERROR(AR21/(1-(MAX(AO21,('Cap Table'!AM$62-AP21/'Cap Table'!AM$61)/'Cap Table'!AM$62))),0))</f>
        <v>0</v>
      </c>
      <c r="AT21" s="146">
        <f t="shared" ca="1" si="14"/>
        <v>0</v>
      </c>
      <c r="AU21" s="149">
        <f ca="1">IF(AND('Cap Table'!AM$62=0,AR21&gt;0),AP21/'Cap Table'!AM$61,IFERROR(IF(AP21=0,'Cap Table'!AM$62*(1-AO21),MIN('Cap Table'!AM$62*(1-AO21),AP21/'Cap Table'!AM$61)),0))</f>
        <v>0</v>
      </c>
      <c r="AV21" s="170">
        <f t="shared" ca="1" si="80"/>
        <v>0</v>
      </c>
      <c r="AW21" s="170">
        <v>0</v>
      </c>
      <c r="AX21" s="146">
        <f t="shared" ca="1" si="15"/>
        <v>0</v>
      </c>
      <c r="AY21" s="146">
        <f t="shared" si="15"/>
        <v>0</v>
      </c>
      <c r="AZ21" s="146">
        <f t="shared" ca="1" si="60"/>
        <v>0</v>
      </c>
      <c r="BA21" s="147">
        <f t="shared" ca="1" si="16"/>
        <v>0</v>
      </c>
      <c r="BB21" s="146">
        <f ca="1">AZ21*'Cap Table'!AM$62</f>
        <v>0</v>
      </c>
      <c r="BC21" s="173">
        <f ca="1">IFERROR(IF(OR(AL21='Cap Table'!$B$40,AL21='Cap Table'!$B$41,AL21='Cap Table'!$B$42),IF(SUM(AN21,S21)&lt;SUM(AM21,R21),FV(MAX(AQ21,V21)/1,DATEDIF(AK21,'Cap Table'!$AM$60,"y"),0,-MAX(AM21,R21))/(MAX(AP21,U21)/'Cap Table'!$AM$61),AZ21),AZ21),0)</f>
        <v>0</v>
      </c>
      <c r="BD21" s="147">
        <f t="shared" ca="1" si="17"/>
        <v>0</v>
      </c>
      <c r="BF21" s="168">
        <f t="shared" ca="1" si="61"/>
        <v>44578</v>
      </c>
      <c r="BG21" s="168" t="str">
        <f t="shared" si="62"/>
        <v>Equity</v>
      </c>
      <c r="BH21" s="169">
        <v>0</v>
      </c>
      <c r="BI21" s="169">
        <f>IF('Cap Table'!BH$79&lt;&gt;"na",IF(AL21='Cap Table'!$B$40,AM21-AN21,0),0)</f>
        <v>0</v>
      </c>
      <c r="BJ21" s="171">
        <f t="shared" si="18"/>
        <v>0</v>
      </c>
      <c r="BK21" s="169">
        <f t="shared" si="19"/>
        <v>0</v>
      </c>
      <c r="BL21" s="172">
        <f t="shared" si="20"/>
        <v>0</v>
      </c>
      <c r="BM21" s="170">
        <f ca="1">FV(BL21/1,DATEDIF(BF21,'Cap Table'!BH$60,"y"),0,-BI21)</f>
        <v>0</v>
      </c>
      <c r="BN21" s="170">
        <f ca="1">IF('Cap Table'!BH$80="no",IFERROR(BM21/(1-BJ21),0),IFERROR(BM21/(1-(MAX(BJ21,('Cap Table'!BH$62-BK21/'Cap Table'!BH$61)/'Cap Table'!BH$62))),0))</f>
        <v>0</v>
      </c>
      <c r="BO21" s="146">
        <f t="shared" ca="1" si="21"/>
        <v>0</v>
      </c>
      <c r="BP21" s="149">
        <f ca="1">IF(AND('Cap Table'!BH$62=0,BM21&gt;0),BK21/'Cap Table'!BH$61,IFERROR(IF(BK21=0,'Cap Table'!BH$62*(1-BJ21),MIN('Cap Table'!BH$62*(1-BJ21),BK21/'Cap Table'!BH$61)),0))</f>
        <v>0</v>
      </c>
      <c r="BQ21" s="170">
        <f t="shared" ca="1" si="81"/>
        <v>0</v>
      </c>
      <c r="BR21" s="170">
        <v>0</v>
      </c>
      <c r="BS21" s="146">
        <f t="shared" ca="1" si="22"/>
        <v>0</v>
      </c>
      <c r="BT21" s="146">
        <f t="shared" si="22"/>
        <v>0</v>
      </c>
      <c r="BU21" s="146">
        <f t="shared" ca="1" si="63"/>
        <v>0</v>
      </c>
      <c r="BV21" s="147">
        <f t="shared" ca="1" si="23"/>
        <v>0</v>
      </c>
      <c r="BW21" s="146">
        <f ca="1">BU21*'Cap Table'!BH$62</f>
        <v>0</v>
      </c>
      <c r="BX21" s="173">
        <f ca="1">IFERROR(IF(OR(BG21='Cap Table'!$B$40,BG21='Cap Table'!$B$41,BG21='Cap Table'!$B$42),IF(SUM(BI21,AN21,S21)&lt;SUM(BH21,AM21,R21),FV(MAX(BL21,AQ21,V21)/1,DATEDIF(BF21,'Cap Table'!$BH$60,"y"),0,-MAX(BH21,AM21,R21))/(MAX(BK21,AP21,U21)/'Cap Table'!$BH$61),BU21),BU21),0)</f>
        <v>0</v>
      </c>
      <c r="BY21" s="147">
        <f t="shared" ca="1" si="24"/>
        <v>0</v>
      </c>
      <c r="CA21" s="168">
        <f t="shared" ca="1" si="64"/>
        <v>44943</v>
      </c>
      <c r="CB21" s="168" t="str">
        <f t="shared" si="65"/>
        <v>Equity</v>
      </c>
      <c r="CC21" s="169">
        <v>0</v>
      </c>
      <c r="CD21" s="169">
        <f>IF('Cap Table'!CC$79&lt;&gt;"na",IF(BG21='Cap Table'!$B$40,BH21-BI21,0),0)</f>
        <v>0</v>
      </c>
      <c r="CE21" s="171">
        <f t="shared" si="25"/>
        <v>0</v>
      </c>
      <c r="CF21" s="169">
        <f t="shared" si="26"/>
        <v>0</v>
      </c>
      <c r="CG21" s="172">
        <f t="shared" si="27"/>
        <v>0</v>
      </c>
      <c r="CH21" s="170">
        <f ca="1">FV(CG21/1,DATEDIF(CA21,'Cap Table'!CC$60,"y"),0,-CD21)</f>
        <v>0</v>
      </c>
      <c r="CI21" s="170">
        <f ca="1">IF('Cap Table'!CC$80="no",IFERROR(CH21/(1-CE21),0),IFERROR(CH21/(1-(MAX(CE21,('Cap Table'!CC$62-CF21/'Cap Table'!CC$61)/'Cap Table'!CC$62))),0))</f>
        <v>0</v>
      </c>
      <c r="CJ21" s="146">
        <f t="shared" ca="1" si="28"/>
        <v>0</v>
      </c>
      <c r="CK21" s="149">
        <f ca="1">IF(AND('Cap Table'!CC$62=0,CH21&gt;0),CF21/'Cap Table'!CC$61,IFERROR(IF(CF21=0,'Cap Table'!CC$62*(1-CE21),MIN('Cap Table'!CC$62*(1-CE21),CF21/'Cap Table'!CC$61)),0))</f>
        <v>0</v>
      </c>
      <c r="CL21" s="170">
        <f t="shared" ca="1" si="82"/>
        <v>0</v>
      </c>
      <c r="CM21" s="170">
        <v>0</v>
      </c>
      <c r="CN21" s="146">
        <f t="shared" ca="1" si="29"/>
        <v>0</v>
      </c>
      <c r="CO21" s="146">
        <f t="shared" si="29"/>
        <v>0</v>
      </c>
      <c r="CP21" s="146">
        <f t="shared" ca="1" si="66"/>
        <v>0</v>
      </c>
      <c r="CQ21" s="147">
        <f t="shared" ca="1" si="30"/>
        <v>0</v>
      </c>
      <c r="CR21" s="146">
        <f ca="1">CP21*'Cap Table'!CC$62</f>
        <v>0</v>
      </c>
      <c r="CS21" s="173">
        <f ca="1">IFERROR(IF(OR(CB21='Cap Table'!$B$40,CB21='Cap Table'!$B$41,CB21='Cap Table'!$B$42),IF(SUM(CD21,BI21,AN21,S21)&lt;SUM(CC21,BH21,AM21,R21),FV(MAX(CG21,BL21,AQ21,V21)/1,DATEDIF(CA21,'Cap Table'!$CC$60,"y"),0,-MAX(CC21,BH21,AM21,R21))/(MAX(CF21,BK21,AP21,U21)/'Cap Table'!$CC$61),CP21),CP21),0)</f>
        <v>0</v>
      </c>
      <c r="CT21" s="147">
        <f t="shared" ca="1" si="31"/>
        <v>0</v>
      </c>
      <c r="CV21" s="168">
        <f t="shared" ca="1" si="67"/>
        <v>45308</v>
      </c>
      <c r="CW21" s="168" t="str">
        <f t="shared" si="68"/>
        <v>Equity</v>
      </c>
      <c r="CX21" s="169">
        <v>0</v>
      </c>
      <c r="CY21" s="169">
        <f>IF('Cap Table'!CX$79&lt;&gt;"na",IF(CB21='Cap Table'!$B$40,CC21-CD21,0),0)</f>
        <v>0</v>
      </c>
      <c r="CZ21" s="171">
        <f t="shared" si="32"/>
        <v>0</v>
      </c>
      <c r="DA21" s="169">
        <f t="shared" si="33"/>
        <v>0</v>
      </c>
      <c r="DB21" s="172">
        <f t="shared" si="34"/>
        <v>0</v>
      </c>
      <c r="DC21" s="170">
        <f ca="1">FV(DB21/1,DATEDIF(CV21,'Cap Table'!CX$60,"y"),0,-CY21)</f>
        <v>0</v>
      </c>
      <c r="DD21" s="170">
        <f ca="1">IF('Cap Table'!CX$80="no",IFERROR(DC21/(1-CZ21),0),IFERROR(DC21/(1-(MAX(CZ21,('Cap Table'!CX$62-DA21/'Cap Table'!CX$61)/'Cap Table'!CX$62))),0))</f>
        <v>0</v>
      </c>
      <c r="DE21" s="146">
        <f t="shared" ca="1" si="35"/>
        <v>0</v>
      </c>
      <c r="DF21" s="149">
        <f ca="1">IF(AND('Cap Table'!CX$62=0,DC21&gt;0),DA21/'Cap Table'!CX$61,IFERROR(IF(DA21=0,'Cap Table'!CX$62*(1-CZ21),MIN('Cap Table'!CX$62*(1-CZ21),DA21/'Cap Table'!CX$61)),0))</f>
        <v>0</v>
      </c>
      <c r="DG21" s="170">
        <f t="shared" ca="1" si="83"/>
        <v>0</v>
      </c>
      <c r="DH21" s="170">
        <v>0</v>
      </c>
      <c r="DI21" s="146">
        <f t="shared" ca="1" si="36"/>
        <v>0</v>
      </c>
      <c r="DJ21" s="146">
        <f t="shared" si="36"/>
        <v>0</v>
      </c>
      <c r="DK21" s="146">
        <f t="shared" ca="1" si="69"/>
        <v>0</v>
      </c>
      <c r="DL21" s="147">
        <f t="shared" ca="1" si="37"/>
        <v>0</v>
      </c>
      <c r="DM21" s="146">
        <f ca="1">DK21*'Cap Table'!CX$62</f>
        <v>0</v>
      </c>
      <c r="DN21" s="173">
        <f ca="1">IFERROR(IF(OR(CW21='Cap Table'!$B$40,CW21='Cap Table'!$B$41,CW21='Cap Table'!$B$42),IF(SUM(CY21,CD21,BI21,AN21,S21,)&lt;SUM(CX21,CC21,BH21,AM21,R21),FV(MAX(DB21,CG21,BL21,AQ21,V21)/1,DATEDIF(CV21,'Cap Table'!$CX$60,"y"),0,-MAX(CX21,CC21,BH21,AM21,R21))/(MAX(DA21,CF21,BK21,AP21,U21,)/'Cap Table'!$CX$61),DK21),DK21),0)</f>
        <v>0</v>
      </c>
      <c r="DO21" s="147">
        <f t="shared" ca="1" si="38"/>
        <v>0</v>
      </c>
      <c r="DQ21" s="168">
        <f t="shared" ca="1" si="70"/>
        <v>45674</v>
      </c>
      <c r="DR21" s="168" t="str">
        <f t="shared" si="71"/>
        <v>Equity</v>
      </c>
      <c r="DS21" s="169">
        <v>0</v>
      </c>
      <c r="DT21" s="169">
        <f>IF('Cap Table'!DS$79&lt;&gt;"na",IF(CW21='Cap Table'!$B$40,CX21-CY21,0),0)</f>
        <v>0</v>
      </c>
      <c r="DU21" s="171">
        <f t="shared" si="86"/>
        <v>0</v>
      </c>
      <c r="DV21" s="169">
        <f t="shared" si="87"/>
        <v>0</v>
      </c>
      <c r="DW21" s="172">
        <f t="shared" si="88"/>
        <v>0</v>
      </c>
      <c r="DX21" s="170">
        <f ca="1">FV(DW21/1,DATEDIF(DQ21,'Cap Table'!DS$60,"y"),0,-DT21)</f>
        <v>0</v>
      </c>
      <c r="DY21" s="170">
        <f ca="1">IF('Cap Table'!DS$80="no",IFERROR(DX21/(1-DU21),0),IFERROR(DX21/(1-(MAX(DU21,('Cap Table'!DS$62-DV21/'Cap Table'!DS$61)/'Cap Table'!DS$62))),0))</f>
        <v>0</v>
      </c>
      <c r="DZ21" s="146">
        <f t="shared" ca="1" si="42"/>
        <v>0</v>
      </c>
      <c r="EA21" s="149">
        <f ca="1">IF(AND('Cap Table'!DS$62=0,DX21&gt;0),DV21/'Cap Table'!DS$61,IFERROR(IF(DV21=0,'Cap Table'!DS$62*(1-DU21),MIN('Cap Table'!DS$62*(1-DU21),DV21/'Cap Table'!DS$61)),0))</f>
        <v>0</v>
      </c>
      <c r="EB21" s="170">
        <f t="shared" ca="1" si="84"/>
        <v>0</v>
      </c>
      <c r="EC21" s="170">
        <v>0</v>
      </c>
      <c r="ED21" s="146">
        <f t="shared" ca="1" si="72"/>
        <v>0</v>
      </c>
      <c r="EE21" s="146">
        <f t="shared" si="43"/>
        <v>0</v>
      </c>
      <c r="EF21" s="146">
        <f t="shared" ca="1" si="73"/>
        <v>0</v>
      </c>
      <c r="EG21" s="147">
        <f t="shared" ca="1" si="44"/>
        <v>0</v>
      </c>
      <c r="EH21" s="146">
        <f ca="1">EF21*'Cap Table'!DS$62</f>
        <v>0</v>
      </c>
      <c r="EI21" s="173">
        <f ca="1">IFERROR(IF(OR(DR21='Cap Table'!$B$40,DR21='Cap Table'!$B$41,DR21='Cap Table'!$B$42),IF(SUM(DT21,CY21,CD21,BI21,AN21,S21)&lt;SUM(DS21,CX21,CC21,BH21,AM21,R21),FV(MAX(DW21,DB21,CG21,BL21,AQ21,V21)/1,DATEDIF(DQ21,'Cap Table'!DS$60,"y"),0,-MAX(DS21,CX21,CC21,BH21,AM21,R21))/(MAX(DV21,DA21,CF21,BK21,AP21,U21)/'Cap Table'!$DS$61),EF21),EF21),0)</f>
        <v>0</v>
      </c>
      <c r="EJ21" s="147">
        <f t="shared" ca="1" si="45"/>
        <v>0</v>
      </c>
      <c r="EL21" s="146">
        <f t="shared" si="74"/>
        <v>0</v>
      </c>
      <c r="EM21" s="146">
        <f t="shared" si="74"/>
        <v>0</v>
      </c>
      <c r="EN21" s="174" t="s">
        <v>27</v>
      </c>
      <c r="EO21" s="174" t="s">
        <v>27</v>
      </c>
      <c r="EP21" s="174" t="s">
        <v>27</v>
      </c>
      <c r="EQ21" s="146">
        <f t="shared" ca="1" si="75"/>
        <v>0</v>
      </c>
      <c r="ER21" s="146">
        <f t="shared" ca="1" si="75"/>
        <v>0</v>
      </c>
      <c r="ES21" s="146">
        <f t="shared" ca="1" si="75"/>
        <v>0</v>
      </c>
      <c r="ET21" s="149">
        <f t="shared" ca="1" si="89"/>
        <v>0</v>
      </c>
      <c r="EU21" s="146">
        <f t="shared" ca="1" si="76"/>
        <v>0</v>
      </c>
      <c r="EV21" s="146">
        <f t="shared" si="76"/>
        <v>0</v>
      </c>
      <c r="EW21" s="146">
        <f t="shared" ca="1" si="77"/>
        <v>0</v>
      </c>
      <c r="EX21" s="146">
        <f t="shared" si="77"/>
        <v>0</v>
      </c>
      <c r="EY21" s="146">
        <f t="shared" ca="1" si="77"/>
        <v>0</v>
      </c>
      <c r="EZ21" s="147">
        <f t="shared" ca="1" si="46"/>
        <v>0</v>
      </c>
      <c r="FA21" s="146">
        <f t="shared" ca="1" si="78"/>
        <v>0</v>
      </c>
      <c r="FB21" s="146">
        <f t="shared" ca="1" si="78"/>
        <v>0</v>
      </c>
      <c r="FC21" s="147">
        <f t="shared" ca="1" si="47"/>
        <v>0</v>
      </c>
      <c r="FE21" s="149" t="str">
        <f t="shared" si="0"/>
        <v>Common</v>
      </c>
      <c r="FF21" s="146">
        <f t="shared" ca="1" si="48"/>
        <v>0</v>
      </c>
      <c r="FG21" s="146">
        <f t="shared" ca="1" si="49"/>
        <v>0</v>
      </c>
      <c r="FH21" s="146">
        <f t="shared" ca="1" si="50"/>
        <v>0</v>
      </c>
      <c r="FJ21" s="146" t="str">
        <f t="shared" si="51"/>
        <v>Common</v>
      </c>
      <c r="FK21" s="174" t="str">
        <f t="shared" ca="1" si="52"/>
        <v>na</v>
      </c>
      <c r="FL21" s="174" t="str">
        <f t="shared" ca="1" si="52"/>
        <v>na</v>
      </c>
      <c r="FM21" s="174" t="str">
        <f t="shared" ca="1" si="53"/>
        <v>na</v>
      </c>
    </row>
    <row r="22" spans="2:169">
      <c r="B22" s="145" t="s">
        <v>27</v>
      </c>
      <c r="D22" s="167" t="s">
        <v>27</v>
      </c>
      <c r="E22" s="167" t="str">
        <f t="shared" si="54"/>
        <v>Common</v>
      </c>
      <c r="G22" s="168">
        <f t="shared" ca="1" si="1"/>
        <v>43482</v>
      </c>
      <c r="H22" s="289" t="str">
        <f t="shared" si="2"/>
        <v>Equity</v>
      </c>
      <c r="I22" s="169">
        <v>0</v>
      </c>
      <c r="J22" s="170">
        <v>0</v>
      </c>
      <c r="K22" s="170">
        <f t="shared" si="55"/>
        <v>0</v>
      </c>
      <c r="L22" s="147">
        <f t="shared" si="3"/>
        <v>0</v>
      </c>
      <c r="M22" s="170">
        <f t="shared" si="56"/>
        <v>0</v>
      </c>
      <c r="N22" s="147">
        <f t="shared" si="4"/>
        <v>0</v>
      </c>
      <c r="O22" s="147"/>
      <c r="P22" s="168">
        <f t="shared" ca="1" si="85"/>
        <v>43847</v>
      </c>
      <c r="Q22" s="289" t="str">
        <f t="shared" si="5"/>
        <v>Equity</v>
      </c>
      <c r="R22" s="169">
        <v>0</v>
      </c>
      <c r="S22" s="169">
        <v>0</v>
      </c>
      <c r="T22" s="171">
        <v>0</v>
      </c>
      <c r="U22" s="145">
        <v>0</v>
      </c>
      <c r="V22" s="172">
        <v>0</v>
      </c>
      <c r="W22" s="170">
        <f ca="1">FV(V22/1,DATEDIF(P22,'Cap Table'!R$60,"y"),0,-S22)</f>
        <v>0</v>
      </c>
      <c r="X22" s="170">
        <f t="shared" ca="1" si="6"/>
        <v>0</v>
      </c>
      <c r="Y22" s="146">
        <f t="shared" ca="1" si="7"/>
        <v>0</v>
      </c>
      <c r="Z22" s="149">
        <f ca="1">IF(AND('Cap Table'!R$62=0,W22&gt;0),U22/'Cap Table'!R$61,IFERROR(IF(U22=0,'Cap Table'!R$62*(1-T22),MIN('Cap Table'!R$62*(1-T22),U22/'Cap Table'!R$61)),0))</f>
        <v>0</v>
      </c>
      <c r="AA22" s="170">
        <f t="shared" ca="1" si="79"/>
        <v>0</v>
      </c>
      <c r="AB22" s="170">
        <v>0</v>
      </c>
      <c r="AC22" s="146">
        <f t="shared" ca="1" si="8"/>
        <v>0</v>
      </c>
      <c r="AD22" s="146">
        <f t="shared" si="8"/>
        <v>0</v>
      </c>
      <c r="AE22" s="146">
        <f t="shared" ca="1" si="57"/>
        <v>0</v>
      </c>
      <c r="AF22" s="147">
        <f t="shared" ca="1" si="9"/>
        <v>0</v>
      </c>
      <c r="AG22" s="146">
        <f ca="1">AE22*'Cap Table'!R$62</f>
        <v>0</v>
      </c>
      <c r="AH22" s="146">
        <f ca="1">IFERROR(IF(OR(Q22='Cap Table'!$B$40,Q22='Cap Table'!$B$41,Q22='Cap Table'!$B$42),IF(SUM(S22)&lt;SUM(R22),(FV(V22/1,DATEDIF(P22,'Cap Table'!R$60,"y"),0,-R22))/(U22/'Cap Table'!$R$61),AE22),AE22),0)</f>
        <v>0</v>
      </c>
      <c r="AI22" s="147">
        <f t="shared" ca="1" si="10"/>
        <v>0</v>
      </c>
      <c r="AK22" s="168">
        <f t="shared" ca="1" si="58"/>
        <v>44213</v>
      </c>
      <c r="AL22" s="168" t="str">
        <f t="shared" si="59"/>
        <v>Equity</v>
      </c>
      <c r="AM22" s="169">
        <v>0</v>
      </c>
      <c r="AN22" s="169">
        <f>IF('Cap Table'!AM$79&lt;&gt;"na",IF(Q22='Cap Table'!$B$40,R22-S22,0),0)</f>
        <v>0</v>
      </c>
      <c r="AO22" s="171">
        <f t="shared" si="11"/>
        <v>0</v>
      </c>
      <c r="AP22" s="169">
        <f t="shared" si="12"/>
        <v>0</v>
      </c>
      <c r="AQ22" s="172">
        <f t="shared" si="13"/>
        <v>0</v>
      </c>
      <c r="AR22" s="170">
        <f ca="1">FV(AQ22/1,DATEDIF(AK22,'Cap Table'!AM$60,"y"),0,-AN22)</f>
        <v>0</v>
      </c>
      <c r="AS22" s="170">
        <f ca="1">IF('Cap Table'!AM$80="no",IFERROR(AR22/(1-AO22),0),IFERROR(AR22/(1-(MAX(AO22,('Cap Table'!AM$62-AP22/'Cap Table'!AM$61)/'Cap Table'!AM$62))),0))</f>
        <v>0</v>
      </c>
      <c r="AT22" s="146">
        <f t="shared" ca="1" si="14"/>
        <v>0</v>
      </c>
      <c r="AU22" s="149">
        <f ca="1">IF(AND('Cap Table'!AM$62=0,AR22&gt;0),AP22/'Cap Table'!AM$61,IFERROR(IF(AP22=0,'Cap Table'!AM$62*(1-AO22),MIN('Cap Table'!AM$62*(1-AO22),AP22/'Cap Table'!AM$61)),0))</f>
        <v>0</v>
      </c>
      <c r="AV22" s="170">
        <f t="shared" ca="1" si="80"/>
        <v>0</v>
      </c>
      <c r="AW22" s="170">
        <v>0</v>
      </c>
      <c r="AX22" s="146">
        <f t="shared" ca="1" si="15"/>
        <v>0</v>
      </c>
      <c r="AY22" s="146">
        <f t="shared" si="15"/>
        <v>0</v>
      </c>
      <c r="AZ22" s="146">
        <f t="shared" ca="1" si="60"/>
        <v>0</v>
      </c>
      <c r="BA22" s="147">
        <f t="shared" ca="1" si="16"/>
        <v>0</v>
      </c>
      <c r="BB22" s="146">
        <f ca="1">AZ22*'Cap Table'!AM$62</f>
        <v>0</v>
      </c>
      <c r="BC22" s="173">
        <f ca="1">IFERROR(IF(OR(AL22='Cap Table'!$B$40,AL22='Cap Table'!$B$41,AL22='Cap Table'!$B$42),IF(SUM(AN22,S22)&lt;SUM(AM22,R22),FV(MAX(AQ22,V22)/1,DATEDIF(AK22,'Cap Table'!$AM$60,"y"),0,-MAX(AM22,R22))/(MAX(AP22,U22)/'Cap Table'!$AM$61),AZ22),AZ22),0)</f>
        <v>0</v>
      </c>
      <c r="BD22" s="147">
        <f t="shared" ca="1" si="17"/>
        <v>0</v>
      </c>
      <c r="BF22" s="168">
        <f t="shared" ca="1" si="61"/>
        <v>44578</v>
      </c>
      <c r="BG22" s="168" t="str">
        <f t="shared" si="62"/>
        <v>Equity</v>
      </c>
      <c r="BH22" s="169">
        <v>0</v>
      </c>
      <c r="BI22" s="169">
        <f>IF('Cap Table'!BH$79&lt;&gt;"na",IF(AL22='Cap Table'!$B$40,AM22-AN22,0),0)</f>
        <v>0</v>
      </c>
      <c r="BJ22" s="171">
        <f t="shared" si="18"/>
        <v>0</v>
      </c>
      <c r="BK22" s="169">
        <f t="shared" si="19"/>
        <v>0</v>
      </c>
      <c r="BL22" s="172">
        <f t="shared" si="20"/>
        <v>0</v>
      </c>
      <c r="BM22" s="170">
        <f ca="1">FV(BL22/1,DATEDIF(BF22,'Cap Table'!BH$60,"y"),0,-BI22)</f>
        <v>0</v>
      </c>
      <c r="BN22" s="170">
        <f ca="1">IF('Cap Table'!BH$80="no",IFERROR(BM22/(1-BJ22),0),IFERROR(BM22/(1-(MAX(BJ22,('Cap Table'!BH$62-BK22/'Cap Table'!BH$61)/'Cap Table'!BH$62))),0))</f>
        <v>0</v>
      </c>
      <c r="BO22" s="146">
        <f t="shared" ca="1" si="21"/>
        <v>0</v>
      </c>
      <c r="BP22" s="149">
        <f ca="1">IF(AND('Cap Table'!BH$62=0,BM22&gt;0),BK22/'Cap Table'!BH$61,IFERROR(IF(BK22=0,'Cap Table'!BH$62*(1-BJ22),MIN('Cap Table'!BH$62*(1-BJ22),BK22/'Cap Table'!BH$61)),0))</f>
        <v>0</v>
      </c>
      <c r="BQ22" s="170">
        <f t="shared" ca="1" si="81"/>
        <v>0</v>
      </c>
      <c r="BR22" s="170">
        <v>0</v>
      </c>
      <c r="BS22" s="146">
        <f t="shared" ca="1" si="22"/>
        <v>0</v>
      </c>
      <c r="BT22" s="146">
        <f t="shared" si="22"/>
        <v>0</v>
      </c>
      <c r="BU22" s="146">
        <f t="shared" ca="1" si="63"/>
        <v>0</v>
      </c>
      <c r="BV22" s="147">
        <f t="shared" ca="1" si="23"/>
        <v>0</v>
      </c>
      <c r="BW22" s="146">
        <f ca="1">BU22*'Cap Table'!BH$62</f>
        <v>0</v>
      </c>
      <c r="BX22" s="173">
        <f ca="1">IFERROR(IF(OR(BG22='Cap Table'!$B$40,BG22='Cap Table'!$B$41,BG22='Cap Table'!$B$42),IF(SUM(BI22,AN22,S22)&lt;SUM(BH22,AM22,R22),FV(MAX(BL22,AQ22,V22)/1,DATEDIF(BF22,'Cap Table'!$BH$60,"y"),0,-MAX(BH22,AM22,R22))/(MAX(BK22,AP22,U22)/'Cap Table'!$BH$61),BU22),BU22),0)</f>
        <v>0</v>
      </c>
      <c r="BY22" s="147">
        <f t="shared" ca="1" si="24"/>
        <v>0</v>
      </c>
      <c r="CA22" s="168">
        <f t="shared" ca="1" si="64"/>
        <v>44943</v>
      </c>
      <c r="CB22" s="168" t="str">
        <f t="shared" si="65"/>
        <v>Equity</v>
      </c>
      <c r="CC22" s="169">
        <v>0</v>
      </c>
      <c r="CD22" s="169">
        <f>IF('Cap Table'!CC$79&lt;&gt;"na",IF(BG22='Cap Table'!$B$40,BH22-BI22,0),0)</f>
        <v>0</v>
      </c>
      <c r="CE22" s="171">
        <f t="shared" si="25"/>
        <v>0</v>
      </c>
      <c r="CF22" s="169">
        <f t="shared" si="26"/>
        <v>0</v>
      </c>
      <c r="CG22" s="172">
        <f t="shared" si="27"/>
        <v>0</v>
      </c>
      <c r="CH22" s="170">
        <f ca="1">FV(CG22/1,DATEDIF(CA22,'Cap Table'!CC$60,"y"),0,-CD22)</f>
        <v>0</v>
      </c>
      <c r="CI22" s="170">
        <f ca="1">IF('Cap Table'!CC$80="no",IFERROR(CH22/(1-CE22),0),IFERROR(CH22/(1-(MAX(CE22,('Cap Table'!CC$62-CF22/'Cap Table'!CC$61)/'Cap Table'!CC$62))),0))</f>
        <v>0</v>
      </c>
      <c r="CJ22" s="146">
        <f t="shared" ca="1" si="28"/>
        <v>0</v>
      </c>
      <c r="CK22" s="149">
        <f ca="1">IF(AND('Cap Table'!CC$62=0,CH22&gt;0),CF22/'Cap Table'!CC$61,IFERROR(IF(CF22=0,'Cap Table'!CC$62*(1-CE22),MIN('Cap Table'!CC$62*(1-CE22),CF22/'Cap Table'!CC$61)),0))</f>
        <v>0</v>
      </c>
      <c r="CL22" s="170">
        <f t="shared" ca="1" si="82"/>
        <v>0</v>
      </c>
      <c r="CM22" s="170">
        <v>0</v>
      </c>
      <c r="CN22" s="146">
        <f t="shared" ca="1" si="29"/>
        <v>0</v>
      </c>
      <c r="CO22" s="146">
        <f t="shared" si="29"/>
        <v>0</v>
      </c>
      <c r="CP22" s="146">
        <f t="shared" ca="1" si="66"/>
        <v>0</v>
      </c>
      <c r="CQ22" s="147">
        <f t="shared" ca="1" si="30"/>
        <v>0</v>
      </c>
      <c r="CR22" s="146">
        <f ca="1">CP22*'Cap Table'!CC$62</f>
        <v>0</v>
      </c>
      <c r="CS22" s="173">
        <f ca="1">IFERROR(IF(OR(CB22='Cap Table'!$B$40,CB22='Cap Table'!$B$41,CB22='Cap Table'!$B$42),IF(SUM(CD22,BI22,AN22,S22)&lt;SUM(CC22,BH22,AM22,R22),FV(MAX(CG22,BL22,AQ22,V22)/1,DATEDIF(CA22,'Cap Table'!$CC$60,"y"),0,-MAX(CC22,BH22,AM22,R22))/(MAX(CF22,BK22,AP22,U22)/'Cap Table'!$CC$61),CP22),CP22),0)</f>
        <v>0</v>
      </c>
      <c r="CT22" s="147">
        <f t="shared" ca="1" si="31"/>
        <v>0</v>
      </c>
      <c r="CV22" s="168">
        <f t="shared" ca="1" si="67"/>
        <v>45308</v>
      </c>
      <c r="CW22" s="168" t="str">
        <f t="shared" si="68"/>
        <v>Equity</v>
      </c>
      <c r="CX22" s="169">
        <v>0</v>
      </c>
      <c r="CY22" s="169">
        <f>IF('Cap Table'!CX$79&lt;&gt;"na",IF(CB22='Cap Table'!$B$40,CC22-CD22,0),0)</f>
        <v>0</v>
      </c>
      <c r="CZ22" s="171">
        <f t="shared" si="32"/>
        <v>0</v>
      </c>
      <c r="DA22" s="169">
        <f t="shared" si="33"/>
        <v>0</v>
      </c>
      <c r="DB22" s="172">
        <f t="shared" si="34"/>
        <v>0</v>
      </c>
      <c r="DC22" s="170">
        <f ca="1">FV(DB22/1,DATEDIF(CV22,'Cap Table'!CX$60,"y"),0,-CY22)</f>
        <v>0</v>
      </c>
      <c r="DD22" s="170">
        <f ca="1">IF('Cap Table'!CX$80="no",IFERROR(DC22/(1-CZ22),0),IFERROR(DC22/(1-(MAX(CZ22,('Cap Table'!CX$62-DA22/'Cap Table'!CX$61)/'Cap Table'!CX$62))),0))</f>
        <v>0</v>
      </c>
      <c r="DE22" s="146">
        <f t="shared" ca="1" si="35"/>
        <v>0</v>
      </c>
      <c r="DF22" s="149">
        <f ca="1">IF(AND('Cap Table'!CX$62=0,DC22&gt;0),DA22/'Cap Table'!CX$61,IFERROR(IF(DA22=0,'Cap Table'!CX$62*(1-CZ22),MIN('Cap Table'!CX$62*(1-CZ22),DA22/'Cap Table'!CX$61)),0))</f>
        <v>0</v>
      </c>
      <c r="DG22" s="170">
        <f t="shared" ca="1" si="83"/>
        <v>0</v>
      </c>
      <c r="DH22" s="170">
        <v>0</v>
      </c>
      <c r="DI22" s="146">
        <f t="shared" ca="1" si="36"/>
        <v>0</v>
      </c>
      <c r="DJ22" s="146">
        <f t="shared" si="36"/>
        <v>0</v>
      </c>
      <c r="DK22" s="146">
        <f t="shared" ca="1" si="69"/>
        <v>0</v>
      </c>
      <c r="DL22" s="147">
        <f t="shared" ca="1" si="37"/>
        <v>0</v>
      </c>
      <c r="DM22" s="146">
        <f ca="1">DK22*'Cap Table'!CX$62</f>
        <v>0</v>
      </c>
      <c r="DN22" s="173">
        <f ca="1">IFERROR(IF(OR(CW22='Cap Table'!$B$40,CW22='Cap Table'!$B$41,CW22='Cap Table'!$B$42),IF(SUM(CY22,CD22,BI22,AN22,S22,)&lt;SUM(CX22,CC22,BH22,AM22,R22),FV(MAX(DB22,CG22,BL22,AQ22,V22)/1,DATEDIF(CV22,'Cap Table'!$CX$60,"y"),0,-MAX(CX22,CC22,BH22,AM22,R22))/(MAX(DA22,CF22,BK22,AP22,U22,)/'Cap Table'!$CX$61),DK22),DK22),0)</f>
        <v>0</v>
      </c>
      <c r="DO22" s="147">
        <f t="shared" ca="1" si="38"/>
        <v>0</v>
      </c>
      <c r="DQ22" s="168">
        <f t="shared" ca="1" si="70"/>
        <v>45674</v>
      </c>
      <c r="DR22" s="168" t="str">
        <f t="shared" si="71"/>
        <v>Equity</v>
      </c>
      <c r="DS22" s="169">
        <v>0</v>
      </c>
      <c r="DT22" s="169">
        <f>IF('Cap Table'!DS$79&lt;&gt;"na",IF(CW22='Cap Table'!$B$40,CX22-CY22,0),0)</f>
        <v>0</v>
      </c>
      <c r="DU22" s="171">
        <f t="shared" si="86"/>
        <v>0</v>
      </c>
      <c r="DV22" s="169">
        <f t="shared" si="87"/>
        <v>0</v>
      </c>
      <c r="DW22" s="172">
        <f t="shared" si="88"/>
        <v>0</v>
      </c>
      <c r="DX22" s="170">
        <f ca="1">FV(DW22/1,DATEDIF(DQ22,'Cap Table'!DS$60,"y"),0,-DT22)</f>
        <v>0</v>
      </c>
      <c r="DY22" s="170">
        <f ca="1">IF('Cap Table'!DS$80="no",IFERROR(DX22/(1-DU22),0),IFERROR(DX22/(1-(MAX(DU22,('Cap Table'!DS$62-DV22/'Cap Table'!DS$61)/'Cap Table'!DS$62))),0))</f>
        <v>0</v>
      </c>
      <c r="DZ22" s="146">
        <f t="shared" ca="1" si="42"/>
        <v>0</v>
      </c>
      <c r="EA22" s="149">
        <f ca="1">IF(AND('Cap Table'!DS$62=0,DX22&gt;0),DV22/'Cap Table'!DS$61,IFERROR(IF(DV22=0,'Cap Table'!DS$62*(1-DU22),MIN('Cap Table'!DS$62*(1-DU22),DV22/'Cap Table'!DS$61)),0))</f>
        <v>0</v>
      </c>
      <c r="EB22" s="170">
        <f t="shared" ca="1" si="84"/>
        <v>0</v>
      </c>
      <c r="EC22" s="170">
        <v>0</v>
      </c>
      <c r="ED22" s="146">
        <f t="shared" ca="1" si="72"/>
        <v>0</v>
      </c>
      <c r="EE22" s="146">
        <f t="shared" si="43"/>
        <v>0</v>
      </c>
      <c r="EF22" s="146">
        <f t="shared" ca="1" si="73"/>
        <v>0</v>
      </c>
      <c r="EG22" s="147">
        <f t="shared" ca="1" si="44"/>
        <v>0</v>
      </c>
      <c r="EH22" s="146">
        <f ca="1">EF22*'Cap Table'!DS$62</f>
        <v>0</v>
      </c>
      <c r="EI22" s="173">
        <f ca="1">IFERROR(IF(OR(DR22='Cap Table'!$B$40,DR22='Cap Table'!$B$41,DR22='Cap Table'!$B$42),IF(SUM(DT22,CY22,CD22,BI22,AN22,S22)&lt;SUM(DS22,CX22,CC22,BH22,AM22,R22),FV(MAX(DW22,DB22,CG22,BL22,AQ22,V22)/1,DATEDIF(DQ22,'Cap Table'!DS$60,"y"),0,-MAX(DS22,CX22,CC22,BH22,AM22,R22))/(MAX(DV22,DA22,CF22,BK22,AP22,U22)/'Cap Table'!$DS$61),EF22),EF22),0)</f>
        <v>0</v>
      </c>
      <c r="EJ22" s="147">
        <f t="shared" ca="1" si="45"/>
        <v>0</v>
      </c>
      <c r="EL22" s="146">
        <f t="shared" si="74"/>
        <v>0</v>
      </c>
      <c r="EM22" s="146">
        <f t="shared" si="74"/>
        <v>0</v>
      </c>
      <c r="EN22" s="174" t="s">
        <v>27</v>
      </c>
      <c r="EO22" s="174" t="s">
        <v>27</v>
      </c>
      <c r="EP22" s="174" t="s">
        <v>27</v>
      </c>
      <c r="EQ22" s="146">
        <f t="shared" ca="1" si="75"/>
        <v>0</v>
      </c>
      <c r="ER22" s="146">
        <f t="shared" ca="1" si="75"/>
        <v>0</v>
      </c>
      <c r="ES22" s="146">
        <f t="shared" ca="1" si="75"/>
        <v>0</v>
      </c>
      <c r="ET22" s="149">
        <f t="shared" ca="1" si="89"/>
        <v>0</v>
      </c>
      <c r="EU22" s="146">
        <f t="shared" ca="1" si="76"/>
        <v>0</v>
      </c>
      <c r="EV22" s="146">
        <f t="shared" si="76"/>
        <v>0</v>
      </c>
      <c r="EW22" s="146">
        <f t="shared" ca="1" si="77"/>
        <v>0</v>
      </c>
      <c r="EX22" s="146">
        <f t="shared" si="77"/>
        <v>0</v>
      </c>
      <c r="EY22" s="146">
        <f t="shared" ca="1" si="77"/>
        <v>0</v>
      </c>
      <c r="EZ22" s="147">
        <f t="shared" ca="1" si="46"/>
        <v>0</v>
      </c>
      <c r="FA22" s="146">
        <f t="shared" ca="1" si="78"/>
        <v>0</v>
      </c>
      <c r="FB22" s="146">
        <f t="shared" ca="1" si="78"/>
        <v>0</v>
      </c>
      <c r="FC22" s="147">
        <f t="shared" ca="1" si="47"/>
        <v>0</v>
      </c>
      <c r="FE22" s="149" t="str">
        <f t="shared" si="0"/>
        <v>Common</v>
      </c>
      <c r="FF22" s="146">
        <f t="shared" ca="1" si="48"/>
        <v>0</v>
      </c>
      <c r="FG22" s="146">
        <f t="shared" ca="1" si="49"/>
        <v>0</v>
      </c>
      <c r="FH22" s="146">
        <f t="shared" ca="1" si="50"/>
        <v>0</v>
      </c>
      <c r="FJ22" s="146" t="str">
        <f t="shared" si="51"/>
        <v>Common</v>
      </c>
      <c r="FK22" s="174" t="str">
        <f t="shared" ca="1" si="52"/>
        <v>na</v>
      </c>
      <c r="FL22" s="174" t="str">
        <f t="shared" ca="1" si="52"/>
        <v>na</v>
      </c>
      <c r="FM22" s="174" t="str">
        <f t="shared" ca="1" si="53"/>
        <v>na</v>
      </c>
    </row>
    <row r="23" spans="2:169">
      <c r="B23" s="145" t="s">
        <v>27</v>
      </c>
      <c r="D23" s="167" t="s">
        <v>27</v>
      </c>
      <c r="E23" s="167" t="str">
        <f t="shared" si="54"/>
        <v>Common</v>
      </c>
      <c r="G23" s="168">
        <f t="shared" ca="1" si="1"/>
        <v>43482</v>
      </c>
      <c r="H23" s="289" t="str">
        <f t="shared" si="2"/>
        <v>Equity</v>
      </c>
      <c r="I23" s="169">
        <v>0</v>
      </c>
      <c r="J23" s="170">
        <v>0</v>
      </c>
      <c r="K23" s="170">
        <f t="shared" si="55"/>
        <v>0</v>
      </c>
      <c r="L23" s="147">
        <f t="shared" si="3"/>
        <v>0</v>
      </c>
      <c r="M23" s="170">
        <f t="shared" si="56"/>
        <v>0</v>
      </c>
      <c r="N23" s="147">
        <f t="shared" si="4"/>
        <v>0</v>
      </c>
      <c r="O23" s="147"/>
      <c r="P23" s="168">
        <f t="shared" ca="1" si="85"/>
        <v>43847</v>
      </c>
      <c r="Q23" s="289" t="str">
        <f t="shared" si="5"/>
        <v>Equity</v>
      </c>
      <c r="R23" s="169">
        <v>0</v>
      </c>
      <c r="S23" s="169">
        <v>0</v>
      </c>
      <c r="T23" s="171">
        <v>0</v>
      </c>
      <c r="U23" s="145">
        <v>0</v>
      </c>
      <c r="V23" s="172">
        <v>0</v>
      </c>
      <c r="W23" s="170">
        <f ca="1">FV(V23/1,DATEDIF(P23,'Cap Table'!R$60,"y"),0,-S23)</f>
        <v>0</v>
      </c>
      <c r="X23" s="170">
        <f t="shared" ca="1" si="6"/>
        <v>0</v>
      </c>
      <c r="Y23" s="146">
        <f t="shared" ca="1" si="7"/>
        <v>0</v>
      </c>
      <c r="Z23" s="149">
        <f ca="1">IF(AND('Cap Table'!R$62=0,W23&gt;0),U23/'Cap Table'!R$61,IFERROR(IF(U23=0,'Cap Table'!R$62*(1-T23),MIN('Cap Table'!R$62*(1-T23),U23/'Cap Table'!R$61)),0))</f>
        <v>0</v>
      </c>
      <c r="AA23" s="170">
        <f t="shared" ca="1" si="79"/>
        <v>0</v>
      </c>
      <c r="AB23" s="170">
        <v>0</v>
      </c>
      <c r="AC23" s="146">
        <f t="shared" ca="1" si="8"/>
        <v>0</v>
      </c>
      <c r="AD23" s="146">
        <f t="shared" si="8"/>
        <v>0</v>
      </c>
      <c r="AE23" s="146">
        <f t="shared" ca="1" si="57"/>
        <v>0</v>
      </c>
      <c r="AF23" s="147">
        <f t="shared" ca="1" si="9"/>
        <v>0</v>
      </c>
      <c r="AG23" s="146">
        <f ca="1">AE23*'Cap Table'!R$62</f>
        <v>0</v>
      </c>
      <c r="AH23" s="146">
        <f ca="1">IFERROR(IF(OR(Q23='Cap Table'!$B$40,Q23='Cap Table'!$B$41,Q23='Cap Table'!$B$42),IF(SUM(S23)&lt;SUM(R23),(FV(V23/1,DATEDIF(P23,'Cap Table'!R$60,"y"),0,-R23))/(U23/'Cap Table'!$R$61),AE23),AE23),0)</f>
        <v>0</v>
      </c>
      <c r="AI23" s="147">
        <f t="shared" ca="1" si="10"/>
        <v>0</v>
      </c>
      <c r="AK23" s="168">
        <f t="shared" ca="1" si="58"/>
        <v>44213</v>
      </c>
      <c r="AL23" s="168" t="str">
        <f t="shared" si="59"/>
        <v>Equity</v>
      </c>
      <c r="AM23" s="169">
        <v>0</v>
      </c>
      <c r="AN23" s="169">
        <f>IF('Cap Table'!AM$79&lt;&gt;"na",IF(Q23='Cap Table'!$B$40,R23-S23,0),0)</f>
        <v>0</v>
      </c>
      <c r="AO23" s="171">
        <f t="shared" si="11"/>
        <v>0</v>
      </c>
      <c r="AP23" s="169">
        <f t="shared" si="12"/>
        <v>0</v>
      </c>
      <c r="AQ23" s="172">
        <f t="shared" si="13"/>
        <v>0</v>
      </c>
      <c r="AR23" s="170">
        <f ca="1">FV(AQ23/1,DATEDIF(AK23,'Cap Table'!AM$60,"y"),0,-AN23)</f>
        <v>0</v>
      </c>
      <c r="AS23" s="170">
        <f ca="1">IF('Cap Table'!AM$80="no",IFERROR(AR23/(1-AO23),0),IFERROR(AR23/(1-(MAX(AO23,('Cap Table'!AM$62-AP23/'Cap Table'!AM$61)/'Cap Table'!AM$62))),0))</f>
        <v>0</v>
      </c>
      <c r="AT23" s="146">
        <f t="shared" ca="1" si="14"/>
        <v>0</v>
      </c>
      <c r="AU23" s="149">
        <f ca="1">IF(AND('Cap Table'!AM$62=0,AR23&gt;0),AP23/'Cap Table'!AM$61,IFERROR(IF(AP23=0,'Cap Table'!AM$62*(1-AO23),MIN('Cap Table'!AM$62*(1-AO23),AP23/'Cap Table'!AM$61)),0))</f>
        <v>0</v>
      </c>
      <c r="AV23" s="170">
        <f t="shared" ca="1" si="80"/>
        <v>0</v>
      </c>
      <c r="AW23" s="170">
        <v>0</v>
      </c>
      <c r="AX23" s="146">
        <f t="shared" ca="1" si="15"/>
        <v>0</v>
      </c>
      <c r="AY23" s="146">
        <f t="shared" si="15"/>
        <v>0</v>
      </c>
      <c r="AZ23" s="146">
        <f t="shared" ca="1" si="60"/>
        <v>0</v>
      </c>
      <c r="BA23" s="147">
        <f t="shared" ca="1" si="16"/>
        <v>0</v>
      </c>
      <c r="BB23" s="146">
        <f ca="1">AZ23*'Cap Table'!AM$62</f>
        <v>0</v>
      </c>
      <c r="BC23" s="173">
        <f ca="1">IFERROR(IF(OR(AL23='Cap Table'!$B$40,AL23='Cap Table'!$B$41,AL23='Cap Table'!$B$42),IF(SUM(AN23,S23)&lt;SUM(AM23,R23),FV(MAX(AQ23,V23)/1,DATEDIF(AK23,'Cap Table'!$AM$60,"y"),0,-MAX(AM23,R23))/(MAX(AP23,U23)/'Cap Table'!$AM$61),AZ23),AZ23),0)</f>
        <v>0</v>
      </c>
      <c r="BD23" s="147">
        <f t="shared" ca="1" si="17"/>
        <v>0</v>
      </c>
      <c r="BF23" s="168">
        <f t="shared" ca="1" si="61"/>
        <v>44578</v>
      </c>
      <c r="BG23" s="168" t="str">
        <f t="shared" si="62"/>
        <v>Equity</v>
      </c>
      <c r="BH23" s="169">
        <v>0</v>
      </c>
      <c r="BI23" s="169">
        <f>IF('Cap Table'!BH$79&lt;&gt;"na",IF(AL23='Cap Table'!$B$40,AM23-AN23,0),0)</f>
        <v>0</v>
      </c>
      <c r="BJ23" s="171">
        <f t="shared" si="18"/>
        <v>0</v>
      </c>
      <c r="BK23" s="169">
        <f t="shared" si="19"/>
        <v>0</v>
      </c>
      <c r="BL23" s="172">
        <f t="shared" si="20"/>
        <v>0</v>
      </c>
      <c r="BM23" s="170">
        <f ca="1">FV(BL23/1,DATEDIF(BF23,'Cap Table'!BH$60,"y"),0,-BI23)</f>
        <v>0</v>
      </c>
      <c r="BN23" s="170">
        <f ca="1">IF('Cap Table'!BH$80="no",IFERROR(BM23/(1-BJ23),0),IFERROR(BM23/(1-(MAX(BJ23,('Cap Table'!BH$62-BK23/'Cap Table'!BH$61)/'Cap Table'!BH$62))),0))</f>
        <v>0</v>
      </c>
      <c r="BO23" s="146">
        <f t="shared" ca="1" si="21"/>
        <v>0</v>
      </c>
      <c r="BP23" s="149">
        <f ca="1">IF(AND('Cap Table'!BH$62=0,BM23&gt;0),BK23/'Cap Table'!BH$61,IFERROR(IF(BK23=0,'Cap Table'!BH$62*(1-BJ23),MIN('Cap Table'!BH$62*(1-BJ23),BK23/'Cap Table'!BH$61)),0))</f>
        <v>0</v>
      </c>
      <c r="BQ23" s="170">
        <f t="shared" ca="1" si="81"/>
        <v>0</v>
      </c>
      <c r="BR23" s="170">
        <v>0</v>
      </c>
      <c r="BS23" s="146">
        <f t="shared" ca="1" si="22"/>
        <v>0</v>
      </c>
      <c r="BT23" s="146">
        <f t="shared" si="22"/>
        <v>0</v>
      </c>
      <c r="BU23" s="146">
        <f t="shared" ca="1" si="63"/>
        <v>0</v>
      </c>
      <c r="BV23" s="147">
        <f t="shared" ca="1" si="23"/>
        <v>0</v>
      </c>
      <c r="BW23" s="146">
        <f ca="1">BU23*'Cap Table'!BH$62</f>
        <v>0</v>
      </c>
      <c r="BX23" s="173">
        <f ca="1">IFERROR(IF(OR(BG23='Cap Table'!$B$40,BG23='Cap Table'!$B$41,BG23='Cap Table'!$B$42),IF(SUM(BI23,AN23,S23)&lt;SUM(BH23,AM23,R23),FV(MAX(BL23,AQ23,V23)/1,DATEDIF(BF23,'Cap Table'!$BH$60,"y"),0,-MAX(BH23,AM23,R23))/(MAX(BK23,AP23,U23)/'Cap Table'!$BH$61),BU23),BU23),0)</f>
        <v>0</v>
      </c>
      <c r="BY23" s="147">
        <f t="shared" ca="1" si="24"/>
        <v>0</v>
      </c>
      <c r="CA23" s="168">
        <f t="shared" ca="1" si="64"/>
        <v>44943</v>
      </c>
      <c r="CB23" s="168" t="str">
        <f t="shared" si="65"/>
        <v>Equity</v>
      </c>
      <c r="CC23" s="169">
        <v>0</v>
      </c>
      <c r="CD23" s="169">
        <f>IF('Cap Table'!CC$79&lt;&gt;"na",IF(BG23='Cap Table'!$B$40,BH23-BI23,0),0)</f>
        <v>0</v>
      </c>
      <c r="CE23" s="171">
        <f t="shared" si="25"/>
        <v>0</v>
      </c>
      <c r="CF23" s="169">
        <f t="shared" si="26"/>
        <v>0</v>
      </c>
      <c r="CG23" s="172">
        <f t="shared" si="27"/>
        <v>0</v>
      </c>
      <c r="CH23" s="170">
        <f ca="1">FV(CG23/1,DATEDIF(CA23,'Cap Table'!CC$60,"y"),0,-CD23)</f>
        <v>0</v>
      </c>
      <c r="CI23" s="170">
        <f ca="1">IF('Cap Table'!CC$80="no",IFERROR(CH23/(1-CE23),0),IFERROR(CH23/(1-(MAX(CE23,('Cap Table'!CC$62-CF23/'Cap Table'!CC$61)/'Cap Table'!CC$62))),0))</f>
        <v>0</v>
      </c>
      <c r="CJ23" s="146">
        <f t="shared" ca="1" si="28"/>
        <v>0</v>
      </c>
      <c r="CK23" s="149">
        <f ca="1">IF(AND('Cap Table'!CC$62=0,CH23&gt;0),CF23/'Cap Table'!CC$61,IFERROR(IF(CF23=0,'Cap Table'!CC$62*(1-CE23),MIN('Cap Table'!CC$62*(1-CE23),CF23/'Cap Table'!CC$61)),0))</f>
        <v>0</v>
      </c>
      <c r="CL23" s="170">
        <f t="shared" ca="1" si="82"/>
        <v>0</v>
      </c>
      <c r="CM23" s="170">
        <v>0</v>
      </c>
      <c r="CN23" s="146">
        <f t="shared" ca="1" si="29"/>
        <v>0</v>
      </c>
      <c r="CO23" s="146">
        <f t="shared" si="29"/>
        <v>0</v>
      </c>
      <c r="CP23" s="146">
        <f t="shared" ca="1" si="66"/>
        <v>0</v>
      </c>
      <c r="CQ23" s="147">
        <f t="shared" ca="1" si="30"/>
        <v>0</v>
      </c>
      <c r="CR23" s="146">
        <f ca="1">CP23*'Cap Table'!CC$62</f>
        <v>0</v>
      </c>
      <c r="CS23" s="173">
        <f ca="1">IFERROR(IF(OR(CB23='Cap Table'!$B$40,CB23='Cap Table'!$B$41,CB23='Cap Table'!$B$42),IF(SUM(CD23,BI23,AN23,S23)&lt;SUM(CC23,BH23,AM23,R23),FV(MAX(CG23,BL23,AQ23,V23)/1,DATEDIF(CA23,'Cap Table'!$CC$60,"y"),0,-MAX(CC23,BH23,AM23,R23))/(MAX(CF23,BK23,AP23,U23)/'Cap Table'!$CC$61),CP23),CP23),0)</f>
        <v>0</v>
      </c>
      <c r="CT23" s="147">
        <f t="shared" ca="1" si="31"/>
        <v>0</v>
      </c>
      <c r="CV23" s="168">
        <f t="shared" ca="1" si="67"/>
        <v>45308</v>
      </c>
      <c r="CW23" s="168" t="str">
        <f t="shared" si="68"/>
        <v>Equity</v>
      </c>
      <c r="CX23" s="169">
        <v>0</v>
      </c>
      <c r="CY23" s="169">
        <f>IF('Cap Table'!CX$79&lt;&gt;"na",IF(CB23='Cap Table'!$B$40,CC23-CD23,0),0)</f>
        <v>0</v>
      </c>
      <c r="CZ23" s="171">
        <f t="shared" si="32"/>
        <v>0</v>
      </c>
      <c r="DA23" s="169">
        <f t="shared" si="33"/>
        <v>0</v>
      </c>
      <c r="DB23" s="172">
        <f t="shared" si="34"/>
        <v>0</v>
      </c>
      <c r="DC23" s="170">
        <f ca="1">FV(DB23/1,DATEDIF(CV23,'Cap Table'!CX$60,"y"),0,-CY23)</f>
        <v>0</v>
      </c>
      <c r="DD23" s="170">
        <f ca="1">IF('Cap Table'!CX$80="no",IFERROR(DC23/(1-CZ23),0),IFERROR(DC23/(1-(MAX(CZ23,('Cap Table'!CX$62-DA23/'Cap Table'!CX$61)/'Cap Table'!CX$62))),0))</f>
        <v>0</v>
      </c>
      <c r="DE23" s="146">
        <f t="shared" ca="1" si="35"/>
        <v>0</v>
      </c>
      <c r="DF23" s="149">
        <f ca="1">IF(AND('Cap Table'!CX$62=0,DC23&gt;0),DA23/'Cap Table'!CX$61,IFERROR(IF(DA23=0,'Cap Table'!CX$62*(1-CZ23),MIN('Cap Table'!CX$62*(1-CZ23),DA23/'Cap Table'!CX$61)),0))</f>
        <v>0</v>
      </c>
      <c r="DG23" s="170">
        <f t="shared" ca="1" si="83"/>
        <v>0</v>
      </c>
      <c r="DH23" s="170">
        <v>0</v>
      </c>
      <c r="DI23" s="146">
        <f t="shared" ca="1" si="36"/>
        <v>0</v>
      </c>
      <c r="DJ23" s="146">
        <f t="shared" si="36"/>
        <v>0</v>
      </c>
      <c r="DK23" s="146">
        <f t="shared" ca="1" si="69"/>
        <v>0</v>
      </c>
      <c r="DL23" s="147">
        <f t="shared" ca="1" si="37"/>
        <v>0</v>
      </c>
      <c r="DM23" s="146">
        <f ca="1">DK23*'Cap Table'!CX$62</f>
        <v>0</v>
      </c>
      <c r="DN23" s="173">
        <f ca="1">IFERROR(IF(OR(CW23='Cap Table'!$B$40,CW23='Cap Table'!$B$41,CW23='Cap Table'!$B$42),IF(SUM(CY23,CD23,BI23,AN23,S23,)&lt;SUM(CX23,CC23,BH23,AM23,R23),FV(MAX(DB23,CG23,BL23,AQ23,V23)/1,DATEDIF(CV23,'Cap Table'!$CX$60,"y"),0,-MAX(CX23,CC23,BH23,AM23,R23))/(MAX(DA23,CF23,BK23,AP23,U23,)/'Cap Table'!$CX$61),DK23),DK23),0)</f>
        <v>0</v>
      </c>
      <c r="DO23" s="147">
        <f t="shared" ca="1" si="38"/>
        <v>0</v>
      </c>
      <c r="DQ23" s="168">
        <f t="shared" ca="1" si="70"/>
        <v>45674</v>
      </c>
      <c r="DR23" s="168" t="str">
        <f t="shared" si="71"/>
        <v>Equity</v>
      </c>
      <c r="DS23" s="169">
        <v>0</v>
      </c>
      <c r="DT23" s="169">
        <f>IF('Cap Table'!DS$79&lt;&gt;"na",IF(CW23='Cap Table'!$B$40,CX23-CY23,0),0)</f>
        <v>0</v>
      </c>
      <c r="DU23" s="171">
        <f t="shared" si="86"/>
        <v>0</v>
      </c>
      <c r="DV23" s="169">
        <f t="shared" si="87"/>
        <v>0</v>
      </c>
      <c r="DW23" s="172">
        <f t="shared" si="88"/>
        <v>0</v>
      </c>
      <c r="DX23" s="170">
        <f ca="1">FV(DW23/1,DATEDIF(DQ23,'Cap Table'!DS$60,"y"),0,-DT23)</f>
        <v>0</v>
      </c>
      <c r="DY23" s="170">
        <f ca="1">IF('Cap Table'!DS$80="no",IFERROR(DX23/(1-DU23),0),IFERROR(DX23/(1-(MAX(DU23,('Cap Table'!DS$62-DV23/'Cap Table'!DS$61)/'Cap Table'!DS$62))),0))</f>
        <v>0</v>
      </c>
      <c r="DZ23" s="146">
        <f t="shared" ca="1" si="42"/>
        <v>0</v>
      </c>
      <c r="EA23" s="149">
        <f ca="1">IF(AND('Cap Table'!DS$62=0,DX23&gt;0),DV23/'Cap Table'!DS$61,IFERROR(IF(DV23=0,'Cap Table'!DS$62*(1-DU23),MIN('Cap Table'!DS$62*(1-DU23),DV23/'Cap Table'!DS$61)),0))</f>
        <v>0</v>
      </c>
      <c r="EB23" s="170">
        <f t="shared" ca="1" si="84"/>
        <v>0</v>
      </c>
      <c r="EC23" s="170">
        <v>0</v>
      </c>
      <c r="ED23" s="146">
        <f t="shared" ca="1" si="72"/>
        <v>0</v>
      </c>
      <c r="EE23" s="146">
        <f t="shared" si="43"/>
        <v>0</v>
      </c>
      <c r="EF23" s="146">
        <f t="shared" ca="1" si="73"/>
        <v>0</v>
      </c>
      <c r="EG23" s="147">
        <f t="shared" ca="1" si="44"/>
        <v>0</v>
      </c>
      <c r="EH23" s="146">
        <f ca="1">EF23*'Cap Table'!DS$62</f>
        <v>0</v>
      </c>
      <c r="EI23" s="173">
        <f ca="1">IFERROR(IF(OR(DR23='Cap Table'!$B$40,DR23='Cap Table'!$B$41,DR23='Cap Table'!$B$42),IF(SUM(DT23,CY23,CD23,BI23,AN23,S23)&lt;SUM(DS23,CX23,CC23,BH23,AM23,R23),FV(MAX(DW23,DB23,CG23,BL23,AQ23,V23)/1,DATEDIF(DQ23,'Cap Table'!DS$60,"y"),0,-MAX(DS23,CX23,CC23,BH23,AM23,R23))/(MAX(DV23,DA23,CF23,BK23,AP23,U23)/'Cap Table'!$DS$61),EF23),EF23),0)</f>
        <v>0</v>
      </c>
      <c r="EJ23" s="147">
        <f t="shared" ca="1" si="45"/>
        <v>0</v>
      </c>
      <c r="EL23" s="146">
        <f t="shared" si="74"/>
        <v>0</v>
      </c>
      <c r="EM23" s="146">
        <f t="shared" si="74"/>
        <v>0</v>
      </c>
      <c r="EN23" s="174" t="s">
        <v>27</v>
      </c>
      <c r="EO23" s="174" t="s">
        <v>27</v>
      </c>
      <c r="EP23" s="174" t="s">
        <v>27</v>
      </c>
      <c r="EQ23" s="146">
        <f t="shared" ca="1" si="75"/>
        <v>0</v>
      </c>
      <c r="ER23" s="146">
        <f t="shared" ca="1" si="75"/>
        <v>0</v>
      </c>
      <c r="ES23" s="146">
        <f t="shared" ca="1" si="75"/>
        <v>0</v>
      </c>
      <c r="ET23" s="149">
        <f t="shared" ca="1" si="89"/>
        <v>0</v>
      </c>
      <c r="EU23" s="146">
        <f t="shared" ca="1" si="76"/>
        <v>0</v>
      </c>
      <c r="EV23" s="146">
        <f t="shared" si="76"/>
        <v>0</v>
      </c>
      <c r="EW23" s="146">
        <f t="shared" ca="1" si="77"/>
        <v>0</v>
      </c>
      <c r="EX23" s="146">
        <f t="shared" si="77"/>
        <v>0</v>
      </c>
      <c r="EY23" s="146">
        <f t="shared" ca="1" si="77"/>
        <v>0</v>
      </c>
      <c r="EZ23" s="147">
        <f t="shared" ca="1" si="46"/>
        <v>0</v>
      </c>
      <c r="FA23" s="146">
        <f t="shared" ca="1" si="78"/>
        <v>0</v>
      </c>
      <c r="FB23" s="146">
        <f t="shared" ca="1" si="78"/>
        <v>0</v>
      </c>
      <c r="FC23" s="147">
        <f t="shared" ca="1" si="47"/>
        <v>0</v>
      </c>
      <c r="FE23" s="149" t="str">
        <f t="shared" si="0"/>
        <v>Common</v>
      </c>
      <c r="FF23" s="146">
        <f t="shared" ca="1" si="48"/>
        <v>0</v>
      </c>
      <c r="FG23" s="146">
        <f t="shared" ca="1" si="49"/>
        <v>0</v>
      </c>
      <c r="FH23" s="146">
        <f t="shared" ca="1" si="50"/>
        <v>0</v>
      </c>
      <c r="FJ23" s="146" t="str">
        <f t="shared" si="51"/>
        <v>Common</v>
      </c>
      <c r="FK23" s="174" t="str">
        <f t="shared" ca="1" si="52"/>
        <v>na</v>
      </c>
      <c r="FL23" s="174" t="str">
        <f t="shared" ca="1" si="52"/>
        <v>na</v>
      </c>
      <c r="FM23" s="174" t="str">
        <f t="shared" ca="1" si="53"/>
        <v>na</v>
      </c>
    </row>
    <row r="24" spans="2:169">
      <c r="B24" s="145" t="s">
        <v>27</v>
      </c>
      <c r="D24" s="167" t="s">
        <v>27</v>
      </c>
      <c r="E24" s="167" t="str">
        <f t="shared" si="54"/>
        <v>Common</v>
      </c>
      <c r="G24" s="168">
        <f t="shared" ca="1" si="1"/>
        <v>43482</v>
      </c>
      <c r="H24" s="289" t="str">
        <f t="shared" si="2"/>
        <v>Equity</v>
      </c>
      <c r="I24" s="169">
        <v>0</v>
      </c>
      <c r="J24" s="170">
        <v>0</v>
      </c>
      <c r="K24" s="170">
        <f t="shared" si="55"/>
        <v>0</v>
      </c>
      <c r="L24" s="147">
        <f t="shared" si="3"/>
        <v>0</v>
      </c>
      <c r="M24" s="170">
        <f t="shared" si="56"/>
        <v>0</v>
      </c>
      <c r="N24" s="147">
        <f t="shared" si="4"/>
        <v>0</v>
      </c>
      <c r="O24" s="147"/>
      <c r="P24" s="168">
        <f t="shared" ca="1" si="85"/>
        <v>43847</v>
      </c>
      <c r="Q24" s="289" t="str">
        <f t="shared" si="5"/>
        <v>Equity</v>
      </c>
      <c r="R24" s="169">
        <v>0</v>
      </c>
      <c r="S24" s="169">
        <v>0</v>
      </c>
      <c r="T24" s="171">
        <v>0</v>
      </c>
      <c r="U24" s="145">
        <v>0</v>
      </c>
      <c r="V24" s="172">
        <v>0</v>
      </c>
      <c r="W24" s="170">
        <f ca="1">FV(V24/1,DATEDIF(P24,'Cap Table'!R$60,"y"),0,-S24)</f>
        <v>0</v>
      </c>
      <c r="X24" s="170">
        <f t="shared" ca="1" si="6"/>
        <v>0</v>
      </c>
      <c r="Y24" s="146">
        <f t="shared" ca="1" si="7"/>
        <v>0</v>
      </c>
      <c r="Z24" s="149">
        <f ca="1">IF(AND('Cap Table'!R$62=0,W24&gt;0),U24/'Cap Table'!R$61,IFERROR(IF(U24=0,'Cap Table'!R$62*(1-T24),MIN('Cap Table'!R$62*(1-T24),U24/'Cap Table'!R$61)),0))</f>
        <v>0</v>
      </c>
      <c r="AA24" s="170">
        <f t="shared" ca="1" si="79"/>
        <v>0</v>
      </c>
      <c r="AB24" s="170">
        <v>0</v>
      </c>
      <c r="AC24" s="146">
        <f t="shared" ca="1" si="8"/>
        <v>0</v>
      </c>
      <c r="AD24" s="146">
        <f t="shared" si="8"/>
        <v>0</v>
      </c>
      <c r="AE24" s="146">
        <f t="shared" ca="1" si="57"/>
        <v>0</v>
      </c>
      <c r="AF24" s="147">
        <f t="shared" ca="1" si="9"/>
        <v>0</v>
      </c>
      <c r="AG24" s="146">
        <f ca="1">AE24*'Cap Table'!R$62</f>
        <v>0</v>
      </c>
      <c r="AH24" s="146">
        <f ca="1">IFERROR(IF(OR(Q24='Cap Table'!$B$40,Q24='Cap Table'!$B$41,Q24='Cap Table'!$B$42),IF(SUM(S24)&lt;SUM(R24),(FV(V24/1,DATEDIF(P24,'Cap Table'!R$60,"y"),0,-R24))/(U24/'Cap Table'!$R$61),AE24),AE24),0)</f>
        <v>0</v>
      </c>
      <c r="AI24" s="147">
        <f t="shared" ca="1" si="10"/>
        <v>0</v>
      </c>
      <c r="AK24" s="168">
        <f t="shared" ca="1" si="58"/>
        <v>44213</v>
      </c>
      <c r="AL24" s="168" t="str">
        <f t="shared" si="59"/>
        <v>Equity</v>
      </c>
      <c r="AM24" s="169">
        <v>0</v>
      </c>
      <c r="AN24" s="169">
        <f>IF('Cap Table'!AM$79&lt;&gt;"na",IF(Q24='Cap Table'!$B$40,R24-S24,0),0)</f>
        <v>0</v>
      </c>
      <c r="AO24" s="171">
        <f t="shared" si="11"/>
        <v>0</v>
      </c>
      <c r="AP24" s="169">
        <f t="shared" si="12"/>
        <v>0</v>
      </c>
      <c r="AQ24" s="172">
        <f t="shared" si="13"/>
        <v>0</v>
      </c>
      <c r="AR24" s="170">
        <f ca="1">FV(AQ24/1,DATEDIF(AK24,'Cap Table'!AM$60,"y"),0,-AN24)</f>
        <v>0</v>
      </c>
      <c r="AS24" s="170">
        <f ca="1">IF('Cap Table'!AM$80="no",IFERROR(AR24/(1-AO24),0),IFERROR(AR24/(1-(MAX(AO24,('Cap Table'!AM$62-AP24/'Cap Table'!AM$61)/'Cap Table'!AM$62))),0))</f>
        <v>0</v>
      </c>
      <c r="AT24" s="146">
        <f t="shared" ca="1" si="14"/>
        <v>0</v>
      </c>
      <c r="AU24" s="149">
        <f ca="1">IF(AND('Cap Table'!AM$62=0,AR24&gt;0),AP24/'Cap Table'!AM$61,IFERROR(IF(AP24=0,'Cap Table'!AM$62*(1-AO24),MIN('Cap Table'!AM$62*(1-AO24),AP24/'Cap Table'!AM$61)),0))</f>
        <v>0</v>
      </c>
      <c r="AV24" s="170">
        <f t="shared" ca="1" si="80"/>
        <v>0</v>
      </c>
      <c r="AW24" s="170">
        <v>0</v>
      </c>
      <c r="AX24" s="146">
        <f t="shared" ca="1" si="15"/>
        <v>0</v>
      </c>
      <c r="AY24" s="146">
        <f t="shared" si="15"/>
        <v>0</v>
      </c>
      <c r="AZ24" s="146">
        <f t="shared" ca="1" si="60"/>
        <v>0</v>
      </c>
      <c r="BA24" s="147">
        <f t="shared" ca="1" si="16"/>
        <v>0</v>
      </c>
      <c r="BB24" s="146">
        <f ca="1">AZ24*'Cap Table'!AM$62</f>
        <v>0</v>
      </c>
      <c r="BC24" s="173">
        <f ca="1">IFERROR(IF(OR(AL24='Cap Table'!$B$40,AL24='Cap Table'!$B$41,AL24='Cap Table'!$B$42),IF(SUM(AN24,S24)&lt;SUM(AM24,R24),FV(MAX(AQ24,V24)/1,DATEDIF(AK24,'Cap Table'!$AM$60,"y"),0,-MAX(AM24,R24))/(MAX(AP24,U24)/'Cap Table'!$AM$61),AZ24),AZ24),0)</f>
        <v>0</v>
      </c>
      <c r="BD24" s="147">
        <f t="shared" ca="1" si="17"/>
        <v>0</v>
      </c>
      <c r="BF24" s="168">
        <f t="shared" ca="1" si="61"/>
        <v>44578</v>
      </c>
      <c r="BG24" s="168" t="str">
        <f t="shared" si="62"/>
        <v>Equity</v>
      </c>
      <c r="BH24" s="169">
        <v>0</v>
      </c>
      <c r="BI24" s="169">
        <f>IF('Cap Table'!BH$79&lt;&gt;"na",IF(AL24='Cap Table'!$B$40,AM24-AN24,0),0)</f>
        <v>0</v>
      </c>
      <c r="BJ24" s="171">
        <f t="shared" si="18"/>
        <v>0</v>
      </c>
      <c r="BK24" s="169">
        <f t="shared" si="19"/>
        <v>0</v>
      </c>
      <c r="BL24" s="172">
        <f t="shared" si="20"/>
        <v>0</v>
      </c>
      <c r="BM24" s="170">
        <f ca="1">FV(BL24/1,DATEDIF(BF24,'Cap Table'!BH$60,"y"),0,-BI24)</f>
        <v>0</v>
      </c>
      <c r="BN24" s="170">
        <f ca="1">IF('Cap Table'!BH$80="no",IFERROR(BM24/(1-BJ24),0),IFERROR(BM24/(1-(MAX(BJ24,('Cap Table'!BH$62-BK24/'Cap Table'!BH$61)/'Cap Table'!BH$62))),0))</f>
        <v>0</v>
      </c>
      <c r="BO24" s="146">
        <f t="shared" ca="1" si="21"/>
        <v>0</v>
      </c>
      <c r="BP24" s="149">
        <f ca="1">IF(AND('Cap Table'!BH$62=0,BM24&gt;0),BK24/'Cap Table'!BH$61,IFERROR(IF(BK24=0,'Cap Table'!BH$62*(1-BJ24),MIN('Cap Table'!BH$62*(1-BJ24),BK24/'Cap Table'!BH$61)),0))</f>
        <v>0</v>
      </c>
      <c r="BQ24" s="170">
        <f t="shared" ca="1" si="81"/>
        <v>0</v>
      </c>
      <c r="BR24" s="170">
        <v>0</v>
      </c>
      <c r="BS24" s="146">
        <f t="shared" ca="1" si="22"/>
        <v>0</v>
      </c>
      <c r="BT24" s="146">
        <f t="shared" si="22"/>
        <v>0</v>
      </c>
      <c r="BU24" s="146">
        <f t="shared" ca="1" si="63"/>
        <v>0</v>
      </c>
      <c r="BV24" s="147">
        <f t="shared" ca="1" si="23"/>
        <v>0</v>
      </c>
      <c r="BW24" s="146">
        <f ca="1">BU24*'Cap Table'!BH$62</f>
        <v>0</v>
      </c>
      <c r="BX24" s="173">
        <f ca="1">IFERROR(IF(OR(BG24='Cap Table'!$B$40,BG24='Cap Table'!$B$41,BG24='Cap Table'!$B$42),IF(SUM(BI24,AN24,S24)&lt;SUM(BH24,AM24,R24),FV(MAX(BL24,AQ24,V24)/1,DATEDIF(BF24,'Cap Table'!$BH$60,"y"),0,-MAX(BH24,AM24,R24))/(MAX(BK24,AP24,U24)/'Cap Table'!$BH$61),BU24),BU24),0)</f>
        <v>0</v>
      </c>
      <c r="BY24" s="147">
        <f t="shared" ca="1" si="24"/>
        <v>0</v>
      </c>
      <c r="CA24" s="168">
        <f t="shared" ca="1" si="64"/>
        <v>44943</v>
      </c>
      <c r="CB24" s="168" t="str">
        <f t="shared" si="65"/>
        <v>Equity</v>
      </c>
      <c r="CC24" s="169">
        <v>0</v>
      </c>
      <c r="CD24" s="169">
        <f>IF('Cap Table'!CC$79&lt;&gt;"na",IF(BG24='Cap Table'!$B$40,BH24-BI24,0),0)</f>
        <v>0</v>
      </c>
      <c r="CE24" s="171">
        <f t="shared" si="25"/>
        <v>0</v>
      </c>
      <c r="CF24" s="169">
        <f t="shared" si="26"/>
        <v>0</v>
      </c>
      <c r="CG24" s="172">
        <f t="shared" si="27"/>
        <v>0</v>
      </c>
      <c r="CH24" s="170">
        <f ca="1">FV(CG24/1,DATEDIF(CA24,'Cap Table'!CC$60,"y"),0,-CD24)</f>
        <v>0</v>
      </c>
      <c r="CI24" s="170">
        <f ca="1">IF('Cap Table'!CC$80="no",IFERROR(CH24/(1-CE24),0),IFERROR(CH24/(1-(MAX(CE24,('Cap Table'!CC$62-CF24/'Cap Table'!CC$61)/'Cap Table'!CC$62))),0))</f>
        <v>0</v>
      </c>
      <c r="CJ24" s="146">
        <f t="shared" ca="1" si="28"/>
        <v>0</v>
      </c>
      <c r="CK24" s="149">
        <f ca="1">IF(AND('Cap Table'!CC$62=0,CH24&gt;0),CF24/'Cap Table'!CC$61,IFERROR(IF(CF24=0,'Cap Table'!CC$62*(1-CE24),MIN('Cap Table'!CC$62*(1-CE24),CF24/'Cap Table'!CC$61)),0))</f>
        <v>0</v>
      </c>
      <c r="CL24" s="170">
        <f t="shared" ca="1" si="82"/>
        <v>0</v>
      </c>
      <c r="CM24" s="170">
        <v>0</v>
      </c>
      <c r="CN24" s="146">
        <f t="shared" ca="1" si="29"/>
        <v>0</v>
      </c>
      <c r="CO24" s="146">
        <f t="shared" si="29"/>
        <v>0</v>
      </c>
      <c r="CP24" s="146">
        <f t="shared" ca="1" si="66"/>
        <v>0</v>
      </c>
      <c r="CQ24" s="147">
        <f t="shared" ca="1" si="30"/>
        <v>0</v>
      </c>
      <c r="CR24" s="146">
        <f ca="1">CP24*'Cap Table'!CC$62</f>
        <v>0</v>
      </c>
      <c r="CS24" s="173">
        <f ca="1">IFERROR(IF(OR(CB24='Cap Table'!$B$40,CB24='Cap Table'!$B$41,CB24='Cap Table'!$B$42),IF(SUM(CD24,BI24,AN24,S24)&lt;SUM(CC24,BH24,AM24,R24),FV(MAX(CG24,BL24,AQ24,V24)/1,DATEDIF(CA24,'Cap Table'!$CC$60,"y"),0,-MAX(CC24,BH24,AM24,R24))/(MAX(CF24,BK24,AP24,U24)/'Cap Table'!$CC$61),CP24),CP24),0)</f>
        <v>0</v>
      </c>
      <c r="CT24" s="147">
        <f t="shared" ca="1" si="31"/>
        <v>0</v>
      </c>
      <c r="CV24" s="168">
        <f t="shared" ca="1" si="67"/>
        <v>45308</v>
      </c>
      <c r="CW24" s="168" t="str">
        <f t="shared" si="68"/>
        <v>Equity</v>
      </c>
      <c r="CX24" s="169">
        <v>0</v>
      </c>
      <c r="CY24" s="169">
        <f>IF('Cap Table'!CX$79&lt;&gt;"na",IF(CB24='Cap Table'!$B$40,CC24-CD24,0),0)</f>
        <v>0</v>
      </c>
      <c r="CZ24" s="171">
        <f t="shared" si="32"/>
        <v>0</v>
      </c>
      <c r="DA24" s="169">
        <f t="shared" si="33"/>
        <v>0</v>
      </c>
      <c r="DB24" s="172">
        <f t="shared" si="34"/>
        <v>0</v>
      </c>
      <c r="DC24" s="170">
        <f ca="1">FV(DB24/1,DATEDIF(CV24,'Cap Table'!CX$60,"y"),0,-CY24)</f>
        <v>0</v>
      </c>
      <c r="DD24" s="170">
        <f ca="1">IF('Cap Table'!CX$80="no",IFERROR(DC24/(1-CZ24),0),IFERROR(DC24/(1-(MAX(CZ24,('Cap Table'!CX$62-DA24/'Cap Table'!CX$61)/'Cap Table'!CX$62))),0))</f>
        <v>0</v>
      </c>
      <c r="DE24" s="146">
        <f t="shared" ca="1" si="35"/>
        <v>0</v>
      </c>
      <c r="DF24" s="149">
        <f ca="1">IF(AND('Cap Table'!CX$62=0,DC24&gt;0),DA24/'Cap Table'!CX$61,IFERROR(IF(DA24=0,'Cap Table'!CX$62*(1-CZ24),MIN('Cap Table'!CX$62*(1-CZ24),DA24/'Cap Table'!CX$61)),0))</f>
        <v>0</v>
      </c>
      <c r="DG24" s="170">
        <f t="shared" ca="1" si="83"/>
        <v>0</v>
      </c>
      <c r="DH24" s="170">
        <v>0</v>
      </c>
      <c r="DI24" s="146">
        <f t="shared" ca="1" si="36"/>
        <v>0</v>
      </c>
      <c r="DJ24" s="146">
        <f t="shared" si="36"/>
        <v>0</v>
      </c>
      <c r="DK24" s="146">
        <f t="shared" ca="1" si="69"/>
        <v>0</v>
      </c>
      <c r="DL24" s="147">
        <f t="shared" ca="1" si="37"/>
        <v>0</v>
      </c>
      <c r="DM24" s="146">
        <f ca="1">DK24*'Cap Table'!CX$62</f>
        <v>0</v>
      </c>
      <c r="DN24" s="173">
        <f ca="1">IFERROR(IF(OR(CW24='Cap Table'!$B$40,CW24='Cap Table'!$B$41,CW24='Cap Table'!$B$42),IF(SUM(CY24,CD24,BI24,AN24,S24,)&lt;SUM(CX24,CC24,BH24,AM24,R24),FV(MAX(DB24,CG24,BL24,AQ24,V24)/1,DATEDIF(CV24,'Cap Table'!$CX$60,"y"),0,-MAX(CX24,CC24,BH24,AM24,R24))/(MAX(DA24,CF24,BK24,AP24,U24,)/'Cap Table'!$CX$61),DK24),DK24),0)</f>
        <v>0</v>
      </c>
      <c r="DO24" s="147">
        <f t="shared" ca="1" si="38"/>
        <v>0</v>
      </c>
      <c r="DQ24" s="168">
        <f t="shared" ca="1" si="70"/>
        <v>45674</v>
      </c>
      <c r="DR24" s="168" t="str">
        <f t="shared" si="71"/>
        <v>Equity</v>
      </c>
      <c r="DS24" s="169">
        <v>0</v>
      </c>
      <c r="DT24" s="169">
        <f>IF('Cap Table'!DS$79&lt;&gt;"na",IF(CW24='Cap Table'!$B$40,CX24-CY24,0),0)</f>
        <v>0</v>
      </c>
      <c r="DU24" s="171">
        <f t="shared" si="86"/>
        <v>0</v>
      </c>
      <c r="DV24" s="169">
        <f t="shared" si="87"/>
        <v>0</v>
      </c>
      <c r="DW24" s="172">
        <f t="shared" si="88"/>
        <v>0</v>
      </c>
      <c r="DX24" s="170">
        <f ca="1">FV(DW24/1,DATEDIF(DQ24,'Cap Table'!DS$60,"y"),0,-DT24)</f>
        <v>0</v>
      </c>
      <c r="DY24" s="170">
        <f ca="1">IF('Cap Table'!DS$80="no",IFERROR(DX24/(1-DU24),0),IFERROR(DX24/(1-(MAX(DU24,('Cap Table'!DS$62-DV24/'Cap Table'!DS$61)/'Cap Table'!DS$62))),0))</f>
        <v>0</v>
      </c>
      <c r="DZ24" s="146">
        <f t="shared" ca="1" si="42"/>
        <v>0</v>
      </c>
      <c r="EA24" s="149">
        <f ca="1">IF(AND('Cap Table'!DS$62=0,DX24&gt;0),DV24/'Cap Table'!DS$61,IFERROR(IF(DV24=0,'Cap Table'!DS$62*(1-DU24),MIN('Cap Table'!DS$62*(1-DU24),DV24/'Cap Table'!DS$61)),0))</f>
        <v>0</v>
      </c>
      <c r="EB24" s="170">
        <f t="shared" ca="1" si="84"/>
        <v>0</v>
      </c>
      <c r="EC24" s="170">
        <v>0</v>
      </c>
      <c r="ED24" s="146">
        <f t="shared" ca="1" si="72"/>
        <v>0</v>
      </c>
      <c r="EE24" s="146">
        <f t="shared" si="43"/>
        <v>0</v>
      </c>
      <c r="EF24" s="146">
        <f t="shared" ca="1" si="73"/>
        <v>0</v>
      </c>
      <c r="EG24" s="147">
        <f t="shared" ca="1" si="44"/>
        <v>0</v>
      </c>
      <c r="EH24" s="146">
        <f ca="1">EF24*'Cap Table'!DS$62</f>
        <v>0</v>
      </c>
      <c r="EI24" s="173">
        <f ca="1">IFERROR(IF(OR(DR24='Cap Table'!$B$40,DR24='Cap Table'!$B$41,DR24='Cap Table'!$B$42),IF(SUM(DT24,CY24,CD24,BI24,AN24,S24)&lt;SUM(DS24,CX24,CC24,BH24,AM24,R24),FV(MAX(DW24,DB24,CG24,BL24,AQ24,V24)/1,DATEDIF(DQ24,'Cap Table'!DS$60,"y"),0,-MAX(DS24,CX24,CC24,BH24,AM24,R24))/(MAX(DV24,DA24,CF24,BK24,AP24,U24)/'Cap Table'!$DS$61),EF24),EF24),0)</f>
        <v>0</v>
      </c>
      <c r="EJ24" s="147">
        <f t="shared" ca="1" si="45"/>
        <v>0</v>
      </c>
      <c r="EL24" s="146">
        <f t="shared" si="74"/>
        <v>0</v>
      </c>
      <c r="EM24" s="146">
        <f t="shared" si="74"/>
        <v>0</v>
      </c>
      <c r="EN24" s="174" t="s">
        <v>27</v>
      </c>
      <c r="EO24" s="174" t="s">
        <v>27</v>
      </c>
      <c r="EP24" s="174" t="s">
        <v>27</v>
      </c>
      <c r="EQ24" s="146">
        <f t="shared" ca="1" si="75"/>
        <v>0</v>
      </c>
      <c r="ER24" s="146">
        <f t="shared" ca="1" si="75"/>
        <v>0</v>
      </c>
      <c r="ES24" s="146">
        <f t="shared" ca="1" si="75"/>
        <v>0</v>
      </c>
      <c r="ET24" s="149">
        <f t="shared" ca="1" si="89"/>
        <v>0</v>
      </c>
      <c r="EU24" s="146">
        <f t="shared" ca="1" si="76"/>
        <v>0</v>
      </c>
      <c r="EV24" s="146">
        <f t="shared" si="76"/>
        <v>0</v>
      </c>
      <c r="EW24" s="146">
        <f t="shared" ca="1" si="77"/>
        <v>0</v>
      </c>
      <c r="EX24" s="146">
        <f t="shared" si="77"/>
        <v>0</v>
      </c>
      <c r="EY24" s="146">
        <f t="shared" ca="1" si="77"/>
        <v>0</v>
      </c>
      <c r="EZ24" s="147">
        <f t="shared" ca="1" si="46"/>
        <v>0</v>
      </c>
      <c r="FA24" s="146">
        <f t="shared" ca="1" si="78"/>
        <v>0</v>
      </c>
      <c r="FB24" s="146">
        <f t="shared" ca="1" si="78"/>
        <v>0</v>
      </c>
      <c r="FC24" s="147">
        <f t="shared" ca="1" si="47"/>
        <v>0</v>
      </c>
      <c r="FE24" s="149" t="str">
        <f t="shared" si="0"/>
        <v>Common</v>
      </c>
      <c r="FF24" s="146">
        <f t="shared" ca="1" si="48"/>
        <v>0</v>
      </c>
      <c r="FG24" s="146">
        <f t="shared" ca="1" si="49"/>
        <v>0</v>
      </c>
      <c r="FH24" s="146">
        <f t="shared" ca="1" si="50"/>
        <v>0</v>
      </c>
      <c r="FJ24" s="146" t="str">
        <f t="shared" si="51"/>
        <v>Common</v>
      </c>
      <c r="FK24" s="174" t="str">
        <f t="shared" ca="1" si="52"/>
        <v>na</v>
      </c>
      <c r="FL24" s="174" t="str">
        <f t="shared" ca="1" si="52"/>
        <v>na</v>
      </c>
      <c r="FM24" s="174" t="str">
        <f t="shared" ca="1" si="53"/>
        <v>na</v>
      </c>
    </row>
    <row r="25" spans="2:169">
      <c r="B25" s="145" t="s">
        <v>27</v>
      </c>
      <c r="D25" s="167" t="s">
        <v>27</v>
      </c>
      <c r="E25" s="167" t="str">
        <f t="shared" si="54"/>
        <v>Common</v>
      </c>
      <c r="G25" s="168">
        <f t="shared" ca="1" si="1"/>
        <v>43482</v>
      </c>
      <c r="H25" s="289" t="str">
        <f t="shared" si="2"/>
        <v>Equity</v>
      </c>
      <c r="I25" s="169">
        <v>0</v>
      </c>
      <c r="J25" s="170">
        <v>0</v>
      </c>
      <c r="K25" s="170">
        <f t="shared" si="55"/>
        <v>0</v>
      </c>
      <c r="L25" s="147">
        <f t="shared" si="3"/>
        <v>0</v>
      </c>
      <c r="M25" s="170">
        <f t="shared" si="56"/>
        <v>0</v>
      </c>
      <c r="N25" s="147">
        <f t="shared" si="4"/>
        <v>0</v>
      </c>
      <c r="O25" s="147"/>
      <c r="P25" s="168">
        <f t="shared" ca="1" si="85"/>
        <v>43847</v>
      </c>
      <c r="Q25" s="289" t="str">
        <f t="shared" si="5"/>
        <v>Equity</v>
      </c>
      <c r="R25" s="169">
        <v>0</v>
      </c>
      <c r="S25" s="169">
        <v>0</v>
      </c>
      <c r="T25" s="171">
        <v>0</v>
      </c>
      <c r="U25" s="145">
        <v>0</v>
      </c>
      <c r="V25" s="172">
        <v>0</v>
      </c>
      <c r="W25" s="170">
        <f ca="1">FV(V25/1,DATEDIF(P25,'Cap Table'!R$60,"y"),0,-S25)</f>
        <v>0</v>
      </c>
      <c r="X25" s="170">
        <f t="shared" ca="1" si="6"/>
        <v>0</v>
      </c>
      <c r="Y25" s="146">
        <f t="shared" ca="1" si="7"/>
        <v>0</v>
      </c>
      <c r="Z25" s="149">
        <f ca="1">IF(AND('Cap Table'!R$62=0,W25&gt;0),U25/'Cap Table'!R$61,IFERROR(IF(U25=0,'Cap Table'!R$62*(1-T25),MIN('Cap Table'!R$62*(1-T25),U25/'Cap Table'!R$61)),0))</f>
        <v>0</v>
      </c>
      <c r="AA25" s="170">
        <f t="shared" ca="1" si="79"/>
        <v>0</v>
      </c>
      <c r="AB25" s="170">
        <v>0</v>
      </c>
      <c r="AC25" s="146">
        <f t="shared" ca="1" si="8"/>
        <v>0</v>
      </c>
      <c r="AD25" s="146">
        <f t="shared" si="8"/>
        <v>0</v>
      </c>
      <c r="AE25" s="146">
        <f t="shared" ca="1" si="57"/>
        <v>0</v>
      </c>
      <c r="AF25" s="147">
        <f t="shared" ca="1" si="9"/>
        <v>0</v>
      </c>
      <c r="AG25" s="146">
        <f ca="1">AE25*'Cap Table'!R$62</f>
        <v>0</v>
      </c>
      <c r="AH25" s="146">
        <f ca="1">IFERROR(IF(OR(Q25='Cap Table'!$B$40,Q25='Cap Table'!$B$41,Q25='Cap Table'!$B$42),IF(SUM(S25)&lt;SUM(R25),(FV(V25/1,DATEDIF(P25,'Cap Table'!R$60,"y"),0,-R25))/(U25/'Cap Table'!$R$61),AE25),AE25),0)</f>
        <v>0</v>
      </c>
      <c r="AI25" s="147">
        <f t="shared" ca="1" si="10"/>
        <v>0</v>
      </c>
      <c r="AK25" s="168">
        <f t="shared" ca="1" si="58"/>
        <v>44213</v>
      </c>
      <c r="AL25" s="168" t="str">
        <f t="shared" si="59"/>
        <v>Equity</v>
      </c>
      <c r="AM25" s="169">
        <v>0</v>
      </c>
      <c r="AN25" s="169">
        <f>IF('Cap Table'!AM$79&lt;&gt;"na",IF(Q25='Cap Table'!$B$40,R25-S25,0),0)</f>
        <v>0</v>
      </c>
      <c r="AO25" s="171">
        <f t="shared" si="11"/>
        <v>0</v>
      </c>
      <c r="AP25" s="169">
        <f t="shared" si="12"/>
        <v>0</v>
      </c>
      <c r="AQ25" s="172">
        <f t="shared" si="13"/>
        <v>0</v>
      </c>
      <c r="AR25" s="170">
        <f ca="1">FV(AQ25/1,DATEDIF(AK25,'Cap Table'!AM$60,"y"),0,-AN25)</f>
        <v>0</v>
      </c>
      <c r="AS25" s="170">
        <f ca="1">IF('Cap Table'!AM$80="no",IFERROR(AR25/(1-AO25),0),IFERROR(AR25/(1-(MAX(AO25,('Cap Table'!AM$62-AP25/'Cap Table'!AM$61)/'Cap Table'!AM$62))),0))</f>
        <v>0</v>
      </c>
      <c r="AT25" s="146">
        <f t="shared" ca="1" si="14"/>
        <v>0</v>
      </c>
      <c r="AU25" s="149">
        <f ca="1">IF(AND('Cap Table'!AM$62=0,AR25&gt;0),AP25/'Cap Table'!AM$61,IFERROR(IF(AP25=0,'Cap Table'!AM$62*(1-AO25),MIN('Cap Table'!AM$62*(1-AO25),AP25/'Cap Table'!AM$61)),0))</f>
        <v>0</v>
      </c>
      <c r="AV25" s="170">
        <f t="shared" ca="1" si="80"/>
        <v>0</v>
      </c>
      <c r="AW25" s="170">
        <v>0</v>
      </c>
      <c r="AX25" s="146">
        <f t="shared" ca="1" si="15"/>
        <v>0</v>
      </c>
      <c r="AY25" s="146">
        <f t="shared" si="15"/>
        <v>0</v>
      </c>
      <c r="AZ25" s="146">
        <f t="shared" ca="1" si="60"/>
        <v>0</v>
      </c>
      <c r="BA25" s="147">
        <f t="shared" ca="1" si="16"/>
        <v>0</v>
      </c>
      <c r="BB25" s="146">
        <f ca="1">AZ25*'Cap Table'!AM$62</f>
        <v>0</v>
      </c>
      <c r="BC25" s="173">
        <f ca="1">IFERROR(IF(OR(AL25='Cap Table'!$B$40,AL25='Cap Table'!$B$41,AL25='Cap Table'!$B$42),IF(SUM(AN25,S25)&lt;SUM(AM25,R25),FV(MAX(AQ25,V25)/1,DATEDIF(AK25,'Cap Table'!$AM$60,"y"),0,-MAX(AM25,R25))/(MAX(AP25,U25)/'Cap Table'!$AM$61),AZ25),AZ25),0)</f>
        <v>0</v>
      </c>
      <c r="BD25" s="147">
        <f t="shared" ca="1" si="17"/>
        <v>0</v>
      </c>
      <c r="BF25" s="168">
        <f t="shared" ca="1" si="61"/>
        <v>44578</v>
      </c>
      <c r="BG25" s="168" t="str">
        <f t="shared" si="62"/>
        <v>Equity</v>
      </c>
      <c r="BH25" s="169">
        <v>0</v>
      </c>
      <c r="BI25" s="169">
        <f>IF('Cap Table'!BH$79&lt;&gt;"na",IF(AL25='Cap Table'!$B$40,AM25-AN25,0),0)</f>
        <v>0</v>
      </c>
      <c r="BJ25" s="171">
        <f t="shared" si="18"/>
        <v>0</v>
      </c>
      <c r="BK25" s="169">
        <f t="shared" si="19"/>
        <v>0</v>
      </c>
      <c r="BL25" s="172">
        <f t="shared" si="20"/>
        <v>0</v>
      </c>
      <c r="BM25" s="170">
        <f ca="1">FV(BL25/1,DATEDIF(BF25,'Cap Table'!BH$60,"y"),0,-BI25)</f>
        <v>0</v>
      </c>
      <c r="BN25" s="170">
        <f ca="1">IF('Cap Table'!BH$80="no",IFERROR(BM25/(1-BJ25),0),IFERROR(BM25/(1-(MAX(BJ25,('Cap Table'!BH$62-BK25/'Cap Table'!BH$61)/'Cap Table'!BH$62))),0))</f>
        <v>0</v>
      </c>
      <c r="BO25" s="146">
        <f t="shared" ca="1" si="21"/>
        <v>0</v>
      </c>
      <c r="BP25" s="149">
        <f ca="1">IF(AND('Cap Table'!BH$62=0,BM25&gt;0),BK25/'Cap Table'!BH$61,IFERROR(IF(BK25=0,'Cap Table'!BH$62*(1-BJ25),MIN('Cap Table'!BH$62*(1-BJ25),BK25/'Cap Table'!BH$61)),0))</f>
        <v>0</v>
      </c>
      <c r="BQ25" s="170">
        <f t="shared" ca="1" si="81"/>
        <v>0</v>
      </c>
      <c r="BR25" s="170">
        <v>0</v>
      </c>
      <c r="BS25" s="146">
        <f t="shared" ca="1" si="22"/>
        <v>0</v>
      </c>
      <c r="BT25" s="146">
        <f t="shared" si="22"/>
        <v>0</v>
      </c>
      <c r="BU25" s="146">
        <f t="shared" ca="1" si="63"/>
        <v>0</v>
      </c>
      <c r="BV25" s="147">
        <f t="shared" ca="1" si="23"/>
        <v>0</v>
      </c>
      <c r="BW25" s="146">
        <f ca="1">BU25*'Cap Table'!BH$62</f>
        <v>0</v>
      </c>
      <c r="BX25" s="173">
        <f ca="1">IFERROR(IF(OR(BG25='Cap Table'!$B$40,BG25='Cap Table'!$B$41,BG25='Cap Table'!$B$42),IF(SUM(BI25,AN25,S25)&lt;SUM(BH25,AM25,R25),FV(MAX(BL25,AQ25,V25)/1,DATEDIF(BF25,'Cap Table'!$BH$60,"y"),0,-MAX(BH25,AM25,R25))/(MAX(BK25,AP25,U25)/'Cap Table'!$BH$61),BU25),BU25),0)</f>
        <v>0</v>
      </c>
      <c r="BY25" s="147">
        <f t="shared" ca="1" si="24"/>
        <v>0</v>
      </c>
      <c r="CA25" s="168">
        <f t="shared" ca="1" si="64"/>
        <v>44943</v>
      </c>
      <c r="CB25" s="168" t="str">
        <f t="shared" si="65"/>
        <v>Equity</v>
      </c>
      <c r="CC25" s="169">
        <v>0</v>
      </c>
      <c r="CD25" s="169">
        <f>IF('Cap Table'!CC$79&lt;&gt;"na",IF(BG25='Cap Table'!$B$40,BH25-BI25,0),0)</f>
        <v>0</v>
      </c>
      <c r="CE25" s="171">
        <f t="shared" si="25"/>
        <v>0</v>
      </c>
      <c r="CF25" s="169">
        <f t="shared" si="26"/>
        <v>0</v>
      </c>
      <c r="CG25" s="172">
        <f t="shared" si="27"/>
        <v>0</v>
      </c>
      <c r="CH25" s="170">
        <f ca="1">FV(CG25/1,DATEDIF(CA25,'Cap Table'!CC$60,"y"),0,-CD25)</f>
        <v>0</v>
      </c>
      <c r="CI25" s="170">
        <f ca="1">IF('Cap Table'!CC$80="no",IFERROR(CH25/(1-CE25),0),IFERROR(CH25/(1-(MAX(CE25,('Cap Table'!CC$62-CF25/'Cap Table'!CC$61)/'Cap Table'!CC$62))),0))</f>
        <v>0</v>
      </c>
      <c r="CJ25" s="146">
        <f t="shared" ca="1" si="28"/>
        <v>0</v>
      </c>
      <c r="CK25" s="149">
        <f ca="1">IF(AND('Cap Table'!CC$62=0,CH25&gt;0),CF25/'Cap Table'!CC$61,IFERROR(IF(CF25=0,'Cap Table'!CC$62*(1-CE25),MIN('Cap Table'!CC$62*(1-CE25),CF25/'Cap Table'!CC$61)),0))</f>
        <v>0</v>
      </c>
      <c r="CL25" s="170">
        <f t="shared" ca="1" si="82"/>
        <v>0</v>
      </c>
      <c r="CM25" s="170">
        <v>0</v>
      </c>
      <c r="CN25" s="146">
        <f t="shared" ca="1" si="29"/>
        <v>0</v>
      </c>
      <c r="CO25" s="146">
        <f t="shared" si="29"/>
        <v>0</v>
      </c>
      <c r="CP25" s="146">
        <f t="shared" ca="1" si="66"/>
        <v>0</v>
      </c>
      <c r="CQ25" s="147">
        <f t="shared" ca="1" si="30"/>
        <v>0</v>
      </c>
      <c r="CR25" s="146">
        <f ca="1">CP25*'Cap Table'!CC$62</f>
        <v>0</v>
      </c>
      <c r="CS25" s="173">
        <f ca="1">IFERROR(IF(OR(CB25='Cap Table'!$B$40,CB25='Cap Table'!$B$41,CB25='Cap Table'!$B$42),IF(SUM(CD25,BI25,AN25,S25)&lt;SUM(CC25,BH25,AM25,R25),FV(MAX(CG25,BL25,AQ25,V25)/1,DATEDIF(CA25,'Cap Table'!$CC$60,"y"),0,-MAX(CC25,BH25,AM25,R25))/(MAX(CF25,BK25,AP25,U25)/'Cap Table'!$CC$61),CP25),CP25),0)</f>
        <v>0</v>
      </c>
      <c r="CT25" s="147">
        <f t="shared" ca="1" si="31"/>
        <v>0</v>
      </c>
      <c r="CV25" s="168">
        <f t="shared" ca="1" si="67"/>
        <v>45308</v>
      </c>
      <c r="CW25" s="168" t="str">
        <f t="shared" si="68"/>
        <v>Equity</v>
      </c>
      <c r="CX25" s="169">
        <v>0</v>
      </c>
      <c r="CY25" s="169">
        <f>IF('Cap Table'!CX$79&lt;&gt;"na",IF(CB25='Cap Table'!$B$40,CC25-CD25,0),0)</f>
        <v>0</v>
      </c>
      <c r="CZ25" s="171">
        <f t="shared" si="32"/>
        <v>0</v>
      </c>
      <c r="DA25" s="169">
        <f t="shared" si="33"/>
        <v>0</v>
      </c>
      <c r="DB25" s="172">
        <f t="shared" si="34"/>
        <v>0</v>
      </c>
      <c r="DC25" s="170">
        <f ca="1">FV(DB25/1,DATEDIF(CV25,'Cap Table'!CX$60,"y"),0,-CY25)</f>
        <v>0</v>
      </c>
      <c r="DD25" s="170">
        <f ca="1">IF('Cap Table'!CX$80="no",IFERROR(DC25/(1-CZ25),0),IFERROR(DC25/(1-(MAX(CZ25,('Cap Table'!CX$62-DA25/'Cap Table'!CX$61)/'Cap Table'!CX$62))),0))</f>
        <v>0</v>
      </c>
      <c r="DE25" s="146">
        <f t="shared" ca="1" si="35"/>
        <v>0</v>
      </c>
      <c r="DF25" s="149">
        <f ca="1">IF(AND('Cap Table'!CX$62=0,DC25&gt;0),DA25/'Cap Table'!CX$61,IFERROR(IF(DA25=0,'Cap Table'!CX$62*(1-CZ25),MIN('Cap Table'!CX$62*(1-CZ25),DA25/'Cap Table'!CX$61)),0))</f>
        <v>0</v>
      </c>
      <c r="DG25" s="170">
        <f t="shared" ca="1" si="83"/>
        <v>0</v>
      </c>
      <c r="DH25" s="170">
        <v>0</v>
      </c>
      <c r="DI25" s="146">
        <f t="shared" ca="1" si="36"/>
        <v>0</v>
      </c>
      <c r="DJ25" s="146">
        <f t="shared" si="36"/>
        <v>0</v>
      </c>
      <c r="DK25" s="146">
        <f t="shared" ca="1" si="69"/>
        <v>0</v>
      </c>
      <c r="DL25" s="147">
        <f t="shared" ca="1" si="37"/>
        <v>0</v>
      </c>
      <c r="DM25" s="146">
        <f ca="1">DK25*'Cap Table'!CX$62</f>
        <v>0</v>
      </c>
      <c r="DN25" s="173">
        <f ca="1">IFERROR(IF(OR(CW25='Cap Table'!$B$40,CW25='Cap Table'!$B$41,CW25='Cap Table'!$B$42),IF(SUM(CY25,CD25,BI25,AN25,S25,)&lt;SUM(CX25,CC25,BH25,AM25,R25),FV(MAX(DB25,CG25,BL25,AQ25,V25)/1,DATEDIF(CV25,'Cap Table'!$CX$60,"y"),0,-MAX(CX25,CC25,BH25,AM25,R25))/(MAX(DA25,CF25,BK25,AP25,U25,)/'Cap Table'!$CX$61),DK25),DK25),0)</f>
        <v>0</v>
      </c>
      <c r="DO25" s="147">
        <f t="shared" ca="1" si="38"/>
        <v>0</v>
      </c>
      <c r="DQ25" s="168">
        <f t="shared" ca="1" si="70"/>
        <v>45674</v>
      </c>
      <c r="DR25" s="168" t="str">
        <f t="shared" si="71"/>
        <v>Equity</v>
      </c>
      <c r="DS25" s="169">
        <v>0</v>
      </c>
      <c r="DT25" s="169">
        <f>IF('Cap Table'!DS$79&lt;&gt;"na",IF(CW25='Cap Table'!$B$40,CX25-CY25,0),0)</f>
        <v>0</v>
      </c>
      <c r="DU25" s="171">
        <f t="shared" si="86"/>
        <v>0</v>
      </c>
      <c r="DV25" s="169">
        <f t="shared" si="87"/>
        <v>0</v>
      </c>
      <c r="DW25" s="172">
        <f t="shared" si="88"/>
        <v>0</v>
      </c>
      <c r="DX25" s="170">
        <f ca="1">FV(DW25/1,DATEDIF(DQ25,'Cap Table'!DS$60,"y"),0,-DT25)</f>
        <v>0</v>
      </c>
      <c r="DY25" s="170">
        <f ca="1">IF('Cap Table'!DS$80="no",IFERROR(DX25/(1-DU25),0),IFERROR(DX25/(1-(MAX(DU25,('Cap Table'!DS$62-DV25/'Cap Table'!DS$61)/'Cap Table'!DS$62))),0))</f>
        <v>0</v>
      </c>
      <c r="DZ25" s="146">
        <f t="shared" ca="1" si="42"/>
        <v>0</v>
      </c>
      <c r="EA25" s="149">
        <f ca="1">IF(AND('Cap Table'!DS$62=0,DX25&gt;0),DV25/'Cap Table'!DS$61,IFERROR(IF(DV25=0,'Cap Table'!DS$62*(1-DU25),MIN('Cap Table'!DS$62*(1-DU25),DV25/'Cap Table'!DS$61)),0))</f>
        <v>0</v>
      </c>
      <c r="EB25" s="170">
        <f t="shared" ca="1" si="84"/>
        <v>0</v>
      </c>
      <c r="EC25" s="170">
        <v>0</v>
      </c>
      <c r="ED25" s="146">
        <f t="shared" ca="1" si="72"/>
        <v>0</v>
      </c>
      <c r="EE25" s="146">
        <f t="shared" si="43"/>
        <v>0</v>
      </c>
      <c r="EF25" s="146">
        <f t="shared" ca="1" si="73"/>
        <v>0</v>
      </c>
      <c r="EG25" s="147">
        <f t="shared" ca="1" si="44"/>
        <v>0</v>
      </c>
      <c r="EH25" s="146">
        <f ca="1">EF25*'Cap Table'!DS$62</f>
        <v>0</v>
      </c>
      <c r="EI25" s="173">
        <f ca="1">IFERROR(IF(OR(DR25='Cap Table'!$B$40,DR25='Cap Table'!$B$41,DR25='Cap Table'!$B$42),IF(SUM(DT25,CY25,CD25,BI25,AN25,S25)&lt;SUM(DS25,CX25,CC25,BH25,AM25,R25),FV(MAX(DW25,DB25,CG25,BL25,AQ25,V25)/1,DATEDIF(DQ25,'Cap Table'!DS$60,"y"),0,-MAX(DS25,CX25,CC25,BH25,AM25,R25))/(MAX(DV25,DA25,CF25,BK25,AP25,U25)/'Cap Table'!$DS$61),EF25),EF25),0)</f>
        <v>0</v>
      </c>
      <c r="EJ25" s="147">
        <f t="shared" ca="1" si="45"/>
        <v>0</v>
      </c>
      <c r="EL25" s="146">
        <f t="shared" si="74"/>
        <v>0</v>
      </c>
      <c r="EM25" s="146">
        <f t="shared" si="74"/>
        <v>0</v>
      </c>
      <c r="EN25" s="174" t="s">
        <v>27</v>
      </c>
      <c r="EO25" s="174" t="s">
        <v>27</v>
      </c>
      <c r="EP25" s="174" t="s">
        <v>27</v>
      </c>
      <c r="EQ25" s="146">
        <f t="shared" ca="1" si="75"/>
        <v>0</v>
      </c>
      <c r="ER25" s="146">
        <f t="shared" ca="1" si="75"/>
        <v>0</v>
      </c>
      <c r="ES25" s="146">
        <f t="shared" ca="1" si="75"/>
        <v>0</v>
      </c>
      <c r="ET25" s="149">
        <f t="shared" ca="1" si="89"/>
        <v>0</v>
      </c>
      <c r="EU25" s="146">
        <f t="shared" ca="1" si="76"/>
        <v>0</v>
      </c>
      <c r="EV25" s="146">
        <f t="shared" si="76"/>
        <v>0</v>
      </c>
      <c r="EW25" s="146">
        <f t="shared" ca="1" si="77"/>
        <v>0</v>
      </c>
      <c r="EX25" s="146">
        <f t="shared" si="77"/>
        <v>0</v>
      </c>
      <c r="EY25" s="146">
        <f t="shared" ca="1" si="77"/>
        <v>0</v>
      </c>
      <c r="EZ25" s="147">
        <f t="shared" ca="1" si="46"/>
        <v>0</v>
      </c>
      <c r="FA25" s="146">
        <f t="shared" ca="1" si="78"/>
        <v>0</v>
      </c>
      <c r="FB25" s="146">
        <f t="shared" ca="1" si="78"/>
        <v>0</v>
      </c>
      <c r="FC25" s="147">
        <f t="shared" ca="1" si="47"/>
        <v>0</v>
      </c>
      <c r="FE25" s="149" t="str">
        <f t="shared" si="0"/>
        <v>Common</v>
      </c>
      <c r="FF25" s="146">
        <f t="shared" ca="1" si="48"/>
        <v>0</v>
      </c>
      <c r="FG25" s="146">
        <f t="shared" ca="1" si="49"/>
        <v>0</v>
      </c>
      <c r="FH25" s="146">
        <f t="shared" ca="1" si="50"/>
        <v>0</v>
      </c>
      <c r="FJ25" s="146" t="str">
        <f t="shared" si="51"/>
        <v>Common</v>
      </c>
      <c r="FK25" s="174" t="str">
        <f t="shared" ca="1" si="52"/>
        <v>na</v>
      </c>
      <c r="FL25" s="174" t="str">
        <f t="shared" ca="1" si="52"/>
        <v>na</v>
      </c>
      <c r="FM25" s="174" t="str">
        <f t="shared" ca="1" si="53"/>
        <v>na</v>
      </c>
    </row>
    <row r="26" spans="2:169">
      <c r="B26" s="145" t="s">
        <v>27</v>
      </c>
      <c r="D26" s="167" t="s">
        <v>27</v>
      </c>
      <c r="E26" s="167" t="str">
        <f t="shared" si="54"/>
        <v>Common</v>
      </c>
      <c r="G26" s="168">
        <f t="shared" ca="1" si="1"/>
        <v>43482</v>
      </c>
      <c r="H26" s="289" t="str">
        <f t="shared" si="2"/>
        <v>Equity</v>
      </c>
      <c r="I26" s="169">
        <v>0</v>
      </c>
      <c r="J26" s="170">
        <v>0</v>
      </c>
      <c r="K26" s="170">
        <f t="shared" si="55"/>
        <v>0</v>
      </c>
      <c r="L26" s="147">
        <f t="shared" si="3"/>
        <v>0</v>
      </c>
      <c r="M26" s="170">
        <f t="shared" si="56"/>
        <v>0</v>
      </c>
      <c r="N26" s="147">
        <f t="shared" si="4"/>
        <v>0</v>
      </c>
      <c r="O26" s="147"/>
      <c r="P26" s="168">
        <f t="shared" ca="1" si="85"/>
        <v>43847</v>
      </c>
      <c r="Q26" s="289" t="str">
        <f t="shared" si="5"/>
        <v>Equity</v>
      </c>
      <c r="R26" s="169">
        <v>0</v>
      </c>
      <c r="S26" s="169">
        <v>0</v>
      </c>
      <c r="T26" s="171">
        <v>0</v>
      </c>
      <c r="U26" s="145">
        <v>0</v>
      </c>
      <c r="V26" s="172">
        <v>0</v>
      </c>
      <c r="W26" s="170">
        <f ca="1">FV(V26/1,DATEDIF(P26,'Cap Table'!R$60,"y"),0,-S26)</f>
        <v>0</v>
      </c>
      <c r="X26" s="170">
        <f t="shared" ca="1" si="6"/>
        <v>0</v>
      </c>
      <c r="Y26" s="146">
        <f t="shared" ca="1" si="7"/>
        <v>0</v>
      </c>
      <c r="Z26" s="149">
        <f ca="1">IF(AND('Cap Table'!R$62=0,W26&gt;0),U26/'Cap Table'!R$61,IFERROR(IF(U26=0,'Cap Table'!R$62*(1-T26),MIN('Cap Table'!R$62*(1-T26),U26/'Cap Table'!R$61)),0))</f>
        <v>0</v>
      </c>
      <c r="AA26" s="170">
        <f t="shared" ca="1" si="79"/>
        <v>0</v>
      </c>
      <c r="AB26" s="170">
        <v>0</v>
      </c>
      <c r="AC26" s="146">
        <f t="shared" ca="1" si="8"/>
        <v>0</v>
      </c>
      <c r="AD26" s="146">
        <f t="shared" si="8"/>
        <v>0</v>
      </c>
      <c r="AE26" s="146">
        <f t="shared" ca="1" si="57"/>
        <v>0</v>
      </c>
      <c r="AF26" s="147">
        <f t="shared" ca="1" si="9"/>
        <v>0</v>
      </c>
      <c r="AG26" s="146">
        <f ca="1">AE26*'Cap Table'!R$62</f>
        <v>0</v>
      </c>
      <c r="AH26" s="146">
        <f ca="1">IFERROR(IF(OR(Q26='Cap Table'!$B$40,Q26='Cap Table'!$B$41,Q26='Cap Table'!$B$42),IF(SUM(S26)&lt;SUM(R26),(FV(V26/1,DATEDIF(P26,'Cap Table'!R$60,"y"),0,-R26))/(U26/'Cap Table'!$R$61),AE26),AE26),0)</f>
        <v>0</v>
      </c>
      <c r="AI26" s="147">
        <f t="shared" ca="1" si="10"/>
        <v>0</v>
      </c>
      <c r="AK26" s="168">
        <f t="shared" ca="1" si="58"/>
        <v>44213</v>
      </c>
      <c r="AL26" s="168" t="str">
        <f t="shared" si="59"/>
        <v>Equity</v>
      </c>
      <c r="AM26" s="169">
        <v>0</v>
      </c>
      <c r="AN26" s="169">
        <f>IF('Cap Table'!AM$79&lt;&gt;"na",IF(Q26='Cap Table'!$B$40,R26-S26,0),0)</f>
        <v>0</v>
      </c>
      <c r="AO26" s="171">
        <f t="shared" si="11"/>
        <v>0</v>
      </c>
      <c r="AP26" s="169">
        <f t="shared" si="12"/>
        <v>0</v>
      </c>
      <c r="AQ26" s="172">
        <f t="shared" si="13"/>
        <v>0</v>
      </c>
      <c r="AR26" s="170">
        <f ca="1">FV(AQ26/1,DATEDIF(AK26,'Cap Table'!AM$60,"y"),0,-AN26)</f>
        <v>0</v>
      </c>
      <c r="AS26" s="170">
        <f ca="1">IF('Cap Table'!AM$80="no",IFERROR(AR26/(1-AO26),0),IFERROR(AR26/(1-(MAX(AO26,('Cap Table'!AM$62-AP26/'Cap Table'!AM$61)/'Cap Table'!AM$62))),0))</f>
        <v>0</v>
      </c>
      <c r="AT26" s="146">
        <f t="shared" ca="1" si="14"/>
        <v>0</v>
      </c>
      <c r="AU26" s="149">
        <f ca="1">IF(AND('Cap Table'!AM$62=0,AR26&gt;0),AP26/'Cap Table'!AM$61,IFERROR(IF(AP26=0,'Cap Table'!AM$62*(1-AO26),MIN('Cap Table'!AM$62*(1-AO26),AP26/'Cap Table'!AM$61)),0))</f>
        <v>0</v>
      </c>
      <c r="AV26" s="170">
        <f t="shared" ca="1" si="80"/>
        <v>0</v>
      </c>
      <c r="AW26" s="170">
        <v>0</v>
      </c>
      <c r="AX26" s="146">
        <f t="shared" ca="1" si="15"/>
        <v>0</v>
      </c>
      <c r="AY26" s="146">
        <f t="shared" si="15"/>
        <v>0</v>
      </c>
      <c r="AZ26" s="146">
        <f t="shared" ca="1" si="60"/>
        <v>0</v>
      </c>
      <c r="BA26" s="147">
        <f t="shared" ca="1" si="16"/>
        <v>0</v>
      </c>
      <c r="BB26" s="146">
        <f ca="1">AZ26*'Cap Table'!AM$62</f>
        <v>0</v>
      </c>
      <c r="BC26" s="173">
        <f ca="1">IFERROR(IF(OR(AL26='Cap Table'!$B$40,AL26='Cap Table'!$B$41,AL26='Cap Table'!$B$42),IF(SUM(AN26,S26)&lt;SUM(AM26,R26),FV(MAX(AQ26,V26)/1,DATEDIF(AK26,'Cap Table'!$AM$60,"y"),0,-MAX(AM26,R26))/(MAX(AP26,U26)/'Cap Table'!$AM$61),AZ26),AZ26),0)</f>
        <v>0</v>
      </c>
      <c r="BD26" s="147">
        <f t="shared" ca="1" si="17"/>
        <v>0</v>
      </c>
      <c r="BF26" s="168">
        <f t="shared" ca="1" si="61"/>
        <v>44578</v>
      </c>
      <c r="BG26" s="168" t="str">
        <f t="shared" si="62"/>
        <v>Equity</v>
      </c>
      <c r="BH26" s="169">
        <v>0</v>
      </c>
      <c r="BI26" s="169">
        <f>IF('Cap Table'!BH$79&lt;&gt;"na",IF(AL26='Cap Table'!$B$40,AM26-AN26,0),0)</f>
        <v>0</v>
      </c>
      <c r="BJ26" s="171">
        <f t="shared" si="18"/>
        <v>0</v>
      </c>
      <c r="BK26" s="169">
        <f t="shared" si="19"/>
        <v>0</v>
      </c>
      <c r="BL26" s="172">
        <f t="shared" si="20"/>
        <v>0</v>
      </c>
      <c r="BM26" s="170">
        <f ca="1">FV(BL26/1,DATEDIF(BF26,'Cap Table'!BH$60,"y"),0,-BI26)</f>
        <v>0</v>
      </c>
      <c r="BN26" s="170">
        <f ca="1">IF('Cap Table'!BH$80="no",IFERROR(BM26/(1-BJ26),0),IFERROR(BM26/(1-(MAX(BJ26,('Cap Table'!BH$62-BK26/'Cap Table'!BH$61)/'Cap Table'!BH$62))),0))</f>
        <v>0</v>
      </c>
      <c r="BO26" s="146">
        <f t="shared" ca="1" si="21"/>
        <v>0</v>
      </c>
      <c r="BP26" s="149">
        <f ca="1">IF(AND('Cap Table'!BH$62=0,BM26&gt;0),BK26/'Cap Table'!BH$61,IFERROR(IF(BK26=0,'Cap Table'!BH$62*(1-BJ26),MIN('Cap Table'!BH$62*(1-BJ26),BK26/'Cap Table'!BH$61)),0))</f>
        <v>0</v>
      </c>
      <c r="BQ26" s="170">
        <f t="shared" ca="1" si="81"/>
        <v>0</v>
      </c>
      <c r="BR26" s="170">
        <v>0</v>
      </c>
      <c r="BS26" s="146">
        <f t="shared" ca="1" si="22"/>
        <v>0</v>
      </c>
      <c r="BT26" s="146">
        <f t="shared" si="22"/>
        <v>0</v>
      </c>
      <c r="BU26" s="146">
        <f t="shared" ca="1" si="63"/>
        <v>0</v>
      </c>
      <c r="BV26" s="147">
        <f t="shared" ca="1" si="23"/>
        <v>0</v>
      </c>
      <c r="BW26" s="146">
        <f ca="1">BU26*'Cap Table'!BH$62</f>
        <v>0</v>
      </c>
      <c r="BX26" s="173">
        <f ca="1">IFERROR(IF(OR(BG26='Cap Table'!$B$40,BG26='Cap Table'!$B$41,BG26='Cap Table'!$B$42),IF(SUM(BI26,AN26,S26)&lt;SUM(BH26,AM26,R26),FV(MAX(BL26,AQ26,V26)/1,DATEDIF(BF26,'Cap Table'!$BH$60,"y"),0,-MAX(BH26,AM26,R26))/(MAX(BK26,AP26,U26)/'Cap Table'!$BH$61),BU26),BU26),0)</f>
        <v>0</v>
      </c>
      <c r="BY26" s="147">
        <f t="shared" ca="1" si="24"/>
        <v>0</v>
      </c>
      <c r="CA26" s="168">
        <f t="shared" ca="1" si="64"/>
        <v>44943</v>
      </c>
      <c r="CB26" s="168" t="str">
        <f t="shared" si="65"/>
        <v>Equity</v>
      </c>
      <c r="CC26" s="169">
        <v>0</v>
      </c>
      <c r="CD26" s="169">
        <f>IF('Cap Table'!CC$79&lt;&gt;"na",IF(BG26='Cap Table'!$B$40,BH26-BI26,0),0)</f>
        <v>0</v>
      </c>
      <c r="CE26" s="171">
        <f t="shared" si="25"/>
        <v>0</v>
      </c>
      <c r="CF26" s="169">
        <f t="shared" si="26"/>
        <v>0</v>
      </c>
      <c r="CG26" s="172">
        <f t="shared" si="27"/>
        <v>0</v>
      </c>
      <c r="CH26" s="170">
        <f ca="1">FV(CG26/1,DATEDIF(CA26,'Cap Table'!CC$60,"y"),0,-CD26)</f>
        <v>0</v>
      </c>
      <c r="CI26" s="170">
        <f ca="1">IF('Cap Table'!CC$80="no",IFERROR(CH26/(1-CE26),0),IFERROR(CH26/(1-(MAX(CE26,('Cap Table'!CC$62-CF26/'Cap Table'!CC$61)/'Cap Table'!CC$62))),0))</f>
        <v>0</v>
      </c>
      <c r="CJ26" s="146">
        <f t="shared" ca="1" si="28"/>
        <v>0</v>
      </c>
      <c r="CK26" s="149">
        <f ca="1">IF(AND('Cap Table'!CC$62=0,CH26&gt;0),CF26/'Cap Table'!CC$61,IFERROR(IF(CF26=0,'Cap Table'!CC$62*(1-CE26),MIN('Cap Table'!CC$62*(1-CE26),CF26/'Cap Table'!CC$61)),0))</f>
        <v>0</v>
      </c>
      <c r="CL26" s="170">
        <f t="shared" ca="1" si="82"/>
        <v>0</v>
      </c>
      <c r="CM26" s="170">
        <v>0</v>
      </c>
      <c r="CN26" s="146">
        <f t="shared" ca="1" si="29"/>
        <v>0</v>
      </c>
      <c r="CO26" s="146">
        <f t="shared" si="29"/>
        <v>0</v>
      </c>
      <c r="CP26" s="146">
        <f t="shared" ca="1" si="66"/>
        <v>0</v>
      </c>
      <c r="CQ26" s="147">
        <f t="shared" ca="1" si="30"/>
        <v>0</v>
      </c>
      <c r="CR26" s="146">
        <f ca="1">CP26*'Cap Table'!CC$62</f>
        <v>0</v>
      </c>
      <c r="CS26" s="173">
        <f ca="1">IFERROR(IF(OR(CB26='Cap Table'!$B$40,CB26='Cap Table'!$B$41,CB26='Cap Table'!$B$42),IF(SUM(CD26,BI26,AN26,S26)&lt;SUM(CC26,BH26,AM26,R26),FV(MAX(CG26,BL26,AQ26,V26)/1,DATEDIF(CA26,'Cap Table'!$CC$60,"y"),0,-MAX(CC26,BH26,AM26,R26))/(MAX(CF26,BK26,AP26,U26)/'Cap Table'!$CC$61),CP26),CP26),0)</f>
        <v>0</v>
      </c>
      <c r="CT26" s="147">
        <f t="shared" ca="1" si="31"/>
        <v>0</v>
      </c>
      <c r="CV26" s="168">
        <f t="shared" ca="1" si="67"/>
        <v>45308</v>
      </c>
      <c r="CW26" s="168" t="str">
        <f t="shared" si="68"/>
        <v>Equity</v>
      </c>
      <c r="CX26" s="169">
        <v>0</v>
      </c>
      <c r="CY26" s="169">
        <f>IF('Cap Table'!CX$79&lt;&gt;"na",IF(CB26='Cap Table'!$B$40,CC26-CD26,0),0)</f>
        <v>0</v>
      </c>
      <c r="CZ26" s="171">
        <f t="shared" si="32"/>
        <v>0</v>
      </c>
      <c r="DA26" s="169">
        <f t="shared" si="33"/>
        <v>0</v>
      </c>
      <c r="DB26" s="172">
        <f t="shared" si="34"/>
        <v>0</v>
      </c>
      <c r="DC26" s="170">
        <f ca="1">FV(DB26/1,DATEDIF(CV26,'Cap Table'!CX$60,"y"),0,-CY26)</f>
        <v>0</v>
      </c>
      <c r="DD26" s="170">
        <f ca="1">IF('Cap Table'!CX$80="no",IFERROR(DC26/(1-CZ26),0),IFERROR(DC26/(1-(MAX(CZ26,('Cap Table'!CX$62-DA26/'Cap Table'!CX$61)/'Cap Table'!CX$62))),0))</f>
        <v>0</v>
      </c>
      <c r="DE26" s="146">
        <f t="shared" ca="1" si="35"/>
        <v>0</v>
      </c>
      <c r="DF26" s="149">
        <f ca="1">IF(AND('Cap Table'!CX$62=0,DC26&gt;0),DA26/'Cap Table'!CX$61,IFERROR(IF(DA26=0,'Cap Table'!CX$62*(1-CZ26),MIN('Cap Table'!CX$62*(1-CZ26),DA26/'Cap Table'!CX$61)),0))</f>
        <v>0</v>
      </c>
      <c r="DG26" s="170">
        <f t="shared" ca="1" si="83"/>
        <v>0</v>
      </c>
      <c r="DH26" s="170">
        <v>0</v>
      </c>
      <c r="DI26" s="146">
        <f t="shared" ca="1" si="36"/>
        <v>0</v>
      </c>
      <c r="DJ26" s="146">
        <f t="shared" si="36"/>
        <v>0</v>
      </c>
      <c r="DK26" s="146">
        <f t="shared" ca="1" si="69"/>
        <v>0</v>
      </c>
      <c r="DL26" s="147">
        <f t="shared" ca="1" si="37"/>
        <v>0</v>
      </c>
      <c r="DM26" s="146">
        <f ca="1">DK26*'Cap Table'!CX$62</f>
        <v>0</v>
      </c>
      <c r="DN26" s="173">
        <f ca="1">IFERROR(IF(OR(CW26='Cap Table'!$B$40,CW26='Cap Table'!$B$41,CW26='Cap Table'!$B$42),IF(SUM(CY26,CD26,BI26,AN26,S26,)&lt;SUM(CX26,CC26,BH26,AM26,R26),FV(MAX(DB26,CG26,BL26,AQ26,V26)/1,DATEDIF(CV26,'Cap Table'!$CX$60,"y"),0,-MAX(CX26,CC26,BH26,AM26,R26))/(MAX(DA26,CF26,BK26,AP26,U26,)/'Cap Table'!$CX$61),DK26),DK26),0)</f>
        <v>0</v>
      </c>
      <c r="DO26" s="147">
        <f t="shared" ca="1" si="38"/>
        <v>0</v>
      </c>
      <c r="DQ26" s="168">
        <f t="shared" ca="1" si="70"/>
        <v>45674</v>
      </c>
      <c r="DR26" s="168" t="str">
        <f t="shared" si="71"/>
        <v>Equity</v>
      </c>
      <c r="DS26" s="169">
        <v>0</v>
      </c>
      <c r="DT26" s="169">
        <f>IF('Cap Table'!DS$79&lt;&gt;"na",IF(CW26='Cap Table'!$B$40,CX26-CY26,0),0)</f>
        <v>0</v>
      </c>
      <c r="DU26" s="171">
        <f t="shared" si="86"/>
        <v>0</v>
      </c>
      <c r="DV26" s="169">
        <f t="shared" si="87"/>
        <v>0</v>
      </c>
      <c r="DW26" s="172">
        <f t="shared" si="88"/>
        <v>0</v>
      </c>
      <c r="DX26" s="170">
        <f ca="1">FV(DW26/1,DATEDIF(DQ26,'Cap Table'!DS$60,"y"),0,-DT26)</f>
        <v>0</v>
      </c>
      <c r="DY26" s="170">
        <f ca="1">IF('Cap Table'!DS$80="no",IFERROR(DX26/(1-DU26),0),IFERROR(DX26/(1-(MAX(DU26,('Cap Table'!DS$62-DV26/'Cap Table'!DS$61)/'Cap Table'!DS$62))),0))</f>
        <v>0</v>
      </c>
      <c r="DZ26" s="146">
        <f t="shared" ca="1" si="42"/>
        <v>0</v>
      </c>
      <c r="EA26" s="149">
        <f ca="1">IF(AND('Cap Table'!DS$62=0,DX26&gt;0),DV26/'Cap Table'!DS$61,IFERROR(IF(DV26=0,'Cap Table'!DS$62*(1-DU26),MIN('Cap Table'!DS$62*(1-DU26),DV26/'Cap Table'!DS$61)),0))</f>
        <v>0</v>
      </c>
      <c r="EB26" s="170">
        <f t="shared" ca="1" si="84"/>
        <v>0</v>
      </c>
      <c r="EC26" s="170">
        <v>0</v>
      </c>
      <c r="ED26" s="146">
        <f t="shared" ca="1" si="72"/>
        <v>0</v>
      </c>
      <c r="EE26" s="146">
        <f t="shared" si="43"/>
        <v>0</v>
      </c>
      <c r="EF26" s="146">
        <f t="shared" ca="1" si="73"/>
        <v>0</v>
      </c>
      <c r="EG26" s="147">
        <f t="shared" ca="1" si="44"/>
        <v>0</v>
      </c>
      <c r="EH26" s="146">
        <f ca="1">EF26*'Cap Table'!DS$62</f>
        <v>0</v>
      </c>
      <c r="EI26" s="173">
        <f ca="1">IFERROR(IF(OR(DR26='Cap Table'!$B$40,DR26='Cap Table'!$B$41,DR26='Cap Table'!$B$42),IF(SUM(DT26,CY26,CD26,BI26,AN26,S26)&lt;SUM(DS26,CX26,CC26,BH26,AM26,R26),FV(MAX(DW26,DB26,CG26,BL26,AQ26,V26)/1,DATEDIF(DQ26,'Cap Table'!DS$60,"y"),0,-MAX(DS26,CX26,CC26,BH26,AM26,R26))/(MAX(DV26,DA26,CF26,BK26,AP26,U26)/'Cap Table'!$DS$61),EF26),EF26),0)</f>
        <v>0</v>
      </c>
      <c r="EJ26" s="147">
        <f t="shared" ca="1" si="45"/>
        <v>0</v>
      </c>
      <c r="EL26" s="146">
        <f t="shared" si="74"/>
        <v>0</v>
      </c>
      <c r="EM26" s="146">
        <f t="shared" si="74"/>
        <v>0</v>
      </c>
      <c r="EN26" s="174" t="s">
        <v>27</v>
      </c>
      <c r="EO26" s="174" t="s">
        <v>27</v>
      </c>
      <c r="EP26" s="174" t="s">
        <v>27</v>
      </c>
      <c r="EQ26" s="146">
        <f t="shared" ca="1" si="75"/>
        <v>0</v>
      </c>
      <c r="ER26" s="146">
        <f t="shared" ca="1" si="75"/>
        <v>0</v>
      </c>
      <c r="ES26" s="146">
        <f t="shared" ca="1" si="75"/>
        <v>0</v>
      </c>
      <c r="ET26" s="149">
        <f t="shared" ca="1" si="89"/>
        <v>0</v>
      </c>
      <c r="EU26" s="146">
        <f t="shared" ca="1" si="76"/>
        <v>0</v>
      </c>
      <c r="EV26" s="146">
        <f t="shared" si="76"/>
        <v>0</v>
      </c>
      <c r="EW26" s="146">
        <f t="shared" ca="1" si="77"/>
        <v>0</v>
      </c>
      <c r="EX26" s="146">
        <f t="shared" si="77"/>
        <v>0</v>
      </c>
      <c r="EY26" s="146">
        <f t="shared" ca="1" si="77"/>
        <v>0</v>
      </c>
      <c r="EZ26" s="147">
        <f t="shared" ca="1" si="46"/>
        <v>0</v>
      </c>
      <c r="FA26" s="146">
        <f t="shared" ca="1" si="78"/>
        <v>0</v>
      </c>
      <c r="FB26" s="146">
        <f t="shared" ca="1" si="78"/>
        <v>0</v>
      </c>
      <c r="FC26" s="147">
        <f t="shared" ca="1" si="47"/>
        <v>0</v>
      </c>
      <c r="FE26" s="149" t="str">
        <f t="shared" si="0"/>
        <v>Common</v>
      </c>
      <c r="FF26" s="146">
        <f t="shared" ca="1" si="48"/>
        <v>0</v>
      </c>
      <c r="FG26" s="146">
        <f t="shared" ca="1" si="49"/>
        <v>0</v>
      </c>
      <c r="FH26" s="146">
        <f t="shared" ca="1" si="50"/>
        <v>0</v>
      </c>
      <c r="FJ26" s="146" t="str">
        <f t="shared" si="51"/>
        <v>Common</v>
      </c>
      <c r="FK26" s="174" t="str">
        <f t="shared" ca="1" si="52"/>
        <v>na</v>
      </c>
      <c r="FL26" s="174" t="str">
        <f t="shared" ca="1" si="52"/>
        <v>na</v>
      </c>
      <c r="FM26" s="174" t="str">
        <f t="shared" ca="1" si="53"/>
        <v>na</v>
      </c>
    </row>
    <row r="27" spans="2:169">
      <c r="B27" s="175" t="s">
        <v>14</v>
      </c>
      <c r="C27" s="176"/>
      <c r="D27" s="177" t="s">
        <v>27</v>
      </c>
      <c r="E27" s="178" t="s">
        <v>22</v>
      </c>
      <c r="G27" s="168">
        <f t="shared" ca="1" si="1"/>
        <v>43482</v>
      </c>
      <c r="H27" s="289" t="str">
        <f t="shared" si="2"/>
        <v>Equity</v>
      </c>
      <c r="I27" s="170">
        <v>0</v>
      </c>
      <c r="J27" s="169">
        <v>0</v>
      </c>
      <c r="K27" s="170">
        <f t="shared" si="55"/>
        <v>0</v>
      </c>
      <c r="L27" s="147">
        <f t="shared" si="3"/>
        <v>0</v>
      </c>
      <c r="M27" s="170">
        <f t="shared" si="56"/>
        <v>0</v>
      </c>
      <c r="N27" s="147">
        <f t="shared" si="4"/>
        <v>0</v>
      </c>
      <c r="O27" s="147"/>
      <c r="P27" s="168">
        <f ca="1">R$60</f>
        <v>43847</v>
      </c>
      <c r="Q27" s="289" t="str">
        <f t="shared" si="5"/>
        <v>Equity</v>
      </c>
      <c r="R27" s="170">
        <v>0</v>
      </c>
      <c r="S27" s="170">
        <v>0</v>
      </c>
      <c r="T27" s="179">
        <v>0</v>
      </c>
      <c r="U27" s="170">
        <v>0</v>
      </c>
      <c r="V27" s="179">
        <v>0</v>
      </c>
      <c r="W27" s="170">
        <v>0</v>
      </c>
      <c r="X27" s="170">
        <v>0</v>
      </c>
      <c r="Y27" s="146">
        <f t="shared" si="7"/>
        <v>0</v>
      </c>
      <c r="Z27" s="149">
        <f>IF(AND('Cap Table'!R$62=0,W27&gt;0),U27/'Cap Table'!R$61,IFERROR(IF(U27=0,'Cap Table'!R$62*(1-T27),MIN('Cap Table'!R$62*(1-T27),U27/'Cap Table'!R$61)),0))</f>
        <v>0</v>
      </c>
      <c r="AA27" s="170">
        <f t="shared" si="79"/>
        <v>0</v>
      </c>
      <c r="AB27" s="170">
        <f>K28*'Cap Table'!R87</f>
        <v>0</v>
      </c>
      <c r="AC27" s="146">
        <f t="shared" si="8"/>
        <v>0</v>
      </c>
      <c r="AD27" s="146">
        <f t="shared" si="8"/>
        <v>0</v>
      </c>
      <c r="AE27" s="146">
        <f t="shared" si="57"/>
        <v>0</v>
      </c>
      <c r="AF27" s="147">
        <f t="shared" ca="1" si="9"/>
        <v>0</v>
      </c>
      <c r="AG27" s="146">
        <f>AE27*'Cap Table'!R$62</f>
        <v>0</v>
      </c>
      <c r="AH27" s="146">
        <f>IFERROR(IF(OR(Q27='Cap Table'!$B$40,Q27='Cap Table'!$B$41,Q27='Cap Table'!$B$42),IF(SUM(S27)&lt;SUM(R27),(FV(V27/1,DATEDIF(P27,'Cap Table'!R$60,"y"),0,-R27))/(U27/'Cap Table'!$R$61),AE27),AE27),0)</f>
        <v>0</v>
      </c>
      <c r="AI27" s="147">
        <f t="shared" ca="1" si="10"/>
        <v>0</v>
      </c>
      <c r="AK27" s="168">
        <f ca="1">AM$60</f>
        <v>44213</v>
      </c>
      <c r="AL27" s="168" t="s">
        <v>448</v>
      </c>
      <c r="AM27" s="170">
        <v>0</v>
      </c>
      <c r="AN27" s="170">
        <f>IF('Cap Table'!AM$79&lt;&gt;"na",IF(Q27='Cap Table'!$B$40,R27-S27,0),0)</f>
        <v>0</v>
      </c>
      <c r="AO27" s="179">
        <v>0</v>
      </c>
      <c r="AP27" s="150">
        <v>0</v>
      </c>
      <c r="AQ27" s="180">
        <v>0</v>
      </c>
      <c r="AR27" s="170">
        <f ca="1">FV(AQ27/1,DATEDIF(AK27,'Cap Table'!AM$60,"y"),0,-AN27)</f>
        <v>0</v>
      </c>
      <c r="AS27" s="170">
        <f t="shared" ref="AS27:AS28" ca="1" si="90">IFERROR(AR27/(1-AO27),0)</f>
        <v>0</v>
      </c>
      <c r="AT27" s="170">
        <f t="shared" ca="1" si="14"/>
        <v>0</v>
      </c>
      <c r="AU27" s="149">
        <f ca="1">IF(AND('Cap Table'!AM$62=0,AR27&gt;0),AP27/'Cap Table'!AM$61,IFERROR(IF(AP27=0,'Cap Table'!AM$62*(1-AO27),MIN('Cap Table'!AM$62*(1-AO27),AP27/'Cap Table'!AM$61)),0))</f>
        <v>0</v>
      </c>
      <c r="AV27" s="170">
        <f t="shared" ca="1" si="80"/>
        <v>0</v>
      </c>
      <c r="AW27" s="170">
        <f ca="1">AD28*'Cap Table'!AM87</f>
        <v>0</v>
      </c>
      <c r="AX27" s="170">
        <f t="shared" ca="1" si="15"/>
        <v>0</v>
      </c>
      <c r="AY27" s="170">
        <f t="shared" ca="1" si="15"/>
        <v>0</v>
      </c>
      <c r="AZ27" s="170">
        <f t="shared" ca="1" si="60"/>
        <v>0</v>
      </c>
      <c r="BA27" s="179">
        <f t="shared" ca="1" si="16"/>
        <v>0</v>
      </c>
      <c r="BB27" s="170">
        <f ca="1">AZ27*'Cap Table'!AM$62</f>
        <v>0</v>
      </c>
      <c r="BC27" s="173">
        <f ca="1">IFERROR(IF(OR(AL27='Cap Table'!$B$40,AL27='Cap Table'!$B$41,AL27='Cap Table'!$B$42),IF(SUM(AN27,S27)&lt;SUM(AM27,R27),FV(MAX(AQ27,V27)/1,DATEDIF(AK27,'Cap Table'!$AM$60,"y"),0,-MAX(AM27,R27))/(MAX(AP27,U27)/'Cap Table'!$AM$61),AZ27),AZ27),0)</f>
        <v>0</v>
      </c>
      <c r="BD27" s="179">
        <f t="shared" ca="1" si="17"/>
        <v>0</v>
      </c>
      <c r="BF27" s="168">
        <f ca="1">BH$60</f>
        <v>44578</v>
      </c>
      <c r="BG27" s="168" t="s">
        <v>448</v>
      </c>
      <c r="BH27" s="170">
        <v>0</v>
      </c>
      <c r="BI27" s="170">
        <f>IF('Cap Table'!BH$79&lt;&gt;"na",IF(AL27='Cap Table'!$B$40,AM27-AN27,0),0)</f>
        <v>0</v>
      </c>
      <c r="BJ27" s="179">
        <v>0</v>
      </c>
      <c r="BK27" s="150">
        <v>0</v>
      </c>
      <c r="BL27" s="180">
        <v>0</v>
      </c>
      <c r="BM27" s="170">
        <f ca="1">FV(BL27/1,DATEDIF(BF27,'Cap Table'!BH$60,"y"),0,-BI27)</f>
        <v>0</v>
      </c>
      <c r="BN27" s="170">
        <f t="shared" ref="BN27:BN28" ca="1" si="91">IFERROR(BM27/(1-BJ27),0)</f>
        <v>0</v>
      </c>
      <c r="BO27" s="170">
        <f t="shared" ca="1" si="21"/>
        <v>0</v>
      </c>
      <c r="BP27" s="149">
        <f ca="1">IF(AND('Cap Table'!BH$62=0,BM27&gt;0),BK27/'Cap Table'!BH$61,IFERROR(IF(BK27=0,'Cap Table'!BH$62*(1-BJ27),MIN('Cap Table'!BH$62*(1-BJ27),BK27/'Cap Table'!BH$61)),0))</f>
        <v>0</v>
      </c>
      <c r="BQ27" s="170">
        <f t="shared" ca="1" si="81"/>
        <v>0</v>
      </c>
      <c r="BR27" s="170">
        <f ca="1">AY28*'Cap Table'!BH87</f>
        <v>0</v>
      </c>
      <c r="BS27" s="170">
        <f t="shared" ca="1" si="22"/>
        <v>0</v>
      </c>
      <c r="BT27" s="170">
        <f t="shared" ca="1" si="22"/>
        <v>0</v>
      </c>
      <c r="BU27" s="170">
        <f t="shared" ca="1" si="63"/>
        <v>0</v>
      </c>
      <c r="BV27" s="179">
        <f t="shared" ca="1" si="23"/>
        <v>0</v>
      </c>
      <c r="BW27" s="170">
        <f ca="1">BU27*'Cap Table'!BH$62</f>
        <v>0</v>
      </c>
      <c r="BX27" s="173">
        <f ca="1">IFERROR(IF(OR(BG27='Cap Table'!$B$40,BG27='Cap Table'!$B$41,BG27='Cap Table'!$B$42),IF(SUM(BI27,AN27,S27)&lt;SUM(BH27,AM27,R27),FV(MAX(BL27,AQ27,V27)/1,DATEDIF(BF27,'Cap Table'!$BH$60,"y"),0,-MAX(BH27,AM27,R27))/(MAX(BK27,AP27,U27)/'Cap Table'!$BH$61),BU27),BU27),0)</f>
        <v>0</v>
      </c>
      <c r="BY27" s="179">
        <f t="shared" ca="1" si="24"/>
        <v>0</v>
      </c>
      <c r="CA27" s="168">
        <f ca="1">CC$60</f>
        <v>44943</v>
      </c>
      <c r="CB27" s="168" t="s">
        <v>448</v>
      </c>
      <c r="CC27" s="170">
        <v>0</v>
      </c>
      <c r="CD27" s="170">
        <f>IF('Cap Table'!CC$79&lt;&gt;"na",IF(BG27='Cap Table'!$B$40,BH27-BI27,0),0)</f>
        <v>0</v>
      </c>
      <c r="CE27" s="179">
        <v>0</v>
      </c>
      <c r="CF27" s="150">
        <v>0</v>
      </c>
      <c r="CG27" s="180">
        <v>0</v>
      </c>
      <c r="CH27" s="170">
        <f ca="1">FV(CG27/1,DATEDIF(CA27,'Cap Table'!CC$60,"y"),0,-CD27)</f>
        <v>0</v>
      </c>
      <c r="CI27" s="170">
        <f t="shared" ref="CI27:CI28" ca="1" si="92">IFERROR(CH27/(1-CE27),0)</f>
        <v>0</v>
      </c>
      <c r="CJ27" s="170">
        <f t="shared" ca="1" si="28"/>
        <v>0</v>
      </c>
      <c r="CK27" s="149">
        <f ca="1">IF(AND('Cap Table'!CC$62=0,CH27&gt;0),CF27/'Cap Table'!CC$61,IFERROR(IF(CF27=0,'Cap Table'!CC$62*(1-CE27),MIN('Cap Table'!CC$62*(1-CE27),CF27/'Cap Table'!CC$61)),0))</f>
        <v>0</v>
      </c>
      <c r="CL27" s="170">
        <f t="shared" ca="1" si="82"/>
        <v>0</v>
      </c>
      <c r="CM27" s="170">
        <f ca="1">BT28*'Cap Table'!CC87</f>
        <v>0</v>
      </c>
      <c r="CN27" s="170">
        <f t="shared" ca="1" si="29"/>
        <v>0</v>
      </c>
      <c r="CO27" s="170">
        <f t="shared" ca="1" si="29"/>
        <v>0</v>
      </c>
      <c r="CP27" s="170">
        <f t="shared" ca="1" si="66"/>
        <v>0</v>
      </c>
      <c r="CQ27" s="147">
        <f t="shared" ca="1" si="30"/>
        <v>0</v>
      </c>
      <c r="CR27" s="146">
        <f ca="1">CP27*'Cap Table'!CC$62</f>
        <v>0</v>
      </c>
      <c r="CS27" s="173">
        <f ca="1">IFERROR(IF(OR(CB27='Cap Table'!$B$40,CB27='Cap Table'!$B$41,CB27='Cap Table'!$B$42),IF(SUM(CD27,BI27,AN27,S27)&lt;SUM(CC27,BH27,AM27,R27),FV(MAX(CG27,BL27,AQ27,V27)/1,DATEDIF(CA27,'Cap Table'!$CC$60,"y"),0,-MAX(CC27,BH27,AM27,R27))/(MAX(CF27,BK27,AP27,U27)/'Cap Table'!$CC$61),CP27),CP27),0)</f>
        <v>0</v>
      </c>
      <c r="CT27" s="179">
        <f t="shared" ca="1" si="31"/>
        <v>0</v>
      </c>
      <c r="CV27" s="168">
        <f ca="1">CX$60</f>
        <v>45308</v>
      </c>
      <c r="CW27" s="168" t="s">
        <v>448</v>
      </c>
      <c r="CX27" s="170">
        <v>0</v>
      </c>
      <c r="CY27" s="170">
        <f>IF('Cap Table'!CX$79&lt;&gt;"na",IF(CB27='Cap Table'!$B$40,CC27-CD27,0),0)</f>
        <v>0</v>
      </c>
      <c r="CZ27" s="179">
        <v>0</v>
      </c>
      <c r="DA27" s="150">
        <v>0</v>
      </c>
      <c r="DB27" s="180">
        <v>0</v>
      </c>
      <c r="DC27" s="170">
        <f ca="1">FV(DB27/1,DATEDIF(CV27,'Cap Table'!CX$60,"y"),0,-CY27)</f>
        <v>0</v>
      </c>
      <c r="DD27" s="170">
        <f t="shared" ref="DD27:DD28" ca="1" si="93">IFERROR(DC27/(1-CZ27),0)</f>
        <v>0</v>
      </c>
      <c r="DE27" s="170">
        <f t="shared" ca="1" si="35"/>
        <v>0</v>
      </c>
      <c r="DF27" s="149">
        <f ca="1">IF(AND('Cap Table'!CX$62=0,DC27&gt;0),DA27/'Cap Table'!CX$61,IFERROR(IF(DA27=0,'Cap Table'!CX$62*(1-CZ27),MIN('Cap Table'!CX$62*(1-CZ27),DA27/'Cap Table'!CX$61)),0))</f>
        <v>0</v>
      </c>
      <c r="DG27" s="170">
        <f t="shared" ca="1" si="83"/>
        <v>0</v>
      </c>
      <c r="DH27" s="170">
        <f ca="1">CO28*'Cap Table'!CX87</f>
        <v>0</v>
      </c>
      <c r="DI27" s="170">
        <f t="shared" ca="1" si="36"/>
        <v>0</v>
      </c>
      <c r="DJ27" s="170">
        <f t="shared" ca="1" si="36"/>
        <v>0</v>
      </c>
      <c r="DK27" s="170">
        <f t="shared" ca="1" si="69"/>
        <v>0</v>
      </c>
      <c r="DL27" s="179">
        <f t="shared" ca="1" si="37"/>
        <v>0</v>
      </c>
      <c r="DM27" s="146">
        <f ca="1">DK27*'Cap Table'!CX$62</f>
        <v>0</v>
      </c>
      <c r="DN27" s="173">
        <f ca="1">IFERROR(IF(OR(CW27='Cap Table'!$B$40,CW27='Cap Table'!$B$41,CW27='Cap Table'!$B$42),IF(SUM(CY27,CD27,BI27,AN27,S27,)&lt;SUM(CX27,CC27,BH27,AM27,R27),FV(MAX(DB27,CG27,BL27,AQ27,V27)/1,DATEDIF(CV27,'Cap Table'!$CX$60,"y"),0,-MAX(CX27,CC27,BH27,AM27,R27))/(MAX(DA27,CF27,BK27,AP27,U27,)/'Cap Table'!$CX$61),DK27),DK27),0)</f>
        <v>0</v>
      </c>
      <c r="DO27" s="179">
        <f t="shared" ca="1" si="38"/>
        <v>0</v>
      </c>
      <c r="DQ27" s="168">
        <f ca="1">DS$60</f>
        <v>45674</v>
      </c>
      <c r="DR27" s="168" t="s">
        <v>448</v>
      </c>
      <c r="DS27" s="170">
        <v>0</v>
      </c>
      <c r="DT27" s="170">
        <f>IF('Cap Table'!DS$79&lt;&gt;"na",IF(CW27='Cap Table'!$B$40,CX27-CY27,0),0)</f>
        <v>0</v>
      </c>
      <c r="DU27" s="179">
        <v>0</v>
      </c>
      <c r="DV27" s="150">
        <v>0</v>
      </c>
      <c r="DW27" s="180">
        <v>0</v>
      </c>
      <c r="DX27" s="170">
        <f ca="1">FV(DW27/1,DATEDIF(DQ27,'Cap Table'!DS$60,"y"),0,-DT27)</f>
        <v>0</v>
      </c>
      <c r="DY27" s="170">
        <f t="shared" ref="DY27:DY28" ca="1" si="94">IFERROR(DX27/(1-DU27),0)</f>
        <v>0</v>
      </c>
      <c r="DZ27" s="170">
        <f t="shared" ca="1" si="42"/>
        <v>0</v>
      </c>
      <c r="EA27" s="149">
        <f ca="1">IF(AND('Cap Table'!DS$62=0,DX27&gt;0),DV27/'Cap Table'!DS$61,IFERROR(IF(DV27=0,'Cap Table'!DS$62*(1-DU27),MIN('Cap Table'!DS$62*(1-DU27),DV27/'Cap Table'!DS$61)),0))</f>
        <v>0</v>
      </c>
      <c r="EB27" s="170">
        <f t="shared" ca="1" si="84"/>
        <v>0</v>
      </c>
      <c r="EC27" s="170">
        <f ca="1">DJ28*'Cap Table'!DS87</f>
        <v>0</v>
      </c>
      <c r="ED27" s="170">
        <f t="shared" ca="1" si="72"/>
        <v>0</v>
      </c>
      <c r="EE27" s="170">
        <f ca="1">EC27+DJ27</f>
        <v>0</v>
      </c>
      <c r="EF27" s="170">
        <f t="shared" ca="1" si="73"/>
        <v>0</v>
      </c>
      <c r="EG27" s="179">
        <f t="shared" ca="1" si="44"/>
        <v>0</v>
      </c>
      <c r="EH27" s="170">
        <f ca="1">EF27*'Cap Table'!DS$62</f>
        <v>0</v>
      </c>
      <c r="EI27" s="173">
        <f ca="1">IFERROR(IF(OR(DR27='Cap Table'!$B$40,DR27='Cap Table'!$B$41,DR27='Cap Table'!$B$42),IF(SUM(DT27,CY27,CD27,BI27,AN27,S27)&lt;SUM(DS27,CX27,CC27,BH27,AM27,R27),FV(MAX(DW27,DB27,CG27,BL27,AQ27,V27)/1,DATEDIF(DQ27,'Cap Table'!DS$60,"y"),0,-MAX(DS27,CX27,CC27,BH27,AM27,R27))/(MAX(DV27,DA27,CF27,BK27,AP27,U27)/'Cap Table'!$DS$61),EF27),EF27),0)</f>
        <v>0</v>
      </c>
      <c r="EJ27" s="179">
        <f t="shared" ca="1" si="45"/>
        <v>0</v>
      </c>
      <c r="EL27" s="146">
        <f t="shared" si="74"/>
        <v>0</v>
      </c>
      <c r="EM27" s="146">
        <f t="shared" si="74"/>
        <v>0</v>
      </c>
      <c r="EN27" s="174" t="s">
        <v>27</v>
      </c>
      <c r="EO27" s="174" t="s">
        <v>27</v>
      </c>
      <c r="EP27" s="174" t="s">
        <v>27</v>
      </c>
      <c r="EQ27" s="146">
        <f t="shared" ca="1" si="75"/>
        <v>0</v>
      </c>
      <c r="ER27" s="146">
        <f t="shared" ca="1" si="75"/>
        <v>0</v>
      </c>
      <c r="ES27" s="146">
        <f t="shared" ca="1" si="75"/>
        <v>0</v>
      </c>
      <c r="ET27" s="149">
        <f t="shared" ca="1" si="89"/>
        <v>0</v>
      </c>
      <c r="EU27" s="146">
        <f t="shared" ca="1" si="76"/>
        <v>0</v>
      </c>
      <c r="EV27" s="146">
        <f t="shared" ca="1" si="76"/>
        <v>0</v>
      </c>
      <c r="EW27" s="146">
        <f t="shared" ca="1" si="77"/>
        <v>0</v>
      </c>
      <c r="EX27" s="146">
        <f t="shared" ca="1" si="77"/>
        <v>0</v>
      </c>
      <c r="EY27" s="146">
        <f t="shared" ca="1" si="77"/>
        <v>0</v>
      </c>
      <c r="EZ27" s="147">
        <f t="shared" ca="1" si="46"/>
        <v>0</v>
      </c>
      <c r="FA27" s="146">
        <f t="shared" ca="1" si="78"/>
        <v>0</v>
      </c>
      <c r="FB27" s="146">
        <f t="shared" ca="1" si="78"/>
        <v>0</v>
      </c>
      <c r="FC27" s="147">
        <f t="shared" ca="1" si="47"/>
        <v>0</v>
      </c>
      <c r="FE27" s="149" t="str">
        <f t="shared" si="0"/>
        <v>Options</v>
      </c>
      <c r="FF27" s="146">
        <f t="shared" ca="1" si="48"/>
        <v>0</v>
      </c>
      <c r="FG27" s="146">
        <f t="shared" ca="1" si="49"/>
        <v>0</v>
      </c>
      <c r="FH27" s="146">
        <f t="shared" ca="1" si="50"/>
        <v>0</v>
      </c>
      <c r="FJ27" s="146" t="str">
        <f t="shared" si="51"/>
        <v>Options</v>
      </c>
      <c r="FK27" s="174" t="str">
        <f t="shared" ca="1" si="52"/>
        <v>na</v>
      </c>
      <c r="FL27" s="174" t="str">
        <f t="shared" ca="1" si="52"/>
        <v>na</v>
      </c>
      <c r="FM27" s="174" t="str">
        <f t="shared" ca="1" si="53"/>
        <v>na</v>
      </c>
    </row>
    <row r="28" spans="2:169">
      <c r="B28" s="181" t="s">
        <v>51</v>
      </c>
      <c r="C28" s="176"/>
      <c r="D28" s="177" t="s">
        <v>27</v>
      </c>
      <c r="E28" s="178" t="s">
        <v>22</v>
      </c>
      <c r="G28" s="168">
        <f t="shared" ca="1" si="1"/>
        <v>43482</v>
      </c>
      <c r="H28" s="289" t="str">
        <f t="shared" si="2"/>
        <v>Equity</v>
      </c>
      <c r="I28" s="170">
        <v>0</v>
      </c>
      <c r="J28" s="169">
        <v>0</v>
      </c>
      <c r="K28" s="170">
        <f t="shared" si="55"/>
        <v>0</v>
      </c>
      <c r="L28" s="147">
        <f t="shared" si="3"/>
        <v>0</v>
      </c>
      <c r="M28" s="170">
        <f t="shared" si="56"/>
        <v>0</v>
      </c>
      <c r="N28" s="147">
        <f t="shared" si="4"/>
        <v>0</v>
      </c>
      <c r="O28" s="147"/>
      <c r="P28" s="168">
        <f ca="1">R$60</f>
        <v>43847</v>
      </c>
      <c r="Q28" s="289" t="str">
        <f t="shared" si="5"/>
        <v>Equity</v>
      </c>
      <c r="R28" s="170">
        <v>0</v>
      </c>
      <c r="S28" s="170">
        <v>0</v>
      </c>
      <c r="T28" s="179">
        <v>0</v>
      </c>
      <c r="U28" s="170">
        <v>0</v>
      </c>
      <c r="V28" s="179">
        <v>0</v>
      </c>
      <c r="W28" s="170">
        <v>0</v>
      </c>
      <c r="X28" s="170">
        <v>0</v>
      </c>
      <c r="Y28" s="146">
        <f t="shared" si="7"/>
        <v>0</v>
      </c>
      <c r="Z28" s="149">
        <f>IF(AND('Cap Table'!R$62=0,W28&gt;0),U28/'Cap Table'!R$61,IFERROR(IF(U28=0,'Cap Table'!R$62*(1-T28),MIN('Cap Table'!R$62*(1-T28),U28/'Cap Table'!R$61)),0))</f>
        <v>0</v>
      </c>
      <c r="AA28" s="170">
        <f t="shared" si="79"/>
        <v>0</v>
      </c>
      <c r="AB28" s="170">
        <f ca="1">-AB27+'Cap Table'!R85+'Cap Table'!R86</f>
        <v>0</v>
      </c>
      <c r="AC28" s="146">
        <f t="shared" si="8"/>
        <v>0</v>
      </c>
      <c r="AD28" s="146">
        <f t="shared" ca="1" si="8"/>
        <v>0</v>
      </c>
      <c r="AE28" s="146">
        <f t="shared" ca="1" si="57"/>
        <v>0</v>
      </c>
      <c r="AF28" s="147">
        <f t="shared" ca="1" si="9"/>
        <v>0</v>
      </c>
      <c r="AG28" s="146">
        <f ca="1">AE28*'Cap Table'!R$62</f>
        <v>0</v>
      </c>
      <c r="AH28" s="146">
        <f ca="1">IFERROR(IF(OR(Q28='Cap Table'!$B$40,Q28='Cap Table'!$B$41,Q28='Cap Table'!$B$42),IF(SUM(S28)&lt;SUM(R28),(FV(V28/1,DATEDIF(P28,'Cap Table'!R$60,"y"),0,-R28))/(U28/'Cap Table'!$R$61),AE28),AE28),0)</f>
        <v>0</v>
      </c>
      <c r="AI28" s="147">
        <f t="shared" ca="1" si="10"/>
        <v>0</v>
      </c>
      <c r="AK28" s="168">
        <f ca="1">AM$60</f>
        <v>44213</v>
      </c>
      <c r="AL28" s="168" t="s">
        <v>448</v>
      </c>
      <c r="AM28" s="170">
        <v>0</v>
      </c>
      <c r="AN28" s="170">
        <f>IF('Cap Table'!AM$79&lt;&gt;"na",IF(Q28='Cap Table'!$B$40,R28-S28,0),0)</f>
        <v>0</v>
      </c>
      <c r="AO28" s="179">
        <v>0</v>
      </c>
      <c r="AP28" s="150">
        <v>0</v>
      </c>
      <c r="AQ28" s="180">
        <v>0</v>
      </c>
      <c r="AR28" s="170">
        <f ca="1">FV(AQ28/1,DATEDIF(AK28,'Cap Table'!AM$60,"y"),0,-AN28)</f>
        <v>0</v>
      </c>
      <c r="AS28" s="170">
        <f t="shared" ca="1" si="90"/>
        <v>0</v>
      </c>
      <c r="AT28" s="170">
        <f t="shared" ca="1" si="14"/>
        <v>0</v>
      </c>
      <c r="AU28" s="149">
        <f ca="1">IF(AND('Cap Table'!AM$62=0,AR28&gt;0),AP28/'Cap Table'!AM$61,IFERROR(IF(AP28=0,'Cap Table'!AM$62*(1-AO28),MIN('Cap Table'!AM$62*(1-AO28),AP28/'Cap Table'!AM$61)),0))</f>
        <v>0</v>
      </c>
      <c r="AV28" s="170">
        <f t="shared" ca="1" si="80"/>
        <v>0</v>
      </c>
      <c r="AW28" s="170">
        <f ca="1">-AW27+'Cap Table'!AM85+'Cap Table'!AM86</f>
        <v>0</v>
      </c>
      <c r="AX28" s="170">
        <f t="shared" ca="1" si="15"/>
        <v>0</v>
      </c>
      <c r="AY28" s="170">
        <f t="shared" ca="1" si="15"/>
        <v>0</v>
      </c>
      <c r="AZ28" s="170">
        <f t="shared" ca="1" si="60"/>
        <v>0</v>
      </c>
      <c r="BA28" s="179">
        <f t="shared" ca="1" si="16"/>
        <v>0</v>
      </c>
      <c r="BB28" s="170">
        <f ca="1">AZ28*'Cap Table'!AM$62</f>
        <v>0</v>
      </c>
      <c r="BC28" s="173">
        <f ca="1">IFERROR(IF(OR(AL28='Cap Table'!$B$40,AL28='Cap Table'!$B$41,AL28='Cap Table'!$B$42),IF(SUM(AN28,S28)&lt;SUM(AM28,R28),FV(MAX(AQ28,V28)/1,DATEDIF(AK28,'Cap Table'!$AM$60,"y"),0,-MAX(AM28,R28))/(MAX(AP28,U28)/'Cap Table'!$AM$61),AZ28),AZ28),0)</f>
        <v>0</v>
      </c>
      <c r="BD28" s="179">
        <f t="shared" ca="1" si="17"/>
        <v>0</v>
      </c>
      <c r="BF28" s="168">
        <f ca="1">BH$60</f>
        <v>44578</v>
      </c>
      <c r="BG28" s="168" t="s">
        <v>448</v>
      </c>
      <c r="BH28" s="170">
        <v>0</v>
      </c>
      <c r="BI28" s="170">
        <f>IF('Cap Table'!BH$79&lt;&gt;"na",IF(AL28='Cap Table'!$B$40,AM28-AN28,0),0)</f>
        <v>0</v>
      </c>
      <c r="BJ28" s="179">
        <v>0</v>
      </c>
      <c r="BK28" s="150">
        <v>0</v>
      </c>
      <c r="BL28" s="180">
        <v>0</v>
      </c>
      <c r="BM28" s="170">
        <f ca="1">FV(BL28/1,DATEDIF(BF28,'Cap Table'!BH$60,"y"),0,-BI28)</f>
        <v>0</v>
      </c>
      <c r="BN28" s="170">
        <f t="shared" ca="1" si="91"/>
        <v>0</v>
      </c>
      <c r="BO28" s="170">
        <f t="shared" ca="1" si="21"/>
        <v>0</v>
      </c>
      <c r="BP28" s="149">
        <f ca="1">IF(AND('Cap Table'!BH$62=0,BM28&gt;0),BK28/'Cap Table'!BH$61,IFERROR(IF(BK28=0,'Cap Table'!BH$62*(1-BJ28),MIN('Cap Table'!BH$62*(1-BJ28),BK28/'Cap Table'!BH$61)),0))</f>
        <v>0</v>
      </c>
      <c r="BQ28" s="170">
        <f t="shared" ca="1" si="81"/>
        <v>0</v>
      </c>
      <c r="BR28" s="170">
        <f ca="1">-BR27+'Cap Table'!BH85+'Cap Table'!BH86</f>
        <v>0</v>
      </c>
      <c r="BS28" s="170">
        <f t="shared" ca="1" si="22"/>
        <v>0</v>
      </c>
      <c r="BT28" s="170">
        <f t="shared" ca="1" si="22"/>
        <v>0</v>
      </c>
      <c r="BU28" s="170">
        <f t="shared" ca="1" si="63"/>
        <v>0</v>
      </c>
      <c r="BV28" s="179">
        <f t="shared" ca="1" si="23"/>
        <v>0</v>
      </c>
      <c r="BW28" s="170">
        <f ca="1">BU28*'Cap Table'!BH$62</f>
        <v>0</v>
      </c>
      <c r="BX28" s="173">
        <f ca="1">IFERROR(IF(OR(BG28='Cap Table'!$B$40,BG28='Cap Table'!$B$41,BG28='Cap Table'!$B$42),IF(SUM(BI28,AN28,S28)&lt;SUM(BH28,AM28,R28),FV(MAX(BL28,AQ28,V28)/1,DATEDIF(BF28,'Cap Table'!$BH$60,"y"),0,-MAX(BH28,AM28,R28))/(MAX(BK28,AP28,U28)/'Cap Table'!$BH$61),BU28),BU28),0)</f>
        <v>0</v>
      </c>
      <c r="BY28" s="179">
        <f t="shared" ca="1" si="24"/>
        <v>0</v>
      </c>
      <c r="CA28" s="168">
        <f ca="1">CC$60</f>
        <v>44943</v>
      </c>
      <c r="CB28" s="168" t="s">
        <v>448</v>
      </c>
      <c r="CC28" s="170">
        <v>0</v>
      </c>
      <c r="CD28" s="170">
        <f>IF('Cap Table'!CC$79&lt;&gt;"na",IF(BG28='Cap Table'!$B$40,BH28-BI28,0),0)</f>
        <v>0</v>
      </c>
      <c r="CE28" s="179">
        <v>0</v>
      </c>
      <c r="CF28" s="150">
        <v>0</v>
      </c>
      <c r="CG28" s="180">
        <v>0</v>
      </c>
      <c r="CH28" s="170">
        <f ca="1">FV(CG28/1,DATEDIF(CA28,'Cap Table'!CC$60,"y"),0,-CD28)</f>
        <v>0</v>
      </c>
      <c r="CI28" s="170">
        <f t="shared" ca="1" si="92"/>
        <v>0</v>
      </c>
      <c r="CJ28" s="170">
        <f t="shared" ca="1" si="28"/>
        <v>0</v>
      </c>
      <c r="CK28" s="149">
        <f ca="1">IF(AND('Cap Table'!CC$62=0,CH28&gt;0),CF28/'Cap Table'!CC$61,IFERROR(IF(CF28=0,'Cap Table'!CC$62*(1-CE28),MIN('Cap Table'!CC$62*(1-CE28),CF28/'Cap Table'!CC$61)),0))</f>
        <v>0</v>
      </c>
      <c r="CL28" s="170">
        <f t="shared" ca="1" si="82"/>
        <v>0</v>
      </c>
      <c r="CM28" s="170">
        <f ca="1">-CM27+'Cap Table'!CC85+'Cap Table'!CC86</f>
        <v>0</v>
      </c>
      <c r="CN28" s="170">
        <f t="shared" ca="1" si="29"/>
        <v>0</v>
      </c>
      <c r="CO28" s="170">
        <f t="shared" ca="1" si="29"/>
        <v>0</v>
      </c>
      <c r="CP28" s="170">
        <f t="shared" ca="1" si="66"/>
        <v>0</v>
      </c>
      <c r="CQ28" s="147">
        <f t="shared" ca="1" si="30"/>
        <v>0</v>
      </c>
      <c r="CR28" s="146">
        <f ca="1">CP28*'Cap Table'!CC$62</f>
        <v>0</v>
      </c>
      <c r="CS28" s="173">
        <f ca="1">IFERROR(IF(OR(CB28='Cap Table'!$B$40,CB28='Cap Table'!$B$41,CB28='Cap Table'!$B$42),IF(SUM(CD28,BI28,AN28,S28)&lt;SUM(CC28,BH28,AM28,R28),FV(MAX(CG28,BL28,AQ28,V28)/1,DATEDIF(CA28,'Cap Table'!$CC$60,"y"),0,-MAX(CC28,BH28,AM28,R28))/(MAX(CF28,BK28,AP28,U28)/'Cap Table'!$CC$61),CP28),CP28),0)</f>
        <v>0</v>
      </c>
      <c r="CT28" s="179">
        <f t="shared" ca="1" si="31"/>
        <v>0</v>
      </c>
      <c r="CV28" s="168">
        <f ca="1">CX$60</f>
        <v>45308</v>
      </c>
      <c r="CW28" s="168" t="s">
        <v>448</v>
      </c>
      <c r="CX28" s="170">
        <v>0</v>
      </c>
      <c r="CY28" s="170">
        <f>IF('Cap Table'!CX$79&lt;&gt;"na",IF(CB28='Cap Table'!$B$40,CC28-CD28,0),0)</f>
        <v>0</v>
      </c>
      <c r="CZ28" s="179">
        <v>0</v>
      </c>
      <c r="DA28" s="150">
        <v>0</v>
      </c>
      <c r="DB28" s="180">
        <v>0</v>
      </c>
      <c r="DC28" s="170">
        <f ca="1">FV(DB28/1,DATEDIF(CV28,'Cap Table'!CX$60,"y"),0,-CY28)</f>
        <v>0</v>
      </c>
      <c r="DD28" s="170">
        <f t="shared" ca="1" si="93"/>
        <v>0</v>
      </c>
      <c r="DE28" s="170">
        <f t="shared" ca="1" si="35"/>
        <v>0</v>
      </c>
      <c r="DF28" s="149">
        <f ca="1">IF(AND('Cap Table'!CX$62=0,DC28&gt;0),DA28/'Cap Table'!CX$61,IFERROR(IF(DA28=0,'Cap Table'!CX$62*(1-CZ28),MIN('Cap Table'!CX$62*(1-CZ28),DA28/'Cap Table'!CX$61)),0))</f>
        <v>0</v>
      </c>
      <c r="DG28" s="170">
        <f t="shared" ca="1" si="83"/>
        <v>0</v>
      </c>
      <c r="DH28" s="170">
        <f ca="1">-DH27+'Cap Table'!CX85+'Cap Table'!CX86</f>
        <v>0</v>
      </c>
      <c r="DI28" s="170">
        <f t="shared" ca="1" si="36"/>
        <v>0</v>
      </c>
      <c r="DJ28" s="170">
        <f t="shared" ca="1" si="36"/>
        <v>0</v>
      </c>
      <c r="DK28" s="170">
        <f t="shared" ca="1" si="69"/>
        <v>0</v>
      </c>
      <c r="DL28" s="179">
        <f t="shared" ca="1" si="37"/>
        <v>0</v>
      </c>
      <c r="DM28" s="146">
        <f ca="1">DK28*'Cap Table'!CX$62</f>
        <v>0</v>
      </c>
      <c r="DN28" s="173">
        <f ca="1">IFERROR(IF(OR(CW28='Cap Table'!$B$40,CW28='Cap Table'!$B$41,CW28='Cap Table'!$B$42),IF(SUM(CY28,CD28,BI28,AN28,S28,)&lt;SUM(CX28,CC28,BH28,AM28,R28),FV(MAX(DB28,CG28,BL28,AQ28,V28)/1,DATEDIF(CV28,'Cap Table'!$CX$60,"y"),0,-MAX(CX28,CC28,BH28,AM28,R28))/(MAX(DA28,CF28,BK28,AP28,U28,)/'Cap Table'!$CX$61),DK28),DK28),0)</f>
        <v>0</v>
      </c>
      <c r="DO28" s="179">
        <f t="shared" ca="1" si="38"/>
        <v>0</v>
      </c>
      <c r="DQ28" s="168">
        <f ca="1">DS$60</f>
        <v>45674</v>
      </c>
      <c r="DR28" s="168" t="s">
        <v>448</v>
      </c>
      <c r="DS28" s="170">
        <v>0</v>
      </c>
      <c r="DT28" s="170">
        <f>IF('Cap Table'!DS$79&lt;&gt;"na",IF(CW28='Cap Table'!$B$40,CX28-CY28,0),0)</f>
        <v>0</v>
      </c>
      <c r="DU28" s="179">
        <v>0</v>
      </c>
      <c r="DV28" s="150">
        <v>0</v>
      </c>
      <c r="DW28" s="180">
        <v>0</v>
      </c>
      <c r="DX28" s="170">
        <f ca="1">FV(DW28/1,DATEDIF(DQ28,'Cap Table'!DS$60,"y"),0,-DT28)</f>
        <v>0</v>
      </c>
      <c r="DY28" s="170">
        <f t="shared" ca="1" si="94"/>
        <v>0</v>
      </c>
      <c r="DZ28" s="170">
        <f t="shared" ca="1" si="42"/>
        <v>0</v>
      </c>
      <c r="EA28" s="149">
        <f ca="1">IF(AND('Cap Table'!DS$62=0,DX28&gt;0),DV28/'Cap Table'!DS$61,IFERROR(IF(DV28=0,'Cap Table'!DS$62*(1-DU28),MIN('Cap Table'!DS$62*(1-DU28),DV28/'Cap Table'!DS$61)),0))</f>
        <v>0</v>
      </c>
      <c r="EB28" s="170">
        <f t="shared" ca="1" si="84"/>
        <v>0</v>
      </c>
      <c r="EC28" s="170">
        <f ca="1">-EC27+'Cap Table'!DS85+'Cap Table'!DS86</f>
        <v>0</v>
      </c>
      <c r="ED28" s="170">
        <f t="shared" ca="1" si="72"/>
        <v>0</v>
      </c>
      <c r="EE28" s="170">
        <f ca="1">EC28+DJ28</f>
        <v>0</v>
      </c>
      <c r="EF28" s="170">
        <f t="shared" ca="1" si="73"/>
        <v>0</v>
      </c>
      <c r="EG28" s="179">
        <f t="shared" ca="1" si="44"/>
        <v>0</v>
      </c>
      <c r="EH28" s="170">
        <f ca="1">EF28*'Cap Table'!DS$62</f>
        <v>0</v>
      </c>
      <c r="EI28" s="173">
        <f ca="1">IFERROR(IF(OR(DR28='Cap Table'!$B$40,DR28='Cap Table'!$B$41,DR28='Cap Table'!$B$42),IF(SUM(DT28,CY28,CD28,BI28,AN28,S28)&lt;SUM(DS28,CX28,CC28,BH28,AM28,R28),FV(MAX(DW28,DB28,CG28,BL28,AQ28,V28)/1,DATEDIF(DQ28,'Cap Table'!DS$60,"y"),0,-MAX(DS28,CX28,CC28,BH28,AM28,R28))/(MAX(DV28,DA28,CF28,BK28,AP28,U28)/'Cap Table'!$DS$61),EF28),EF28),0)</f>
        <v>0</v>
      </c>
      <c r="EJ28" s="179">
        <f t="shared" ca="1" si="45"/>
        <v>0</v>
      </c>
      <c r="EL28" s="146">
        <f t="shared" si="74"/>
        <v>0</v>
      </c>
      <c r="EM28" s="146">
        <f t="shared" si="74"/>
        <v>0</v>
      </c>
      <c r="EN28" s="174" t="s">
        <v>27</v>
      </c>
      <c r="EO28" s="174" t="s">
        <v>27</v>
      </c>
      <c r="EP28" s="174" t="s">
        <v>27</v>
      </c>
      <c r="EQ28" s="146">
        <f t="shared" ca="1" si="75"/>
        <v>0</v>
      </c>
      <c r="ER28" s="146">
        <f t="shared" ca="1" si="75"/>
        <v>0</v>
      </c>
      <c r="ES28" s="146">
        <f t="shared" ca="1" si="75"/>
        <v>0</v>
      </c>
      <c r="ET28" s="149">
        <f t="shared" ca="1" si="89"/>
        <v>0</v>
      </c>
      <c r="EU28" s="146">
        <f t="shared" ca="1" si="76"/>
        <v>0</v>
      </c>
      <c r="EV28" s="146">
        <f t="shared" ca="1" si="76"/>
        <v>0</v>
      </c>
      <c r="EW28" s="146">
        <f t="shared" ca="1" si="77"/>
        <v>0</v>
      </c>
      <c r="EX28" s="146">
        <f t="shared" ca="1" si="77"/>
        <v>0</v>
      </c>
      <c r="EY28" s="146">
        <f t="shared" ca="1" si="77"/>
        <v>0</v>
      </c>
      <c r="EZ28" s="147">
        <f t="shared" ca="1" si="46"/>
        <v>0</v>
      </c>
      <c r="FA28" s="146">
        <f t="shared" ca="1" si="78"/>
        <v>0</v>
      </c>
      <c r="FB28" s="146">
        <f t="shared" ca="1" si="78"/>
        <v>0</v>
      </c>
      <c r="FC28" s="147">
        <f t="shared" ca="1" si="47"/>
        <v>0</v>
      </c>
      <c r="FE28" s="149" t="str">
        <f t="shared" si="0"/>
        <v>Options</v>
      </c>
      <c r="FF28" s="146">
        <f t="shared" ca="1" si="48"/>
        <v>0</v>
      </c>
      <c r="FG28" s="146">
        <f t="shared" ca="1" si="49"/>
        <v>0</v>
      </c>
      <c r="FH28" s="146">
        <f t="shared" ca="1" si="50"/>
        <v>0</v>
      </c>
      <c r="FJ28" s="146" t="str">
        <f t="shared" si="51"/>
        <v>Options</v>
      </c>
      <c r="FK28" s="174" t="str">
        <f t="shared" ca="1" si="52"/>
        <v>na</v>
      </c>
      <c r="FL28" s="174" t="str">
        <f t="shared" ca="1" si="52"/>
        <v>na</v>
      </c>
      <c r="FM28" s="174" t="str">
        <f t="shared" ca="1" si="53"/>
        <v>na</v>
      </c>
    </row>
    <row r="29" spans="2:169">
      <c r="B29" s="176" t="s">
        <v>20</v>
      </c>
      <c r="C29" s="176"/>
      <c r="D29" s="151"/>
      <c r="E29" s="182"/>
      <c r="G29" s="182"/>
      <c r="H29" s="182"/>
      <c r="I29" s="183">
        <f t="shared" ref="I29:N29" si="95">SUM(I6:I28)</f>
        <v>0</v>
      </c>
      <c r="J29" s="183">
        <f t="shared" si="95"/>
        <v>0</v>
      </c>
      <c r="K29" s="183">
        <f t="shared" si="95"/>
        <v>0</v>
      </c>
      <c r="L29" s="152">
        <f t="shared" si="95"/>
        <v>0</v>
      </c>
      <c r="M29" s="183">
        <f t="shared" si="95"/>
        <v>0</v>
      </c>
      <c r="N29" s="152">
        <f t="shared" si="95"/>
        <v>0</v>
      </c>
      <c r="O29" s="148"/>
      <c r="P29" s="182"/>
      <c r="Q29" s="182"/>
      <c r="R29" s="183">
        <f>SUM(R6:R28)</f>
        <v>0</v>
      </c>
      <c r="S29" s="183">
        <f>SUM(S6:S28)</f>
        <v>0</v>
      </c>
      <c r="T29" s="151"/>
      <c r="U29" s="151"/>
      <c r="V29" s="151"/>
      <c r="W29" s="183">
        <f ca="1">SUM(W6:W28)</f>
        <v>0</v>
      </c>
      <c r="X29" s="183">
        <f ca="1">SUM(X6:X28)</f>
        <v>0</v>
      </c>
      <c r="Y29" s="183">
        <f ca="1">SUM(Y6:Y28)</f>
        <v>0</v>
      </c>
      <c r="Z29" s="151">
        <f ca="1">IFERROR(Y29/AA29,0)</f>
        <v>0</v>
      </c>
      <c r="AA29" s="183">
        <f t="shared" ref="AA29:AI29" ca="1" si="96">SUM(AA6:AA28)</f>
        <v>0</v>
      </c>
      <c r="AB29" s="183">
        <f t="shared" ca="1" si="96"/>
        <v>0</v>
      </c>
      <c r="AC29" s="183">
        <f t="shared" ca="1" si="96"/>
        <v>0</v>
      </c>
      <c r="AD29" s="183">
        <f t="shared" ca="1" si="96"/>
        <v>0</v>
      </c>
      <c r="AE29" s="183">
        <f t="shared" ca="1" si="96"/>
        <v>0</v>
      </c>
      <c r="AF29" s="152">
        <f t="shared" ca="1" si="96"/>
        <v>0</v>
      </c>
      <c r="AG29" s="183">
        <f t="shared" ca="1" si="96"/>
        <v>0</v>
      </c>
      <c r="AH29" s="183">
        <f t="shared" ca="1" si="96"/>
        <v>0</v>
      </c>
      <c r="AI29" s="152">
        <f t="shared" ca="1" si="96"/>
        <v>0</v>
      </c>
      <c r="AK29" s="182"/>
      <c r="AL29" s="182"/>
      <c r="AM29" s="183">
        <f>SUM(AM6:AM28)</f>
        <v>0</v>
      </c>
      <c r="AN29" s="183">
        <f>SUM(AN6:AN28)</f>
        <v>0</v>
      </c>
      <c r="AO29" s="151"/>
      <c r="AP29" s="151"/>
      <c r="AQ29" s="151"/>
      <c r="AR29" s="183">
        <f ca="1">SUM(AR6:AR28)</f>
        <v>0</v>
      </c>
      <c r="AS29" s="183">
        <f ca="1">SUM(AS6:AS28)</f>
        <v>0</v>
      </c>
      <c r="AT29" s="183">
        <f ca="1">SUM(AT6:AT28)</f>
        <v>0</v>
      </c>
      <c r="AU29" s="151">
        <f ca="1">IFERROR(AT29/AV29,0)</f>
        <v>0</v>
      </c>
      <c r="AV29" s="183">
        <f t="shared" ref="AV29:BD29" ca="1" si="97">SUM(AV6:AV28)</f>
        <v>0</v>
      </c>
      <c r="AW29" s="183">
        <f t="shared" ca="1" si="97"/>
        <v>0</v>
      </c>
      <c r="AX29" s="183">
        <f t="shared" ca="1" si="97"/>
        <v>0</v>
      </c>
      <c r="AY29" s="183">
        <f t="shared" ca="1" si="97"/>
        <v>0</v>
      </c>
      <c r="AZ29" s="183">
        <f t="shared" ca="1" si="97"/>
        <v>0</v>
      </c>
      <c r="BA29" s="152">
        <f t="shared" ca="1" si="97"/>
        <v>0</v>
      </c>
      <c r="BB29" s="183">
        <f t="shared" ca="1" si="97"/>
        <v>0</v>
      </c>
      <c r="BC29" s="183">
        <f t="shared" ca="1" si="97"/>
        <v>0</v>
      </c>
      <c r="BD29" s="152">
        <f t="shared" ca="1" si="97"/>
        <v>0</v>
      </c>
      <c r="BF29" s="182"/>
      <c r="BG29" s="182"/>
      <c r="BH29" s="183">
        <f>SUM(BH6:BH28)</f>
        <v>0</v>
      </c>
      <c r="BI29" s="183">
        <f>SUM(BI6:BI28)</f>
        <v>0</v>
      </c>
      <c r="BJ29" s="151"/>
      <c r="BK29" s="151"/>
      <c r="BL29" s="151"/>
      <c r="BM29" s="183">
        <f ca="1">SUM(BM6:BM28)</f>
        <v>0</v>
      </c>
      <c r="BN29" s="183">
        <f ca="1">SUM(BN6:BN28)</f>
        <v>0</v>
      </c>
      <c r="BO29" s="183">
        <f ca="1">SUM(BO6:BO28)</f>
        <v>0</v>
      </c>
      <c r="BP29" s="151">
        <f ca="1">IFERROR(BO29/BQ29,0)</f>
        <v>0</v>
      </c>
      <c r="BQ29" s="183">
        <f t="shared" ref="BQ29:BY29" ca="1" si="98">SUM(BQ6:BQ28)</f>
        <v>0</v>
      </c>
      <c r="BR29" s="183">
        <f t="shared" ca="1" si="98"/>
        <v>0</v>
      </c>
      <c r="BS29" s="183">
        <f t="shared" ca="1" si="98"/>
        <v>0</v>
      </c>
      <c r="BT29" s="183">
        <f t="shared" ca="1" si="98"/>
        <v>0</v>
      </c>
      <c r="BU29" s="183">
        <f t="shared" ca="1" si="98"/>
        <v>0</v>
      </c>
      <c r="BV29" s="152">
        <f t="shared" ca="1" si="98"/>
        <v>0</v>
      </c>
      <c r="BW29" s="183">
        <f t="shared" ca="1" si="98"/>
        <v>0</v>
      </c>
      <c r="BX29" s="183">
        <f t="shared" ca="1" si="98"/>
        <v>0</v>
      </c>
      <c r="BY29" s="152">
        <f t="shared" ca="1" si="98"/>
        <v>0</v>
      </c>
      <c r="CA29" s="182"/>
      <c r="CB29" s="182"/>
      <c r="CC29" s="183">
        <f>SUM(CC6:CC28)</f>
        <v>0</v>
      </c>
      <c r="CD29" s="183">
        <f>SUM(CD6:CD28)</f>
        <v>0</v>
      </c>
      <c r="CE29" s="151"/>
      <c r="CF29" s="151"/>
      <c r="CG29" s="151"/>
      <c r="CH29" s="183">
        <f ca="1">SUM(CH6:CH28)</f>
        <v>0</v>
      </c>
      <c r="CI29" s="183">
        <f ca="1">SUM(CI6:CI28)</f>
        <v>0</v>
      </c>
      <c r="CJ29" s="183">
        <f ca="1">SUM(CJ6:CJ28)</f>
        <v>0</v>
      </c>
      <c r="CK29" s="151">
        <f ca="1">IFERROR(CJ29/CL29,0)</f>
        <v>0</v>
      </c>
      <c r="CL29" s="183">
        <f t="shared" ref="CL29:CT29" ca="1" si="99">SUM(CL6:CL28)</f>
        <v>0</v>
      </c>
      <c r="CM29" s="183">
        <f t="shared" ca="1" si="99"/>
        <v>0</v>
      </c>
      <c r="CN29" s="183">
        <f t="shared" ca="1" si="99"/>
        <v>0</v>
      </c>
      <c r="CO29" s="183">
        <f t="shared" ca="1" si="99"/>
        <v>0</v>
      </c>
      <c r="CP29" s="183">
        <f t="shared" ca="1" si="99"/>
        <v>0</v>
      </c>
      <c r="CQ29" s="152">
        <f t="shared" ca="1" si="99"/>
        <v>0</v>
      </c>
      <c r="CR29" s="183">
        <f t="shared" ca="1" si="99"/>
        <v>0</v>
      </c>
      <c r="CS29" s="183">
        <f t="shared" ca="1" si="99"/>
        <v>0</v>
      </c>
      <c r="CT29" s="152">
        <f t="shared" ca="1" si="99"/>
        <v>0</v>
      </c>
      <c r="CV29" s="182"/>
      <c r="CW29" s="182"/>
      <c r="CX29" s="183">
        <f>SUM(CX6:CX28)</f>
        <v>0</v>
      </c>
      <c r="CY29" s="183">
        <f>SUM(CY6:CY28)</f>
        <v>0</v>
      </c>
      <c r="CZ29" s="151"/>
      <c r="DA29" s="151"/>
      <c r="DB29" s="151"/>
      <c r="DC29" s="183">
        <f ca="1">SUM(DC6:DC28)</f>
        <v>0</v>
      </c>
      <c r="DD29" s="183">
        <f ca="1">SUM(DD6:DD28)</f>
        <v>0</v>
      </c>
      <c r="DE29" s="183">
        <f ca="1">SUM(DE6:DE28)</f>
        <v>0</v>
      </c>
      <c r="DF29" s="151">
        <f ca="1">IFERROR(DE29/DG29,0)</f>
        <v>0</v>
      </c>
      <c r="DG29" s="183">
        <f t="shared" ref="DG29:DO29" ca="1" si="100">SUM(DG6:DG28)</f>
        <v>0</v>
      </c>
      <c r="DH29" s="183">
        <f t="shared" ca="1" si="100"/>
        <v>0</v>
      </c>
      <c r="DI29" s="183">
        <f t="shared" ca="1" si="100"/>
        <v>0</v>
      </c>
      <c r="DJ29" s="183">
        <f t="shared" ca="1" si="100"/>
        <v>0</v>
      </c>
      <c r="DK29" s="183">
        <f t="shared" ca="1" si="100"/>
        <v>0</v>
      </c>
      <c r="DL29" s="152">
        <f t="shared" ca="1" si="100"/>
        <v>0</v>
      </c>
      <c r="DM29" s="183">
        <f t="shared" ca="1" si="100"/>
        <v>0</v>
      </c>
      <c r="DN29" s="183">
        <f t="shared" ca="1" si="100"/>
        <v>0</v>
      </c>
      <c r="DO29" s="152">
        <f t="shared" ca="1" si="100"/>
        <v>0</v>
      </c>
      <c r="DQ29" s="182"/>
      <c r="DR29" s="182"/>
      <c r="DS29" s="183">
        <f>SUM(DS6:DS28)</f>
        <v>0</v>
      </c>
      <c r="DT29" s="183">
        <f>SUM(DT6:DT28)</f>
        <v>0</v>
      </c>
      <c r="DU29" s="151"/>
      <c r="DV29" s="151"/>
      <c r="DW29" s="151"/>
      <c r="DX29" s="183">
        <f ca="1">SUM(DX6:DX28)</f>
        <v>0</v>
      </c>
      <c r="DY29" s="183">
        <f ca="1">SUM(DY6:DY28)</f>
        <v>0</v>
      </c>
      <c r="DZ29" s="183">
        <f ca="1">SUM(DZ6:DZ28)</f>
        <v>0</v>
      </c>
      <c r="EA29" s="151">
        <f ca="1">IFERROR(DZ29/EB29,0)</f>
        <v>0</v>
      </c>
      <c r="EB29" s="183">
        <f t="shared" ref="EB29:EJ29" ca="1" si="101">SUM(EB6:EB28)</f>
        <v>0</v>
      </c>
      <c r="EC29" s="183">
        <f t="shared" ca="1" si="101"/>
        <v>0</v>
      </c>
      <c r="ED29" s="183">
        <f t="shared" ca="1" si="101"/>
        <v>0</v>
      </c>
      <c r="EE29" s="183">
        <f t="shared" ca="1" si="101"/>
        <v>0</v>
      </c>
      <c r="EF29" s="183">
        <f t="shared" ca="1" si="101"/>
        <v>0</v>
      </c>
      <c r="EG29" s="152">
        <f t="shared" ca="1" si="101"/>
        <v>0</v>
      </c>
      <c r="EH29" s="183">
        <f t="shared" ca="1" si="101"/>
        <v>0</v>
      </c>
      <c r="EI29" s="183">
        <f t="shared" ca="1" si="101"/>
        <v>0</v>
      </c>
      <c r="EJ29" s="152">
        <f t="shared" ca="1" si="101"/>
        <v>0</v>
      </c>
      <c r="EL29" s="183">
        <f>SUM(EL6:EL28)</f>
        <v>0</v>
      </c>
      <c r="EM29" s="183">
        <f>SUM(EM6:EM28)</f>
        <v>0</v>
      </c>
      <c r="EN29" s="151"/>
      <c r="EO29" s="151"/>
      <c r="EP29" s="151"/>
      <c r="EQ29" s="183">
        <f ca="1">SUM(EQ6:EQ28)</f>
        <v>0</v>
      </c>
      <c r="ER29" s="183">
        <f ca="1">SUM(ER6:ER28)</f>
        <v>0</v>
      </c>
      <c r="ES29" s="183">
        <f ca="1">SUM(ES6:ES28)</f>
        <v>0</v>
      </c>
      <c r="ET29" s="151">
        <f t="shared" ca="1" si="89"/>
        <v>0</v>
      </c>
      <c r="EU29" s="183">
        <f ca="1">SUM(EU6:EU28)</f>
        <v>0</v>
      </c>
      <c r="EV29" s="183">
        <f ca="1">SUM(EV6:EV28)</f>
        <v>0</v>
      </c>
      <c r="EW29" s="183">
        <f ca="1">SUM(EW6:EW28)</f>
        <v>0</v>
      </c>
      <c r="EX29" s="183">
        <f ca="1">SUM(EX6:EX28)</f>
        <v>0</v>
      </c>
      <c r="EY29" s="183">
        <f ca="1">SUM(EY6:EY28)</f>
        <v>0</v>
      </c>
      <c r="EZ29" s="152">
        <f t="shared" ca="1" si="46"/>
        <v>0</v>
      </c>
      <c r="FA29" s="183">
        <f ca="1">SUM(FA6:FA28)</f>
        <v>0</v>
      </c>
      <c r="FB29" s="183">
        <f ca="1">SUM(FB6:FB28)</f>
        <v>0</v>
      </c>
      <c r="FC29" s="152">
        <f t="shared" ca="1" si="47"/>
        <v>0</v>
      </c>
      <c r="FF29" s="183">
        <f ca="1">SUM(FF6:FF28)</f>
        <v>0</v>
      </c>
      <c r="FG29" s="183">
        <f ca="1">SUM(FG6:FG28)</f>
        <v>0</v>
      </c>
      <c r="FH29" s="183">
        <f ca="1">SUM(FH6:FH28)</f>
        <v>0</v>
      </c>
      <c r="FK29" s="183">
        <f ca="1">SUM(FK6:FK28)</f>
        <v>0</v>
      </c>
      <c r="FL29" s="183">
        <f ca="1">SUM(FL6:FL28)</f>
        <v>0</v>
      </c>
      <c r="FM29" s="183">
        <f ca="1">SUM(FM6:FM28)</f>
        <v>0</v>
      </c>
    </row>
    <row r="30" spans="2:169">
      <c r="B30" s="176"/>
      <c r="C30" s="176"/>
      <c r="D30" s="176"/>
      <c r="BF30" s="155"/>
      <c r="BG30" s="155"/>
      <c r="CA30" s="155"/>
      <c r="CB30" s="155"/>
      <c r="CV30" s="155"/>
      <c r="CW30" s="155"/>
      <c r="DQ30" s="155"/>
      <c r="DR30" s="155"/>
    </row>
    <row r="31" spans="2:169">
      <c r="B31" s="184" t="str">
        <f>'Cap Table'!D61&amp;" Class"</f>
        <v>Share Class</v>
      </c>
      <c r="C31" s="176"/>
      <c r="D31" s="176"/>
      <c r="BF31" s="155"/>
      <c r="BG31" s="155"/>
      <c r="CA31" s="155"/>
      <c r="CB31" s="155"/>
      <c r="CV31" s="155"/>
      <c r="CW31" s="155"/>
      <c r="DQ31" s="155"/>
      <c r="DR31" s="155"/>
    </row>
    <row r="32" spans="2:169">
      <c r="B32" s="185" t="s">
        <v>21</v>
      </c>
      <c r="C32" s="176"/>
      <c r="D32" s="177" t="s">
        <v>27</v>
      </c>
      <c r="E32" s="177" t="str">
        <f>B32</f>
        <v>Common</v>
      </c>
      <c r="G32" s="155" t="s">
        <v>27</v>
      </c>
      <c r="H32" s="155" t="s">
        <v>27</v>
      </c>
      <c r="I32" s="186">
        <f t="shared" ref="I32:K35" si="102">SUMIFS(I$6:I$28,$E$6:$E$28,$B32)</f>
        <v>0</v>
      </c>
      <c r="J32" s="186">
        <f t="shared" si="102"/>
        <v>0</v>
      </c>
      <c r="K32" s="186">
        <f t="shared" si="102"/>
        <v>0</v>
      </c>
      <c r="L32" s="147">
        <f>IFERROR(K32/K$29,0)</f>
        <v>0</v>
      </c>
      <c r="M32" s="186">
        <f>SUMIFS(M$6:M$28,$E$6:$E$28,$B32)</f>
        <v>0</v>
      </c>
      <c r="N32" s="147">
        <f>IFERROR(M32/M$29,0)</f>
        <v>0</v>
      </c>
      <c r="P32" s="155" t="s">
        <v>27</v>
      </c>
      <c r="Q32" s="155" t="s">
        <v>27</v>
      </c>
      <c r="R32" s="186">
        <f t="shared" ref="R32:S35" si="103">SUMIFS(R$6:R$28,$E$6:$E$28,$B32)</f>
        <v>0</v>
      </c>
      <c r="S32" s="186">
        <f t="shared" si="103"/>
        <v>0</v>
      </c>
      <c r="T32" s="187" t="s">
        <v>27</v>
      </c>
      <c r="U32" s="187" t="s">
        <v>27</v>
      </c>
      <c r="V32" s="187" t="s">
        <v>27</v>
      </c>
      <c r="W32" s="186">
        <f t="shared" ref="W32:Y35" ca="1" si="104">SUMIFS(W$6:W$28,$E$6:$E$28,$B32)</f>
        <v>0</v>
      </c>
      <c r="X32" s="186">
        <f t="shared" ca="1" si="104"/>
        <v>0</v>
      </c>
      <c r="Y32" s="186">
        <f t="shared" ca="1" si="104"/>
        <v>0</v>
      </c>
      <c r="Z32" s="149">
        <f ca="1">IFERROR(Y32/AA32,0)</f>
        <v>0</v>
      </c>
      <c r="AA32" s="186">
        <f t="shared" ref="AA32:AE35" ca="1" si="105">SUMIFS(AA$6:AA$28,$E$6:$E$28,$B32)</f>
        <v>0</v>
      </c>
      <c r="AB32" s="186">
        <f t="shared" si="105"/>
        <v>0</v>
      </c>
      <c r="AC32" s="186">
        <f t="shared" ca="1" si="105"/>
        <v>0</v>
      </c>
      <c r="AD32" s="186">
        <f t="shared" si="105"/>
        <v>0</v>
      </c>
      <c r="AE32" s="186">
        <f t="shared" ca="1" si="105"/>
        <v>0</v>
      </c>
      <c r="AF32" s="147">
        <f ca="1">IFERROR(AE32/AE$29,0)</f>
        <v>0</v>
      </c>
      <c r="AG32" s="186">
        <f t="shared" ref="AG32:AH35" ca="1" si="106">SUMIFS(AG$6:AG$28,$E$6:$E$28,$B32)</f>
        <v>0</v>
      </c>
      <c r="AH32" s="186">
        <f t="shared" ca="1" si="106"/>
        <v>0</v>
      </c>
      <c r="AI32" s="147">
        <f ca="1">IFERROR(AH32/AH$29,0)</f>
        <v>0</v>
      </c>
      <c r="AK32" s="155" t="s">
        <v>27</v>
      </c>
      <c r="AL32" s="155" t="s">
        <v>27</v>
      </c>
      <c r="AM32" s="186">
        <f t="shared" ref="AM32:AN35" si="107">SUMIFS(AM$6:AM$28,$E$6:$E$28,$B32)</f>
        <v>0</v>
      </c>
      <c r="AN32" s="186">
        <f t="shared" si="107"/>
        <v>0</v>
      </c>
      <c r="AO32" s="187" t="s">
        <v>27</v>
      </c>
      <c r="AP32" s="187" t="s">
        <v>27</v>
      </c>
      <c r="AQ32" s="187" t="s">
        <v>27</v>
      </c>
      <c r="AR32" s="186">
        <f t="shared" ref="AR32:AT35" ca="1" si="108">SUMIFS(AR$6:AR$28,$E$6:$E$28,$B32)</f>
        <v>0</v>
      </c>
      <c r="AS32" s="186">
        <f t="shared" ca="1" si="108"/>
        <v>0</v>
      </c>
      <c r="AT32" s="186">
        <f t="shared" ca="1" si="108"/>
        <v>0</v>
      </c>
      <c r="AU32" s="149">
        <f ca="1">IFERROR(AT32/AV32,0)</f>
        <v>0</v>
      </c>
      <c r="AV32" s="186">
        <f t="shared" ref="AV32:AZ35" ca="1" si="109">SUMIFS(AV$6:AV$28,$E$6:$E$28,$B32)</f>
        <v>0</v>
      </c>
      <c r="AW32" s="186">
        <f t="shared" si="109"/>
        <v>0</v>
      </c>
      <c r="AX32" s="186">
        <f t="shared" ca="1" si="109"/>
        <v>0</v>
      </c>
      <c r="AY32" s="186">
        <f t="shared" si="109"/>
        <v>0</v>
      </c>
      <c r="AZ32" s="186">
        <f t="shared" ca="1" si="109"/>
        <v>0</v>
      </c>
      <c r="BA32" s="147">
        <f ca="1">IFERROR(AZ32/AZ$29,0)</f>
        <v>0</v>
      </c>
      <c r="BB32" s="186">
        <f t="shared" ref="BB32:BC35" ca="1" si="110">SUMIFS(BB$6:BB$28,$E$6:$E$28,$B32)</f>
        <v>0</v>
      </c>
      <c r="BC32" s="186">
        <f t="shared" ca="1" si="110"/>
        <v>0</v>
      </c>
      <c r="BD32" s="147">
        <f ca="1">IFERROR(BC32/BC$29,0)</f>
        <v>0</v>
      </c>
      <c r="BF32" s="155" t="s">
        <v>27</v>
      </c>
      <c r="BG32" s="155" t="s">
        <v>27</v>
      </c>
      <c r="BH32" s="186">
        <f t="shared" ref="BH32:BI35" si="111">SUMIFS(BH$6:BH$28,$E$6:$E$28,$B32)</f>
        <v>0</v>
      </c>
      <c r="BI32" s="186">
        <f t="shared" si="111"/>
        <v>0</v>
      </c>
      <c r="BJ32" s="187" t="s">
        <v>27</v>
      </c>
      <c r="BK32" s="187" t="s">
        <v>27</v>
      </c>
      <c r="BL32" s="187" t="s">
        <v>27</v>
      </c>
      <c r="BM32" s="186">
        <f t="shared" ref="BM32:BO35" ca="1" si="112">SUMIFS(BM$6:BM$28,$E$6:$E$28,$B32)</f>
        <v>0</v>
      </c>
      <c r="BN32" s="186">
        <f t="shared" ca="1" si="112"/>
        <v>0</v>
      </c>
      <c r="BO32" s="186">
        <f t="shared" ca="1" si="112"/>
        <v>0</v>
      </c>
      <c r="BP32" s="149">
        <f ca="1">IFERROR(BO32/BQ32,0)</f>
        <v>0</v>
      </c>
      <c r="BQ32" s="186">
        <f t="shared" ref="BQ32:BU35" ca="1" si="113">SUMIFS(BQ$6:BQ$28,$E$6:$E$28,$B32)</f>
        <v>0</v>
      </c>
      <c r="BR32" s="186">
        <f t="shared" si="113"/>
        <v>0</v>
      </c>
      <c r="BS32" s="186">
        <f t="shared" ca="1" si="113"/>
        <v>0</v>
      </c>
      <c r="BT32" s="186">
        <f t="shared" si="113"/>
        <v>0</v>
      </c>
      <c r="BU32" s="186">
        <f t="shared" ca="1" si="113"/>
        <v>0</v>
      </c>
      <c r="BV32" s="147">
        <f ca="1">IFERROR(BU32/BU$29,0)</f>
        <v>0</v>
      </c>
      <c r="BW32" s="186">
        <f t="shared" ref="BW32:BX35" ca="1" si="114">SUMIFS(BW$6:BW$28,$E$6:$E$28,$B32)</f>
        <v>0</v>
      </c>
      <c r="BX32" s="186">
        <f t="shared" ca="1" si="114"/>
        <v>0</v>
      </c>
      <c r="BY32" s="147">
        <f ca="1">IFERROR(BX32/BX$29,0)</f>
        <v>0</v>
      </c>
      <c r="CA32" s="155" t="s">
        <v>27</v>
      </c>
      <c r="CB32" s="155" t="s">
        <v>27</v>
      </c>
      <c r="CC32" s="186">
        <f t="shared" ref="CC32:CD35" si="115">SUMIFS(CC$6:CC$28,$E$6:$E$28,$B32)</f>
        <v>0</v>
      </c>
      <c r="CD32" s="186">
        <f t="shared" si="115"/>
        <v>0</v>
      </c>
      <c r="CE32" s="187" t="s">
        <v>27</v>
      </c>
      <c r="CF32" s="187" t="s">
        <v>27</v>
      </c>
      <c r="CG32" s="187" t="s">
        <v>27</v>
      </c>
      <c r="CH32" s="186">
        <f t="shared" ref="CH32:CJ35" ca="1" si="116">SUMIFS(CH$6:CH$28,$E$6:$E$28,$B32)</f>
        <v>0</v>
      </c>
      <c r="CI32" s="186">
        <f t="shared" ca="1" si="116"/>
        <v>0</v>
      </c>
      <c r="CJ32" s="186">
        <f t="shared" ca="1" si="116"/>
        <v>0</v>
      </c>
      <c r="CK32" s="149">
        <f ca="1">IFERROR(CJ32/CL32,0)</f>
        <v>0</v>
      </c>
      <c r="CL32" s="186">
        <f t="shared" ref="CL32:CP35" ca="1" si="117">SUMIFS(CL$6:CL$28,$E$6:$E$28,$B32)</f>
        <v>0</v>
      </c>
      <c r="CM32" s="186">
        <f t="shared" si="117"/>
        <v>0</v>
      </c>
      <c r="CN32" s="186">
        <f t="shared" ca="1" si="117"/>
        <v>0</v>
      </c>
      <c r="CO32" s="186">
        <f t="shared" si="117"/>
        <v>0</v>
      </c>
      <c r="CP32" s="186">
        <f t="shared" ca="1" si="117"/>
        <v>0</v>
      </c>
      <c r="CQ32" s="147">
        <f ca="1">IFERROR(CP32/CP$29,0)</f>
        <v>0</v>
      </c>
      <c r="CR32" s="186">
        <f t="shared" ref="CR32:CS35" ca="1" si="118">SUMIFS(CR$6:CR$28,$E$6:$E$28,$B32)</f>
        <v>0</v>
      </c>
      <c r="CS32" s="186">
        <f t="shared" ca="1" si="118"/>
        <v>0</v>
      </c>
      <c r="CT32" s="147">
        <f ca="1">IFERROR(CS32/CS$29,0)</f>
        <v>0</v>
      </c>
      <c r="CV32" s="155" t="s">
        <v>27</v>
      </c>
      <c r="CW32" s="155" t="s">
        <v>27</v>
      </c>
      <c r="CX32" s="186">
        <f t="shared" ref="CX32:CY35" si="119">SUMIFS(CX$6:CX$28,$E$6:$E$28,$B32)</f>
        <v>0</v>
      </c>
      <c r="CY32" s="186">
        <f t="shared" si="119"/>
        <v>0</v>
      </c>
      <c r="CZ32" s="187" t="s">
        <v>27</v>
      </c>
      <c r="DA32" s="187" t="s">
        <v>27</v>
      </c>
      <c r="DB32" s="187" t="s">
        <v>27</v>
      </c>
      <c r="DC32" s="186">
        <f t="shared" ref="DC32:DE35" ca="1" si="120">SUMIFS(DC$6:DC$28,$E$6:$E$28,$B32)</f>
        <v>0</v>
      </c>
      <c r="DD32" s="186">
        <f t="shared" ca="1" si="120"/>
        <v>0</v>
      </c>
      <c r="DE32" s="186">
        <f t="shared" ca="1" si="120"/>
        <v>0</v>
      </c>
      <c r="DF32" s="149">
        <f ca="1">IFERROR(DE32/DG32,0)</f>
        <v>0</v>
      </c>
      <c r="DG32" s="186">
        <f t="shared" ref="DG32:DK35" ca="1" si="121">SUMIFS(DG$6:DG$28,$E$6:$E$28,$B32)</f>
        <v>0</v>
      </c>
      <c r="DH32" s="186">
        <f t="shared" si="121"/>
        <v>0</v>
      </c>
      <c r="DI32" s="186">
        <f t="shared" ca="1" si="121"/>
        <v>0</v>
      </c>
      <c r="DJ32" s="186">
        <f t="shared" si="121"/>
        <v>0</v>
      </c>
      <c r="DK32" s="186">
        <f t="shared" ca="1" si="121"/>
        <v>0</v>
      </c>
      <c r="DL32" s="147">
        <f ca="1">IFERROR(DK32/DK$29,0)</f>
        <v>0</v>
      </c>
      <c r="DM32" s="186">
        <f t="shared" ref="DM32:DN35" ca="1" si="122">SUMIFS(DM$6:DM$28,$E$6:$E$28,$B32)</f>
        <v>0</v>
      </c>
      <c r="DN32" s="186">
        <f t="shared" ca="1" si="122"/>
        <v>0</v>
      </c>
      <c r="DO32" s="147">
        <f ca="1">IFERROR(DN32/DN$29,0)</f>
        <v>0</v>
      </c>
      <c r="DQ32" s="155" t="s">
        <v>27</v>
      </c>
      <c r="DR32" s="155" t="s">
        <v>27</v>
      </c>
      <c r="DS32" s="186">
        <f t="shared" ref="DS32:DT35" si="123">SUMIFS(DS$6:DS$28,$E$6:$E$28,$B32)</f>
        <v>0</v>
      </c>
      <c r="DT32" s="186">
        <f t="shared" si="123"/>
        <v>0</v>
      </c>
      <c r="DU32" s="187" t="s">
        <v>27</v>
      </c>
      <c r="DV32" s="187" t="s">
        <v>27</v>
      </c>
      <c r="DW32" s="187" t="s">
        <v>27</v>
      </c>
      <c r="DX32" s="186">
        <f t="shared" ref="DX32:DZ35" ca="1" si="124">SUMIFS(DX$6:DX$28,$E$6:$E$28,$B32)</f>
        <v>0</v>
      </c>
      <c r="DY32" s="186">
        <f t="shared" ca="1" si="124"/>
        <v>0</v>
      </c>
      <c r="DZ32" s="186">
        <f t="shared" ca="1" si="124"/>
        <v>0</v>
      </c>
      <c r="EA32" s="149">
        <f ca="1">IFERROR(DZ32/EB32,0)</f>
        <v>0</v>
      </c>
      <c r="EB32" s="186">
        <f t="shared" ref="EB32:EF35" ca="1" si="125">SUMIFS(EB$6:EB$28,$E$6:$E$28,$B32)</f>
        <v>0</v>
      </c>
      <c r="EC32" s="186">
        <f t="shared" si="125"/>
        <v>0</v>
      </c>
      <c r="ED32" s="186">
        <f t="shared" ca="1" si="125"/>
        <v>0</v>
      </c>
      <c r="EE32" s="186">
        <f t="shared" si="125"/>
        <v>0</v>
      </c>
      <c r="EF32" s="186">
        <f t="shared" ca="1" si="125"/>
        <v>0</v>
      </c>
      <c r="EG32" s="147">
        <f ca="1">IFERROR(EF32/EF$29,0)</f>
        <v>0</v>
      </c>
      <c r="EH32" s="186">
        <f t="shared" ref="EH32:EI35" ca="1" si="126">SUMIFS(EH$6:EH$28,$E$6:$E$28,$B32)</f>
        <v>0</v>
      </c>
      <c r="EI32" s="186">
        <f t="shared" ca="1" si="126"/>
        <v>0</v>
      </c>
      <c r="EJ32" s="147">
        <f ca="1">IFERROR(EI32/EI$29,0)</f>
        <v>0</v>
      </c>
      <c r="EL32" s="186">
        <f t="shared" ref="EL32:EM35" si="127">SUMIFS(EL$6:EL$28,$E$6:$E$28,$B32)</f>
        <v>0</v>
      </c>
      <c r="EM32" s="186">
        <f t="shared" si="127"/>
        <v>0</v>
      </c>
      <c r="EN32" s="174" t="s">
        <v>27</v>
      </c>
      <c r="EO32" s="174" t="s">
        <v>27</v>
      </c>
      <c r="EP32" s="174" t="s">
        <v>27</v>
      </c>
      <c r="EQ32" s="186">
        <f t="shared" ref="EQ32:ES35" ca="1" si="128">SUMIFS(EQ$6:EQ$28,$E$6:$E$28,$B32)</f>
        <v>0</v>
      </c>
      <c r="ER32" s="186">
        <f t="shared" ca="1" si="128"/>
        <v>0</v>
      </c>
      <c r="ES32" s="186">
        <f t="shared" ca="1" si="128"/>
        <v>0</v>
      </c>
      <c r="ET32" s="149">
        <f ca="1">IFERROR(ES32/EU32,0)</f>
        <v>0</v>
      </c>
      <c r="EU32" s="186">
        <f t="shared" ref="EU32:EY35" ca="1" si="129">SUMIFS(EU$6:EU$28,$E$6:$E$28,$B32)</f>
        <v>0</v>
      </c>
      <c r="EV32" s="186">
        <f t="shared" si="129"/>
        <v>0</v>
      </c>
      <c r="EW32" s="186">
        <f t="shared" ca="1" si="129"/>
        <v>0</v>
      </c>
      <c r="EX32" s="186">
        <f t="shared" si="129"/>
        <v>0</v>
      </c>
      <c r="EY32" s="186">
        <f t="shared" ca="1" si="129"/>
        <v>0</v>
      </c>
      <c r="EZ32" s="147">
        <f ca="1">IFERROR(EY32/EY$29,0)</f>
        <v>0</v>
      </c>
      <c r="FA32" s="186">
        <f t="shared" ref="FA32:FB35" ca="1" si="130">SUMIFS(FA$6:FA$28,$E$6:$E$28,$B32)</f>
        <v>0</v>
      </c>
      <c r="FB32" s="186">
        <f t="shared" ca="1" si="130"/>
        <v>0</v>
      </c>
      <c r="FC32" s="147">
        <f ca="1">IFERROR(FB32/FB$29,0)</f>
        <v>0</v>
      </c>
      <c r="FF32" s="146">
        <f ca="1">OFFSET($G32,0,IF($FF$4=$G$4,1,12)+MATCH($FF$4,$G$4:$FC$4,0))</f>
        <v>0</v>
      </c>
      <c r="FG32" s="146">
        <f ca="1">OFFSET($G32,0,IF($FF$4=$G$4,2,13)+MATCH($FF$4,$G$4:$FC$4,0))</f>
        <v>0</v>
      </c>
      <c r="FH32" s="146">
        <f ca="1">OFFSET($G32,0,IF($FF$4=$G$4,5,17)+MATCH($FF$4,$G$4:$FC$4,0))</f>
        <v>0</v>
      </c>
      <c r="FK32" s="174" t="str">
        <f t="shared" ref="FK32:FL35" ca="1" si="131">IFERROR(OFFSET($G32,0,IF($FK$4=$G$4,1,12)+MATCH($FK$4,$G$4:$FC$4,0)),"na")</f>
        <v>na</v>
      </c>
      <c r="FL32" s="174" t="str">
        <f t="shared" ca="1" si="131"/>
        <v>na</v>
      </c>
      <c r="FM32" s="174" t="str">
        <f ca="1">IFERROR(OFFSET($G32,0,IF($FK$4=$G$4,5,17)+MATCH($FK$4,$G$4:$FC$4,0)),"na")</f>
        <v>na</v>
      </c>
    </row>
    <row r="33" spans="2:169">
      <c r="B33" s="185" t="s">
        <v>32</v>
      </c>
      <c r="C33" s="176"/>
      <c r="D33" s="177" t="s">
        <v>27</v>
      </c>
      <c r="E33" s="177" t="str">
        <f>B33</f>
        <v>Preferred</v>
      </c>
      <c r="G33" s="155" t="s">
        <v>27</v>
      </c>
      <c r="H33" s="155" t="s">
        <v>27</v>
      </c>
      <c r="I33" s="186">
        <f t="shared" si="102"/>
        <v>0</v>
      </c>
      <c r="J33" s="186">
        <f t="shared" si="102"/>
        <v>0</v>
      </c>
      <c r="K33" s="186">
        <f t="shared" si="102"/>
        <v>0</v>
      </c>
      <c r="L33" s="147">
        <f>IFERROR(K33/K$29,0)</f>
        <v>0</v>
      </c>
      <c r="M33" s="186">
        <f>SUMIFS(M$6:M$28,$E$6:$E$28,$B33)</f>
        <v>0</v>
      </c>
      <c r="N33" s="147">
        <f>IFERROR(M33/M$29,0)</f>
        <v>0</v>
      </c>
      <c r="P33" s="155" t="s">
        <v>27</v>
      </c>
      <c r="Q33" s="155" t="s">
        <v>27</v>
      </c>
      <c r="R33" s="186">
        <f t="shared" si="103"/>
        <v>0</v>
      </c>
      <c r="S33" s="186">
        <f t="shared" si="103"/>
        <v>0</v>
      </c>
      <c r="T33" s="187" t="s">
        <v>27</v>
      </c>
      <c r="U33" s="187" t="s">
        <v>27</v>
      </c>
      <c r="V33" s="187" t="s">
        <v>27</v>
      </c>
      <c r="W33" s="186">
        <f t="shared" si="104"/>
        <v>0</v>
      </c>
      <c r="X33" s="186">
        <f t="shared" si="104"/>
        <v>0</v>
      </c>
      <c r="Y33" s="186">
        <f t="shared" si="104"/>
        <v>0</v>
      </c>
      <c r="Z33" s="149">
        <f>IFERROR(Y33/AA33,0)</f>
        <v>0</v>
      </c>
      <c r="AA33" s="186">
        <f t="shared" si="105"/>
        <v>0</v>
      </c>
      <c r="AB33" s="186">
        <f t="shared" si="105"/>
        <v>0</v>
      </c>
      <c r="AC33" s="186">
        <f t="shared" si="105"/>
        <v>0</v>
      </c>
      <c r="AD33" s="186">
        <f t="shared" si="105"/>
        <v>0</v>
      </c>
      <c r="AE33" s="186">
        <f t="shared" si="105"/>
        <v>0</v>
      </c>
      <c r="AF33" s="147">
        <f ca="1">IFERROR(AE33/AE$29,0)</f>
        <v>0</v>
      </c>
      <c r="AG33" s="186">
        <f t="shared" si="106"/>
        <v>0</v>
      </c>
      <c r="AH33" s="186">
        <f t="shared" si="106"/>
        <v>0</v>
      </c>
      <c r="AI33" s="147">
        <f ca="1">IFERROR(AH33/AH$29,0)</f>
        <v>0</v>
      </c>
      <c r="AK33" s="155" t="s">
        <v>27</v>
      </c>
      <c r="AL33" s="155" t="s">
        <v>27</v>
      </c>
      <c r="AM33" s="186">
        <f t="shared" si="107"/>
        <v>0</v>
      </c>
      <c r="AN33" s="186">
        <f t="shared" si="107"/>
        <v>0</v>
      </c>
      <c r="AO33" s="187" t="s">
        <v>27</v>
      </c>
      <c r="AP33" s="187" t="s">
        <v>27</v>
      </c>
      <c r="AQ33" s="187" t="s">
        <v>27</v>
      </c>
      <c r="AR33" s="186">
        <f t="shared" si="108"/>
        <v>0</v>
      </c>
      <c r="AS33" s="186">
        <f t="shared" si="108"/>
        <v>0</v>
      </c>
      <c r="AT33" s="186">
        <f t="shared" si="108"/>
        <v>0</v>
      </c>
      <c r="AU33" s="149">
        <f>IFERROR(AT33/AV33,0)</f>
        <v>0</v>
      </c>
      <c r="AV33" s="186">
        <f t="shared" si="109"/>
        <v>0</v>
      </c>
      <c r="AW33" s="186">
        <f t="shared" si="109"/>
        <v>0</v>
      </c>
      <c r="AX33" s="186">
        <f t="shared" si="109"/>
        <v>0</v>
      </c>
      <c r="AY33" s="186">
        <f t="shared" si="109"/>
        <v>0</v>
      </c>
      <c r="AZ33" s="186">
        <f t="shared" si="109"/>
        <v>0</v>
      </c>
      <c r="BA33" s="147">
        <f ca="1">IFERROR(AZ33/AZ$29,0)</f>
        <v>0</v>
      </c>
      <c r="BB33" s="186">
        <f t="shared" si="110"/>
        <v>0</v>
      </c>
      <c r="BC33" s="186">
        <f t="shared" si="110"/>
        <v>0</v>
      </c>
      <c r="BD33" s="147">
        <f ca="1">IFERROR(BC33/BC$29,0)</f>
        <v>0</v>
      </c>
      <c r="BF33" s="155" t="s">
        <v>27</v>
      </c>
      <c r="BG33" s="155" t="s">
        <v>27</v>
      </c>
      <c r="BH33" s="186">
        <f t="shared" si="111"/>
        <v>0</v>
      </c>
      <c r="BI33" s="186">
        <f t="shared" si="111"/>
        <v>0</v>
      </c>
      <c r="BJ33" s="187" t="s">
        <v>27</v>
      </c>
      <c r="BK33" s="187" t="s">
        <v>27</v>
      </c>
      <c r="BL33" s="187" t="s">
        <v>27</v>
      </c>
      <c r="BM33" s="186">
        <f t="shared" si="112"/>
        <v>0</v>
      </c>
      <c r="BN33" s="186">
        <f t="shared" si="112"/>
        <v>0</v>
      </c>
      <c r="BO33" s="186">
        <f t="shared" si="112"/>
        <v>0</v>
      </c>
      <c r="BP33" s="149">
        <f>IFERROR(BO33/BQ33,0)</f>
        <v>0</v>
      </c>
      <c r="BQ33" s="186">
        <f t="shared" si="113"/>
        <v>0</v>
      </c>
      <c r="BR33" s="186">
        <f t="shared" si="113"/>
        <v>0</v>
      </c>
      <c r="BS33" s="186">
        <f t="shared" si="113"/>
        <v>0</v>
      </c>
      <c r="BT33" s="186">
        <f t="shared" si="113"/>
        <v>0</v>
      </c>
      <c r="BU33" s="186">
        <f t="shared" si="113"/>
        <v>0</v>
      </c>
      <c r="BV33" s="147">
        <f ca="1">IFERROR(BU33/BU$29,0)</f>
        <v>0</v>
      </c>
      <c r="BW33" s="186">
        <f t="shared" si="114"/>
        <v>0</v>
      </c>
      <c r="BX33" s="186">
        <f t="shared" si="114"/>
        <v>0</v>
      </c>
      <c r="BY33" s="147">
        <f ca="1">IFERROR(BX33/BX$29,0)</f>
        <v>0</v>
      </c>
      <c r="CA33" s="155" t="s">
        <v>27</v>
      </c>
      <c r="CB33" s="155" t="s">
        <v>27</v>
      </c>
      <c r="CC33" s="186">
        <f t="shared" si="115"/>
        <v>0</v>
      </c>
      <c r="CD33" s="186">
        <f t="shared" si="115"/>
        <v>0</v>
      </c>
      <c r="CE33" s="187" t="s">
        <v>27</v>
      </c>
      <c r="CF33" s="187" t="s">
        <v>27</v>
      </c>
      <c r="CG33" s="187" t="s">
        <v>27</v>
      </c>
      <c r="CH33" s="186">
        <f t="shared" si="116"/>
        <v>0</v>
      </c>
      <c r="CI33" s="186">
        <f t="shared" si="116"/>
        <v>0</v>
      </c>
      <c r="CJ33" s="186">
        <f t="shared" si="116"/>
        <v>0</v>
      </c>
      <c r="CK33" s="149">
        <f>IFERROR(CJ33/CL33,0)</f>
        <v>0</v>
      </c>
      <c r="CL33" s="186">
        <f t="shared" si="117"/>
        <v>0</v>
      </c>
      <c r="CM33" s="186">
        <f t="shared" si="117"/>
        <v>0</v>
      </c>
      <c r="CN33" s="186">
        <f t="shared" si="117"/>
        <v>0</v>
      </c>
      <c r="CO33" s="186">
        <f t="shared" si="117"/>
        <v>0</v>
      </c>
      <c r="CP33" s="186">
        <f t="shared" si="117"/>
        <v>0</v>
      </c>
      <c r="CQ33" s="147">
        <f ca="1">IFERROR(CP33/CP$29,0)</f>
        <v>0</v>
      </c>
      <c r="CR33" s="186">
        <f t="shared" si="118"/>
        <v>0</v>
      </c>
      <c r="CS33" s="186">
        <f t="shared" si="118"/>
        <v>0</v>
      </c>
      <c r="CT33" s="147">
        <f ca="1">IFERROR(CS33/CS$29,0)</f>
        <v>0</v>
      </c>
      <c r="CV33" s="155" t="s">
        <v>27</v>
      </c>
      <c r="CW33" s="155" t="s">
        <v>27</v>
      </c>
      <c r="CX33" s="186">
        <f t="shared" si="119"/>
        <v>0</v>
      </c>
      <c r="CY33" s="186">
        <f t="shared" si="119"/>
        <v>0</v>
      </c>
      <c r="CZ33" s="187" t="s">
        <v>27</v>
      </c>
      <c r="DA33" s="187" t="s">
        <v>27</v>
      </c>
      <c r="DB33" s="187" t="s">
        <v>27</v>
      </c>
      <c r="DC33" s="186">
        <f t="shared" si="120"/>
        <v>0</v>
      </c>
      <c r="DD33" s="186">
        <f t="shared" si="120"/>
        <v>0</v>
      </c>
      <c r="DE33" s="186">
        <f t="shared" si="120"/>
        <v>0</v>
      </c>
      <c r="DF33" s="149">
        <f>IFERROR(DE33/DG33,0)</f>
        <v>0</v>
      </c>
      <c r="DG33" s="186">
        <f t="shared" si="121"/>
        <v>0</v>
      </c>
      <c r="DH33" s="186">
        <f t="shared" si="121"/>
        <v>0</v>
      </c>
      <c r="DI33" s="186">
        <f t="shared" si="121"/>
        <v>0</v>
      </c>
      <c r="DJ33" s="186">
        <f t="shared" si="121"/>
        <v>0</v>
      </c>
      <c r="DK33" s="186">
        <f t="shared" si="121"/>
        <v>0</v>
      </c>
      <c r="DL33" s="147">
        <f ca="1">IFERROR(DK33/DK$29,0)</f>
        <v>0</v>
      </c>
      <c r="DM33" s="186">
        <f t="shared" si="122"/>
        <v>0</v>
      </c>
      <c r="DN33" s="186">
        <f t="shared" si="122"/>
        <v>0</v>
      </c>
      <c r="DO33" s="147">
        <f ca="1">IFERROR(DN33/DN$29,0)</f>
        <v>0</v>
      </c>
      <c r="DQ33" s="155" t="s">
        <v>27</v>
      </c>
      <c r="DR33" s="155" t="s">
        <v>27</v>
      </c>
      <c r="DS33" s="186">
        <f t="shared" si="123"/>
        <v>0</v>
      </c>
      <c r="DT33" s="186">
        <f t="shared" si="123"/>
        <v>0</v>
      </c>
      <c r="DU33" s="187" t="s">
        <v>27</v>
      </c>
      <c r="DV33" s="187" t="s">
        <v>27</v>
      </c>
      <c r="DW33" s="187" t="s">
        <v>27</v>
      </c>
      <c r="DX33" s="186">
        <f t="shared" si="124"/>
        <v>0</v>
      </c>
      <c r="DY33" s="186">
        <f t="shared" si="124"/>
        <v>0</v>
      </c>
      <c r="DZ33" s="186">
        <f t="shared" si="124"/>
        <v>0</v>
      </c>
      <c r="EA33" s="149">
        <f>IFERROR(DZ33/EB33,0)</f>
        <v>0</v>
      </c>
      <c r="EB33" s="186">
        <f t="shared" si="125"/>
        <v>0</v>
      </c>
      <c r="EC33" s="186">
        <f t="shared" si="125"/>
        <v>0</v>
      </c>
      <c r="ED33" s="186">
        <f t="shared" si="125"/>
        <v>0</v>
      </c>
      <c r="EE33" s="186">
        <f t="shared" si="125"/>
        <v>0</v>
      </c>
      <c r="EF33" s="186">
        <f t="shared" si="125"/>
        <v>0</v>
      </c>
      <c r="EG33" s="147">
        <f ca="1">IFERROR(EF33/EF$29,0)</f>
        <v>0</v>
      </c>
      <c r="EH33" s="186">
        <f t="shared" si="126"/>
        <v>0</v>
      </c>
      <c r="EI33" s="186">
        <f t="shared" si="126"/>
        <v>0</v>
      </c>
      <c r="EJ33" s="147">
        <f ca="1">IFERROR(EI33/EI$29,0)</f>
        <v>0</v>
      </c>
      <c r="EL33" s="186">
        <f t="shared" si="127"/>
        <v>0</v>
      </c>
      <c r="EM33" s="186">
        <f t="shared" si="127"/>
        <v>0</v>
      </c>
      <c r="EN33" s="174" t="s">
        <v>27</v>
      </c>
      <c r="EO33" s="174" t="s">
        <v>27</v>
      </c>
      <c r="EP33" s="174" t="s">
        <v>27</v>
      </c>
      <c r="EQ33" s="186">
        <f t="shared" si="128"/>
        <v>0</v>
      </c>
      <c r="ER33" s="186">
        <f t="shared" si="128"/>
        <v>0</v>
      </c>
      <c r="ES33" s="186">
        <f t="shared" si="128"/>
        <v>0</v>
      </c>
      <c r="ET33" s="149">
        <f>IFERROR(ES33/EU33,0)</f>
        <v>0</v>
      </c>
      <c r="EU33" s="186">
        <f t="shared" si="129"/>
        <v>0</v>
      </c>
      <c r="EV33" s="186">
        <f t="shared" si="129"/>
        <v>0</v>
      </c>
      <c r="EW33" s="186">
        <f t="shared" si="129"/>
        <v>0</v>
      </c>
      <c r="EX33" s="186">
        <f t="shared" si="129"/>
        <v>0</v>
      </c>
      <c r="EY33" s="186">
        <f t="shared" si="129"/>
        <v>0</v>
      </c>
      <c r="EZ33" s="147">
        <f ca="1">IFERROR(EY33/EY$29,0)</f>
        <v>0</v>
      </c>
      <c r="FA33" s="186">
        <f t="shared" si="130"/>
        <v>0</v>
      </c>
      <c r="FB33" s="186">
        <f t="shared" si="130"/>
        <v>0</v>
      </c>
      <c r="FC33" s="147">
        <f ca="1">IFERROR(FB33/FB$29,0)</f>
        <v>0</v>
      </c>
      <c r="FF33" s="146">
        <f ca="1">OFFSET($G33,0,IF($FF$4=$G$4,1,12)+MATCH($FF$4,$G$4:$FC$4,0))</f>
        <v>0</v>
      </c>
      <c r="FG33" s="146">
        <f ca="1">OFFSET($G33,0,IF($FF$4=$G$4,2,13)+MATCH($FF$4,$G$4:$FC$4,0))</f>
        <v>0</v>
      </c>
      <c r="FH33" s="146">
        <f ca="1">OFFSET($G33,0,IF($FF$4=$G$4,5,17)+MATCH($FF$4,$G$4:$FC$4,0))</f>
        <v>0</v>
      </c>
      <c r="FK33" s="174" t="str">
        <f t="shared" ca="1" si="131"/>
        <v>na</v>
      </c>
      <c r="FL33" s="174" t="str">
        <f t="shared" ca="1" si="131"/>
        <v>na</v>
      </c>
      <c r="FM33" s="174" t="str">
        <f ca="1">IFERROR(OFFSET($G33,0,IF($FK$4=$G$4,5,17)+MATCH($FK$4,$G$4:$FC$4,0)),"na")</f>
        <v>na</v>
      </c>
    </row>
    <row r="34" spans="2:169">
      <c r="B34" s="185" t="s">
        <v>22</v>
      </c>
      <c r="C34" s="176"/>
      <c r="D34" s="177" t="s">
        <v>27</v>
      </c>
      <c r="E34" s="177" t="str">
        <f>B34</f>
        <v>Options</v>
      </c>
      <c r="G34" s="155" t="s">
        <v>27</v>
      </c>
      <c r="H34" s="155" t="s">
        <v>27</v>
      </c>
      <c r="I34" s="186">
        <f t="shared" si="102"/>
        <v>0</v>
      </c>
      <c r="J34" s="186">
        <f t="shared" si="102"/>
        <v>0</v>
      </c>
      <c r="K34" s="186">
        <f t="shared" si="102"/>
        <v>0</v>
      </c>
      <c r="L34" s="147">
        <f>IFERROR(K34/K$29,0)</f>
        <v>0</v>
      </c>
      <c r="M34" s="186">
        <f>SUMIFS(M$6:M$28,$E$6:$E$28,$B34)</f>
        <v>0</v>
      </c>
      <c r="N34" s="147">
        <f>IFERROR(M34/M$29,0)</f>
        <v>0</v>
      </c>
      <c r="P34" s="155" t="s">
        <v>27</v>
      </c>
      <c r="Q34" s="155" t="s">
        <v>27</v>
      </c>
      <c r="R34" s="186">
        <f t="shared" si="103"/>
        <v>0</v>
      </c>
      <c r="S34" s="186">
        <f t="shared" si="103"/>
        <v>0</v>
      </c>
      <c r="T34" s="187" t="s">
        <v>27</v>
      </c>
      <c r="U34" s="187" t="s">
        <v>27</v>
      </c>
      <c r="V34" s="187" t="s">
        <v>27</v>
      </c>
      <c r="W34" s="186">
        <f t="shared" si="104"/>
        <v>0</v>
      </c>
      <c r="X34" s="186">
        <f t="shared" si="104"/>
        <v>0</v>
      </c>
      <c r="Y34" s="186">
        <f t="shared" si="104"/>
        <v>0</v>
      </c>
      <c r="Z34" s="149">
        <f>IFERROR(Y34/AA34,0)</f>
        <v>0</v>
      </c>
      <c r="AA34" s="186">
        <f t="shared" si="105"/>
        <v>0</v>
      </c>
      <c r="AB34" s="186">
        <f t="shared" ca="1" si="105"/>
        <v>0</v>
      </c>
      <c r="AC34" s="186">
        <f t="shared" si="105"/>
        <v>0</v>
      </c>
      <c r="AD34" s="186">
        <f t="shared" ca="1" si="105"/>
        <v>0</v>
      </c>
      <c r="AE34" s="186">
        <f t="shared" ca="1" si="105"/>
        <v>0</v>
      </c>
      <c r="AF34" s="147">
        <f ca="1">IFERROR(AE34/AE$29,0)</f>
        <v>0</v>
      </c>
      <c r="AG34" s="186">
        <f t="shared" ca="1" si="106"/>
        <v>0</v>
      </c>
      <c r="AH34" s="186">
        <f t="shared" ca="1" si="106"/>
        <v>0</v>
      </c>
      <c r="AI34" s="147">
        <f ca="1">IFERROR(AH34/AH$29,0)</f>
        <v>0</v>
      </c>
      <c r="AK34" s="155" t="s">
        <v>27</v>
      </c>
      <c r="AL34" s="155" t="s">
        <v>27</v>
      </c>
      <c r="AM34" s="186">
        <f t="shared" si="107"/>
        <v>0</v>
      </c>
      <c r="AN34" s="186">
        <f t="shared" si="107"/>
        <v>0</v>
      </c>
      <c r="AO34" s="187" t="s">
        <v>27</v>
      </c>
      <c r="AP34" s="187" t="s">
        <v>27</v>
      </c>
      <c r="AQ34" s="187" t="s">
        <v>27</v>
      </c>
      <c r="AR34" s="186">
        <f t="shared" ca="1" si="108"/>
        <v>0</v>
      </c>
      <c r="AS34" s="186">
        <f t="shared" ca="1" si="108"/>
        <v>0</v>
      </c>
      <c r="AT34" s="186">
        <f t="shared" ca="1" si="108"/>
        <v>0</v>
      </c>
      <c r="AU34" s="149">
        <f ca="1">IFERROR(AT34/AV34,0)</f>
        <v>0</v>
      </c>
      <c r="AV34" s="186">
        <f t="shared" ca="1" si="109"/>
        <v>0</v>
      </c>
      <c r="AW34" s="186">
        <f t="shared" ca="1" si="109"/>
        <v>0</v>
      </c>
      <c r="AX34" s="186">
        <f t="shared" ca="1" si="109"/>
        <v>0</v>
      </c>
      <c r="AY34" s="186">
        <f t="shared" ca="1" si="109"/>
        <v>0</v>
      </c>
      <c r="AZ34" s="186">
        <f t="shared" ca="1" si="109"/>
        <v>0</v>
      </c>
      <c r="BA34" s="147">
        <f ca="1">IFERROR(AZ34/AZ$29,0)</f>
        <v>0</v>
      </c>
      <c r="BB34" s="186">
        <f t="shared" ca="1" si="110"/>
        <v>0</v>
      </c>
      <c r="BC34" s="186">
        <f t="shared" ca="1" si="110"/>
        <v>0</v>
      </c>
      <c r="BD34" s="147">
        <f ca="1">IFERROR(BC34/BC$29,0)</f>
        <v>0</v>
      </c>
      <c r="BF34" s="155" t="s">
        <v>27</v>
      </c>
      <c r="BG34" s="155" t="s">
        <v>27</v>
      </c>
      <c r="BH34" s="186">
        <f t="shared" si="111"/>
        <v>0</v>
      </c>
      <c r="BI34" s="186">
        <f t="shared" si="111"/>
        <v>0</v>
      </c>
      <c r="BJ34" s="187" t="s">
        <v>27</v>
      </c>
      <c r="BK34" s="187" t="s">
        <v>27</v>
      </c>
      <c r="BL34" s="187" t="s">
        <v>27</v>
      </c>
      <c r="BM34" s="186">
        <f t="shared" ca="1" si="112"/>
        <v>0</v>
      </c>
      <c r="BN34" s="186">
        <f t="shared" ca="1" si="112"/>
        <v>0</v>
      </c>
      <c r="BO34" s="186">
        <f t="shared" ca="1" si="112"/>
        <v>0</v>
      </c>
      <c r="BP34" s="149">
        <f ca="1">IFERROR(BO34/BQ34,0)</f>
        <v>0</v>
      </c>
      <c r="BQ34" s="186">
        <f t="shared" ca="1" si="113"/>
        <v>0</v>
      </c>
      <c r="BR34" s="186">
        <f t="shared" ca="1" si="113"/>
        <v>0</v>
      </c>
      <c r="BS34" s="186">
        <f t="shared" ca="1" si="113"/>
        <v>0</v>
      </c>
      <c r="BT34" s="186">
        <f t="shared" ca="1" si="113"/>
        <v>0</v>
      </c>
      <c r="BU34" s="186">
        <f t="shared" ca="1" si="113"/>
        <v>0</v>
      </c>
      <c r="BV34" s="147">
        <f ca="1">IFERROR(BU34/BU$29,0)</f>
        <v>0</v>
      </c>
      <c r="BW34" s="186">
        <f t="shared" ca="1" si="114"/>
        <v>0</v>
      </c>
      <c r="BX34" s="186">
        <f t="shared" ca="1" si="114"/>
        <v>0</v>
      </c>
      <c r="BY34" s="147">
        <f ca="1">IFERROR(BX34/BX$29,0)</f>
        <v>0</v>
      </c>
      <c r="CA34" s="155" t="s">
        <v>27</v>
      </c>
      <c r="CB34" s="155" t="s">
        <v>27</v>
      </c>
      <c r="CC34" s="186">
        <f t="shared" si="115"/>
        <v>0</v>
      </c>
      <c r="CD34" s="186">
        <f t="shared" si="115"/>
        <v>0</v>
      </c>
      <c r="CE34" s="187" t="s">
        <v>27</v>
      </c>
      <c r="CF34" s="187" t="s">
        <v>27</v>
      </c>
      <c r="CG34" s="187" t="s">
        <v>27</v>
      </c>
      <c r="CH34" s="186">
        <f t="shared" ca="1" si="116"/>
        <v>0</v>
      </c>
      <c r="CI34" s="186">
        <f t="shared" ca="1" si="116"/>
        <v>0</v>
      </c>
      <c r="CJ34" s="186">
        <f t="shared" ca="1" si="116"/>
        <v>0</v>
      </c>
      <c r="CK34" s="149">
        <f ca="1">IFERROR(CJ34/CL34,0)</f>
        <v>0</v>
      </c>
      <c r="CL34" s="186">
        <f t="shared" ca="1" si="117"/>
        <v>0</v>
      </c>
      <c r="CM34" s="186">
        <f t="shared" ca="1" si="117"/>
        <v>0</v>
      </c>
      <c r="CN34" s="186">
        <f t="shared" ca="1" si="117"/>
        <v>0</v>
      </c>
      <c r="CO34" s="186">
        <f t="shared" ca="1" si="117"/>
        <v>0</v>
      </c>
      <c r="CP34" s="186">
        <f t="shared" ca="1" si="117"/>
        <v>0</v>
      </c>
      <c r="CQ34" s="147">
        <f ca="1">IFERROR(CP34/CP$29,0)</f>
        <v>0</v>
      </c>
      <c r="CR34" s="186">
        <f t="shared" ca="1" si="118"/>
        <v>0</v>
      </c>
      <c r="CS34" s="186">
        <f t="shared" ca="1" si="118"/>
        <v>0</v>
      </c>
      <c r="CT34" s="147">
        <f ca="1">IFERROR(CS34/CS$29,0)</f>
        <v>0</v>
      </c>
      <c r="CV34" s="155" t="s">
        <v>27</v>
      </c>
      <c r="CW34" s="155" t="s">
        <v>27</v>
      </c>
      <c r="CX34" s="186">
        <f t="shared" si="119"/>
        <v>0</v>
      </c>
      <c r="CY34" s="186">
        <f t="shared" si="119"/>
        <v>0</v>
      </c>
      <c r="CZ34" s="187" t="s">
        <v>27</v>
      </c>
      <c r="DA34" s="187" t="s">
        <v>27</v>
      </c>
      <c r="DB34" s="187" t="s">
        <v>27</v>
      </c>
      <c r="DC34" s="186">
        <f t="shared" ca="1" si="120"/>
        <v>0</v>
      </c>
      <c r="DD34" s="186">
        <f t="shared" ca="1" si="120"/>
        <v>0</v>
      </c>
      <c r="DE34" s="186">
        <f t="shared" ca="1" si="120"/>
        <v>0</v>
      </c>
      <c r="DF34" s="149">
        <f ca="1">IFERROR(DE34/DG34,0)</f>
        <v>0</v>
      </c>
      <c r="DG34" s="186">
        <f t="shared" ca="1" si="121"/>
        <v>0</v>
      </c>
      <c r="DH34" s="186">
        <f t="shared" ca="1" si="121"/>
        <v>0</v>
      </c>
      <c r="DI34" s="186">
        <f t="shared" ca="1" si="121"/>
        <v>0</v>
      </c>
      <c r="DJ34" s="186">
        <f t="shared" ca="1" si="121"/>
        <v>0</v>
      </c>
      <c r="DK34" s="186">
        <f t="shared" ca="1" si="121"/>
        <v>0</v>
      </c>
      <c r="DL34" s="147">
        <f ca="1">IFERROR(DK34/DK$29,0)</f>
        <v>0</v>
      </c>
      <c r="DM34" s="186">
        <f t="shared" ca="1" si="122"/>
        <v>0</v>
      </c>
      <c r="DN34" s="186">
        <f t="shared" ca="1" si="122"/>
        <v>0</v>
      </c>
      <c r="DO34" s="147">
        <f ca="1">IFERROR(DN34/DN$29,0)</f>
        <v>0</v>
      </c>
      <c r="DQ34" s="155" t="s">
        <v>27</v>
      </c>
      <c r="DR34" s="155" t="s">
        <v>27</v>
      </c>
      <c r="DS34" s="186">
        <f t="shared" si="123"/>
        <v>0</v>
      </c>
      <c r="DT34" s="186">
        <f t="shared" si="123"/>
        <v>0</v>
      </c>
      <c r="DU34" s="187" t="s">
        <v>27</v>
      </c>
      <c r="DV34" s="187" t="s">
        <v>27</v>
      </c>
      <c r="DW34" s="187" t="s">
        <v>27</v>
      </c>
      <c r="DX34" s="186">
        <f t="shared" ca="1" si="124"/>
        <v>0</v>
      </c>
      <c r="DY34" s="186">
        <f t="shared" ca="1" si="124"/>
        <v>0</v>
      </c>
      <c r="DZ34" s="186">
        <f t="shared" ca="1" si="124"/>
        <v>0</v>
      </c>
      <c r="EA34" s="149">
        <f ca="1">IFERROR(DZ34/EB34,0)</f>
        <v>0</v>
      </c>
      <c r="EB34" s="186">
        <f t="shared" ca="1" si="125"/>
        <v>0</v>
      </c>
      <c r="EC34" s="186">
        <f t="shared" ca="1" si="125"/>
        <v>0</v>
      </c>
      <c r="ED34" s="186">
        <f t="shared" ca="1" si="125"/>
        <v>0</v>
      </c>
      <c r="EE34" s="186">
        <f t="shared" ca="1" si="125"/>
        <v>0</v>
      </c>
      <c r="EF34" s="186">
        <f t="shared" ca="1" si="125"/>
        <v>0</v>
      </c>
      <c r="EG34" s="147">
        <f ca="1">IFERROR(EF34/EF$29,0)</f>
        <v>0</v>
      </c>
      <c r="EH34" s="186">
        <f t="shared" ca="1" si="126"/>
        <v>0</v>
      </c>
      <c r="EI34" s="186">
        <f t="shared" ca="1" si="126"/>
        <v>0</v>
      </c>
      <c r="EJ34" s="147">
        <f ca="1">IFERROR(EI34/EI$29,0)</f>
        <v>0</v>
      </c>
      <c r="EL34" s="186">
        <f t="shared" si="127"/>
        <v>0</v>
      </c>
      <c r="EM34" s="186">
        <f t="shared" si="127"/>
        <v>0</v>
      </c>
      <c r="EN34" s="174" t="s">
        <v>27</v>
      </c>
      <c r="EO34" s="174" t="s">
        <v>27</v>
      </c>
      <c r="EP34" s="174" t="s">
        <v>27</v>
      </c>
      <c r="EQ34" s="186">
        <f t="shared" ca="1" si="128"/>
        <v>0</v>
      </c>
      <c r="ER34" s="186">
        <f t="shared" ca="1" si="128"/>
        <v>0</v>
      </c>
      <c r="ES34" s="186">
        <f t="shared" ca="1" si="128"/>
        <v>0</v>
      </c>
      <c r="ET34" s="149">
        <f ca="1">IFERROR(ES34/EU34,0)</f>
        <v>0</v>
      </c>
      <c r="EU34" s="186">
        <f t="shared" ca="1" si="129"/>
        <v>0</v>
      </c>
      <c r="EV34" s="186">
        <f t="shared" ca="1" si="129"/>
        <v>0</v>
      </c>
      <c r="EW34" s="186">
        <f t="shared" ca="1" si="129"/>
        <v>0</v>
      </c>
      <c r="EX34" s="186">
        <f t="shared" ca="1" si="129"/>
        <v>0</v>
      </c>
      <c r="EY34" s="186">
        <f t="shared" ca="1" si="129"/>
        <v>0</v>
      </c>
      <c r="EZ34" s="147">
        <f ca="1">IFERROR(EY34/EY$29,0)</f>
        <v>0</v>
      </c>
      <c r="FA34" s="186">
        <f t="shared" ca="1" si="130"/>
        <v>0</v>
      </c>
      <c r="FB34" s="186">
        <f t="shared" ca="1" si="130"/>
        <v>0</v>
      </c>
      <c r="FC34" s="147">
        <f ca="1">IFERROR(FB34/FB$29,0)</f>
        <v>0</v>
      </c>
      <c r="FF34" s="146">
        <f ca="1">OFFSET($G34,0,IF($FF$4=$G$4,1,12)+MATCH($FF$4,$G$4:$FC$4,0))</f>
        <v>0</v>
      </c>
      <c r="FG34" s="146">
        <f ca="1">OFFSET($G34,0,IF($FF$4=$G$4,2,13)+MATCH($FF$4,$G$4:$FC$4,0))</f>
        <v>0</v>
      </c>
      <c r="FH34" s="146">
        <f ca="1">OFFSET($G34,0,IF($FF$4=$G$4,5,17)+MATCH($FF$4,$G$4:$FC$4,0))</f>
        <v>0</v>
      </c>
      <c r="FK34" s="174" t="str">
        <f t="shared" ca="1" si="131"/>
        <v>na</v>
      </c>
      <c r="FL34" s="174" t="str">
        <f t="shared" ca="1" si="131"/>
        <v>na</v>
      </c>
      <c r="FM34" s="174" t="str">
        <f ca="1">IFERROR(OFFSET($G34,0,IF($FK$4=$G$4,5,17)+MATCH($FK$4,$G$4:$FC$4,0)),"na")</f>
        <v>na</v>
      </c>
    </row>
    <row r="35" spans="2:169">
      <c r="B35" s="185" t="s">
        <v>27</v>
      </c>
      <c r="C35" s="176"/>
      <c r="D35" s="177" t="s">
        <v>27</v>
      </c>
      <c r="E35" s="177" t="str">
        <f>B35</f>
        <v>na</v>
      </c>
      <c r="G35" s="155" t="s">
        <v>27</v>
      </c>
      <c r="H35" s="155" t="s">
        <v>27</v>
      </c>
      <c r="I35" s="186">
        <f t="shared" si="102"/>
        <v>0</v>
      </c>
      <c r="J35" s="186">
        <f t="shared" si="102"/>
        <v>0</v>
      </c>
      <c r="K35" s="186">
        <f t="shared" si="102"/>
        <v>0</v>
      </c>
      <c r="L35" s="147">
        <f>IFERROR(K35/K$29,0)</f>
        <v>0</v>
      </c>
      <c r="M35" s="186">
        <f>SUMIFS(M$6:M$28,$E$6:$E$28,$B35)</f>
        <v>0</v>
      </c>
      <c r="N35" s="147">
        <f>IFERROR(M35/M$29,0)</f>
        <v>0</v>
      </c>
      <c r="P35" s="155" t="s">
        <v>27</v>
      </c>
      <c r="Q35" s="155" t="s">
        <v>27</v>
      </c>
      <c r="R35" s="186">
        <f t="shared" si="103"/>
        <v>0</v>
      </c>
      <c r="S35" s="186">
        <f t="shared" si="103"/>
        <v>0</v>
      </c>
      <c r="T35" s="187" t="s">
        <v>27</v>
      </c>
      <c r="U35" s="187" t="s">
        <v>27</v>
      </c>
      <c r="V35" s="187" t="s">
        <v>27</v>
      </c>
      <c r="W35" s="186">
        <f t="shared" si="104"/>
        <v>0</v>
      </c>
      <c r="X35" s="186">
        <f t="shared" si="104"/>
        <v>0</v>
      </c>
      <c r="Y35" s="186">
        <f t="shared" si="104"/>
        <v>0</v>
      </c>
      <c r="Z35" s="149">
        <f>IFERROR(Y35/AA35,0)</f>
        <v>0</v>
      </c>
      <c r="AA35" s="186">
        <f t="shared" si="105"/>
        <v>0</v>
      </c>
      <c r="AB35" s="186">
        <f t="shared" si="105"/>
        <v>0</v>
      </c>
      <c r="AC35" s="186">
        <f t="shared" si="105"/>
        <v>0</v>
      </c>
      <c r="AD35" s="186">
        <f t="shared" si="105"/>
        <v>0</v>
      </c>
      <c r="AE35" s="186">
        <f t="shared" si="105"/>
        <v>0</v>
      </c>
      <c r="AF35" s="147">
        <f ca="1">IFERROR(AE35/AE$29,0)</f>
        <v>0</v>
      </c>
      <c r="AG35" s="186">
        <f t="shared" si="106"/>
        <v>0</v>
      </c>
      <c r="AH35" s="186">
        <f t="shared" si="106"/>
        <v>0</v>
      </c>
      <c r="AI35" s="147">
        <f ca="1">IFERROR(AH35/AH$29,0)</f>
        <v>0</v>
      </c>
      <c r="AK35" s="155" t="s">
        <v>27</v>
      </c>
      <c r="AL35" s="155" t="s">
        <v>27</v>
      </c>
      <c r="AM35" s="186">
        <f t="shared" si="107"/>
        <v>0</v>
      </c>
      <c r="AN35" s="186">
        <f t="shared" si="107"/>
        <v>0</v>
      </c>
      <c r="AO35" s="187" t="s">
        <v>27</v>
      </c>
      <c r="AP35" s="187" t="s">
        <v>27</v>
      </c>
      <c r="AQ35" s="187" t="s">
        <v>27</v>
      </c>
      <c r="AR35" s="186">
        <f t="shared" si="108"/>
        <v>0</v>
      </c>
      <c r="AS35" s="186">
        <f t="shared" si="108"/>
        <v>0</v>
      </c>
      <c r="AT35" s="186">
        <f t="shared" si="108"/>
        <v>0</v>
      </c>
      <c r="AU35" s="149">
        <f>IFERROR(AT35/AV35,0)</f>
        <v>0</v>
      </c>
      <c r="AV35" s="186">
        <f t="shared" si="109"/>
        <v>0</v>
      </c>
      <c r="AW35" s="186">
        <f t="shared" si="109"/>
        <v>0</v>
      </c>
      <c r="AX35" s="186">
        <f t="shared" si="109"/>
        <v>0</v>
      </c>
      <c r="AY35" s="186">
        <f t="shared" si="109"/>
        <v>0</v>
      </c>
      <c r="AZ35" s="186">
        <f t="shared" si="109"/>
        <v>0</v>
      </c>
      <c r="BA35" s="147">
        <f ca="1">IFERROR(AZ35/AZ$29,0)</f>
        <v>0</v>
      </c>
      <c r="BB35" s="186">
        <f t="shared" si="110"/>
        <v>0</v>
      </c>
      <c r="BC35" s="186">
        <f t="shared" si="110"/>
        <v>0</v>
      </c>
      <c r="BD35" s="147">
        <f ca="1">IFERROR(BC35/BC$29,0)</f>
        <v>0</v>
      </c>
      <c r="BF35" s="155" t="s">
        <v>27</v>
      </c>
      <c r="BG35" s="155" t="s">
        <v>27</v>
      </c>
      <c r="BH35" s="186">
        <f t="shared" si="111"/>
        <v>0</v>
      </c>
      <c r="BI35" s="186">
        <f t="shared" si="111"/>
        <v>0</v>
      </c>
      <c r="BJ35" s="187" t="s">
        <v>27</v>
      </c>
      <c r="BK35" s="187" t="s">
        <v>27</v>
      </c>
      <c r="BL35" s="187" t="s">
        <v>27</v>
      </c>
      <c r="BM35" s="186">
        <f t="shared" si="112"/>
        <v>0</v>
      </c>
      <c r="BN35" s="186">
        <f t="shared" si="112"/>
        <v>0</v>
      </c>
      <c r="BO35" s="186">
        <f t="shared" si="112"/>
        <v>0</v>
      </c>
      <c r="BP35" s="149">
        <f>IFERROR(BO35/BQ35,0)</f>
        <v>0</v>
      </c>
      <c r="BQ35" s="186">
        <f t="shared" si="113"/>
        <v>0</v>
      </c>
      <c r="BR35" s="186">
        <f t="shared" si="113"/>
        <v>0</v>
      </c>
      <c r="BS35" s="186">
        <f t="shared" si="113"/>
        <v>0</v>
      </c>
      <c r="BT35" s="186">
        <f t="shared" si="113"/>
        <v>0</v>
      </c>
      <c r="BU35" s="186">
        <f t="shared" si="113"/>
        <v>0</v>
      </c>
      <c r="BV35" s="147">
        <f ca="1">IFERROR(BU35/BU$29,0)</f>
        <v>0</v>
      </c>
      <c r="BW35" s="186">
        <f t="shared" si="114"/>
        <v>0</v>
      </c>
      <c r="BX35" s="186">
        <f t="shared" si="114"/>
        <v>0</v>
      </c>
      <c r="BY35" s="147">
        <f ca="1">IFERROR(BX35/BX$29,0)</f>
        <v>0</v>
      </c>
      <c r="CA35" s="155" t="s">
        <v>27</v>
      </c>
      <c r="CB35" s="155" t="s">
        <v>27</v>
      </c>
      <c r="CC35" s="186">
        <f t="shared" si="115"/>
        <v>0</v>
      </c>
      <c r="CD35" s="186">
        <f t="shared" si="115"/>
        <v>0</v>
      </c>
      <c r="CE35" s="187" t="s">
        <v>27</v>
      </c>
      <c r="CF35" s="187" t="s">
        <v>27</v>
      </c>
      <c r="CG35" s="187" t="s">
        <v>27</v>
      </c>
      <c r="CH35" s="186">
        <f t="shared" si="116"/>
        <v>0</v>
      </c>
      <c r="CI35" s="186">
        <f t="shared" si="116"/>
        <v>0</v>
      </c>
      <c r="CJ35" s="186">
        <f t="shared" si="116"/>
        <v>0</v>
      </c>
      <c r="CK35" s="149">
        <f>IFERROR(CJ35/CL35,0)</f>
        <v>0</v>
      </c>
      <c r="CL35" s="186">
        <f t="shared" si="117"/>
        <v>0</v>
      </c>
      <c r="CM35" s="186">
        <f t="shared" si="117"/>
        <v>0</v>
      </c>
      <c r="CN35" s="186">
        <f t="shared" si="117"/>
        <v>0</v>
      </c>
      <c r="CO35" s="186">
        <f t="shared" si="117"/>
        <v>0</v>
      </c>
      <c r="CP35" s="186">
        <f t="shared" si="117"/>
        <v>0</v>
      </c>
      <c r="CQ35" s="147">
        <f ca="1">IFERROR(CP35/CP$29,0)</f>
        <v>0</v>
      </c>
      <c r="CR35" s="186">
        <f t="shared" si="118"/>
        <v>0</v>
      </c>
      <c r="CS35" s="186">
        <f t="shared" si="118"/>
        <v>0</v>
      </c>
      <c r="CT35" s="147">
        <f ca="1">IFERROR(CS35/CS$29,0)</f>
        <v>0</v>
      </c>
      <c r="CV35" s="155" t="s">
        <v>27</v>
      </c>
      <c r="CW35" s="155" t="s">
        <v>27</v>
      </c>
      <c r="CX35" s="186">
        <f t="shared" si="119"/>
        <v>0</v>
      </c>
      <c r="CY35" s="186">
        <f t="shared" si="119"/>
        <v>0</v>
      </c>
      <c r="CZ35" s="187" t="s">
        <v>27</v>
      </c>
      <c r="DA35" s="187" t="s">
        <v>27</v>
      </c>
      <c r="DB35" s="187" t="s">
        <v>27</v>
      </c>
      <c r="DC35" s="186">
        <f t="shared" si="120"/>
        <v>0</v>
      </c>
      <c r="DD35" s="186">
        <f t="shared" si="120"/>
        <v>0</v>
      </c>
      <c r="DE35" s="186">
        <f t="shared" si="120"/>
        <v>0</v>
      </c>
      <c r="DF35" s="149">
        <f>IFERROR(DE35/DG35,0)</f>
        <v>0</v>
      </c>
      <c r="DG35" s="186">
        <f t="shared" si="121"/>
        <v>0</v>
      </c>
      <c r="DH35" s="186">
        <f t="shared" si="121"/>
        <v>0</v>
      </c>
      <c r="DI35" s="186">
        <f t="shared" si="121"/>
        <v>0</v>
      </c>
      <c r="DJ35" s="186">
        <f t="shared" si="121"/>
        <v>0</v>
      </c>
      <c r="DK35" s="186">
        <f t="shared" si="121"/>
        <v>0</v>
      </c>
      <c r="DL35" s="147">
        <f ca="1">IFERROR(DK35/DK$29,0)</f>
        <v>0</v>
      </c>
      <c r="DM35" s="186">
        <f t="shared" si="122"/>
        <v>0</v>
      </c>
      <c r="DN35" s="186">
        <f t="shared" si="122"/>
        <v>0</v>
      </c>
      <c r="DO35" s="147">
        <f ca="1">IFERROR(DN35/DN$29,0)</f>
        <v>0</v>
      </c>
      <c r="DQ35" s="155" t="s">
        <v>27</v>
      </c>
      <c r="DR35" s="155" t="s">
        <v>27</v>
      </c>
      <c r="DS35" s="186">
        <f t="shared" si="123"/>
        <v>0</v>
      </c>
      <c r="DT35" s="186">
        <f t="shared" si="123"/>
        <v>0</v>
      </c>
      <c r="DU35" s="187" t="s">
        <v>27</v>
      </c>
      <c r="DV35" s="187" t="s">
        <v>27</v>
      </c>
      <c r="DW35" s="187" t="s">
        <v>27</v>
      </c>
      <c r="DX35" s="186">
        <f t="shared" si="124"/>
        <v>0</v>
      </c>
      <c r="DY35" s="186">
        <f t="shared" si="124"/>
        <v>0</v>
      </c>
      <c r="DZ35" s="186">
        <f t="shared" si="124"/>
        <v>0</v>
      </c>
      <c r="EA35" s="149">
        <f>IFERROR(DZ35/EB35,0)</f>
        <v>0</v>
      </c>
      <c r="EB35" s="186">
        <f t="shared" si="125"/>
        <v>0</v>
      </c>
      <c r="EC35" s="186">
        <f t="shared" si="125"/>
        <v>0</v>
      </c>
      <c r="ED35" s="186">
        <f t="shared" si="125"/>
        <v>0</v>
      </c>
      <c r="EE35" s="186">
        <f t="shared" si="125"/>
        <v>0</v>
      </c>
      <c r="EF35" s="186">
        <f t="shared" si="125"/>
        <v>0</v>
      </c>
      <c r="EG35" s="147">
        <f ca="1">IFERROR(EF35/EF$29,0)</f>
        <v>0</v>
      </c>
      <c r="EH35" s="186">
        <f t="shared" si="126"/>
        <v>0</v>
      </c>
      <c r="EI35" s="186">
        <f t="shared" si="126"/>
        <v>0</v>
      </c>
      <c r="EJ35" s="147">
        <f ca="1">IFERROR(EI35/EI$29,0)</f>
        <v>0</v>
      </c>
      <c r="EL35" s="186">
        <f t="shared" si="127"/>
        <v>0</v>
      </c>
      <c r="EM35" s="186">
        <f t="shared" si="127"/>
        <v>0</v>
      </c>
      <c r="EN35" s="174" t="s">
        <v>27</v>
      </c>
      <c r="EO35" s="174" t="s">
        <v>27</v>
      </c>
      <c r="EP35" s="174" t="s">
        <v>27</v>
      </c>
      <c r="EQ35" s="186">
        <f t="shared" si="128"/>
        <v>0</v>
      </c>
      <c r="ER35" s="186">
        <f t="shared" si="128"/>
        <v>0</v>
      </c>
      <c r="ES35" s="186">
        <f t="shared" si="128"/>
        <v>0</v>
      </c>
      <c r="ET35" s="149">
        <f>IFERROR(ES35/EU35,0)</f>
        <v>0</v>
      </c>
      <c r="EU35" s="186">
        <f t="shared" si="129"/>
        <v>0</v>
      </c>
      <c r="EV35" s="186">
        <f t="shared" si="129"/>
        <v>0</v>
      </c>
      <c r="EW35" s="186">
        <f t="shared" si="129"/>
        <v>0</v>
      </c>
      <c r="EX35" s="186">
        <f t="shared" si="129"/>
        <v>0</v>
      </c>
      <c r="EY35" s="186">
        <f t="shared" si="129"/>
        <v>0</v>
      </c>
      <c r="EZ35" s="147">
        <f ca="1">IFERROR(EY35/EY$29,0)</f>
        <v>0</v>
      </c>
      <c r="FA35" s="186">
        <f t="shared" si="130"/>
        <v>0</v>
      </c>
      <c r="FB35" s="186">
        <f t="shared" si="130"/>
        <v>0</v>
      </c>
      <c r="FC35" s="147">
        <f ca="1">IFERROR(FB35/FB$29,0)</f>
        <v>0</v>
      </c>
      <c r="FF35" s="146">
        <f ca="1">OFFSET($G35,0,IF($FF$4=$G$4,1,12)+MATCH($FF$4,$G$4:$FC$4,0))</f>
        <v>0</v>
      </c>
      <c r="FG35" s="146">
        <f ca="1">OFFSET($G35,0,IF($FF$4=$G$4,2,13)+MATCH($FF$4,$G$4:$FC$4,0))</f>
        <v>0</v>
      </c>
      <c r="FH35" s="146">
        <f ca="1">OFFSET($G35,0,IF($FF$4=$G$4,5,17)+MATCH($FF$4,$G$4:$FC$4,0))</f>
        <v>0</v>
      </c>
      <c r="FK35" s="174" t="str">
        <f t="shared" ca="1" si="131"/>
        <v>na</v>
      </c>
      <c r="FL35" s="174" t="str">
        <f t="shared" ca="1" si="131"/>
        <v>na</v>
      </c>
      <c r="FM35" s="174" t="str">
        <f ca="1">IFERROR(OFFSET($G35,0,IF($FK$4=$G$4,5,17)+MATCH($FK$4,$G$4:$FC$4,0)),"na")</f>
        <v>na</v>
      </c>
    </row>
    <row r="36" spans="2:169">
      <c r="B36" s="176" t="s">
        <v>20</v>
      </c>
      <c r="C36" s="176"/>
      <c r="D36" s="176"/>
      <c r="G36" s="182"/>
      <c r="H36" s="182"/>
      <c r="I36" s="188">
        <f>SUM(I32:I35)</f>
        <v>0</v>
      </c>
      <c r="J36" s="188">
        <f>SUM(J32:J35)</f>
        <v>0</v>
      </c>
      <c r="K36" s="188">
        <f>SUM(K32:K35)</f>
        <v>0</v>
      </c>
      <c r="L36" s="152">
        <f>IFERROR(K36/K$29,0)</f>
        <v>0</v>
      </c>
      <c r="M36" s="188">
        <f>SUM(M32:M35)</f>
        <v>0</v>
      </c>
      <c r="N36" s="152">
        <f>IFERROR(M36/M$29,0)</f>
        <v>0</v>
      </c>
      <c r="P36" s="182"/>
      <c r="Q36" s="182"/>
      <c r="R36" s="188">
        <f>SUM(R32:R35)</f>
        <v>0</v>
      </c>
      <c r="S36" s="188">
        <f>SUM(S32:S35)</f>
        <v>0</v>
      </c>
      <c r="T36" s="151"/>
      <c r="U36" s="151"/>
      <c r="V36" s="151"/>
      <c r="W36" s="188">
        <f ca="1">SUM(W32:W35)</f>
        <v>0</v>
      </c>
      <c r="X36" s="188">
        <f ca="1">SUM(X32:X35)</f>
        <v>0</v>
      </c>
      <c r="Y36" s="188">
        <f ca="1">SUM(Y32:Y35)</f>
        <v>0</v>
      </c>
      <c r="Z36" s="151">
        <f ca="1">IFERROR(Y36/AA36,0)</f>
        <v>0</v>
      </c>
      <c r="AA36" s="188">
        <f ca="1">SUM(AA32:AA35)</f>
        <v>0</v>
      </c>
      <c r="AB36" s="188">
        <f ca="1">SUM(AB32:AB35)</f>
        <v>0</v>
      </c>
      <c r="AC36" s="188">
        <f ca="1">SUM(AC32:AC35)</f>
        <v>0</v>
      </c>
      <c r="AD36" s="188">
        <f ca="1">SUM(AD32:AD35)</f>
        <v>0</v>
      </c>
      <c r="AE36" s="188">
        <f ca="1">SUM(AE32:AE35)</f>
        <v>0</v>
      </c>
      <c r="AF36" s="152">
        <f ca="1">IFERROR(AE36/AE$29,0)</f>
        <v>0</v>
      </c>
      <c r="AG36" s="188">
        <f ca="1">SUM(AG32:AG35)</f>
        <v>0</v>
      </c>
      <c r="AH36" s="188">
        <f ca="1">SUM(AH32:AH35)</f>
        <v>0</v>
      </c>
      <c r="AI36" s="152">
        <f ca="1">IFERROR(AH36/AH$29,0)</f>
        <v>0</v>
      </c>
      <c r="AK36" s="182"/>
      <c r="AL36" s="182"/>
      <c r="AM36" s="188">
        <f>SUM(AM32:AM35)</f>
        <v>0</v>
      </c>
      <c r="AN36" s="188">
        <f>SUM(AN32:AN35)</f>
        <v>0</v>
      </c>
      <c r="AO36" s="151"/>
      <c r="AP36" s="151"/>
      <c r="AQ36" s="151"/>
      <c r="AR36" s="188">
        <f ca="1">SUM(AR32:AR35)</f>
        <v>0</v>
      </c>
      <c r="AS36" s="188">
        <f ca="1">SUM(AS32:AS35)</f>
        <v>0</v>
      </c>
      <c r="AT36" s="188">
        <f ca="1">SUM(AT32:AT35)</f>
        <v>0</v>
      </c>
      <c r="AU36" s="151">
        <f ca="1">IFERROR(AT36/AV36,0)</f>
        <v>0</v>
      </c>
      <c r="AV36" s="188">
        <f ca="1">SUM(AV32:AV35)</f>
        <v>0</v>
      </c>
      <c r="AW36" s="188">
        <f ca="1">SUM(AW32:AW35)</f>
        <v>0</v>
      </c>
      <c r="AX36" s="188">
        <f ca="1">SUM(AX32:AX35)</f>
        <v>0</v>
      </c>
      <c r="AY36" s="188">
        <f ca="1">SUM(AY32:AY35)</f>
        <v>0</v>
      </c>
      <c r="AZ36" s="188">
        <f ca="1">SUM(AZ32:AZ35)</f>
        <v>0</v>
      </c>
      <c r="BA36" s="152">
        <f ca="1">IFERROR(AZ36/AZ$29,0)</f>
        <v>0</v>
      </c>
      <c r="BB36" s="188">
        <f ca="1">SUM(BB32:BB35)</f>
        <v>0</v>
      </c>
      <c r="BC36" s="188">
        <f ca="1">SUM(BC32:BC35)</f>
        <v>0</v>
      </c>
      <c r="BD36" s="152">
        <f ca="1">IFERROR(BC36/BC$29,0)</f>
        <v>0</v>
      </c>
      <c r="BF36" s="182"/>
      <c r="BG36" s="182"/>
      <c r="BH36" s="188">
        <f>SUM(BH32:BH35)</f>
        <v>0</v>
      </c>
      <c r="BI36" s="188">
        <f>SUM(BI32:BI35)</f>
        <v>0</v>
      </c>
      <c r="BJ36" s="151"/>
      <c r="BK36" s="151"/>
      <c r="BL36" s="151"/>
      <c r="BM36" s="188">
        <f ca="1">SUM(BM32:BM35)</f>
        <v>0</v>
      </c>
      <c r="BN36" s="188">
        <f ca="1">SUM(BN32:BN35)</f>
        <v>0</v>
      </c>
      <c r="BO36" s="188">
        <f ca="1">SUM(BO32:BO35)</f>
        <v>0</v>
      </c>
      <c r="BP36" s="151">
        <f ca="1">IFERROR(BO36/BQ36,0)</f>
        <v>0</v>
      </c>
      <c r="BQ36" s="188">
        <f ca="1">SUM(BQ32:BQ35)</f>
        <v>0</v>
      </c>
      <c r="BR36" s="188">
        <f ca="1">SUM(BR32:BR35)</f>
        <v>0</v>
      </c>
      <c r="BS36" s="188">
        <f ca="1">SUM(BS32:BS35)</f>
        <v>0</v>
      </c>
      <c r="BT36" s="188">
        <f ca="1">SUM(BT32:BT35)</f>
        <v>0</v>
      </c>
      <c r="BU36" s="188">
        <f ca="1">SUM(BU32:BU35)</f>
        <v>0</v>
      </c>
      <c r="BV36" s="152">
        <f ca="1">IFERROR(BU36/BU$29,0)</f>
        <v>0</v>
      </c>
      <c r="BW36" s="188">
        <f ca="1">SUM(BW32:BW35)</f>
        <v>0</v>
      </c>
      <c r="BX36" s="188">
        <f ca="1">SUM(BX32:BX35)</f>
        <v>0</v>
      </c>
      <c r="BY36" s="152">
        <f ca="1">IFERROR(BX36/BX$29,0)</f>
        <v>0</v>
      </c>
      <c r="CA36" s="182"/>
      <c r="CB36" s="182"/>
      <c r="CC36" s="188">
        <f>SUM(CC32:CC35)</f>
        <v>0</v>
      </c>
      <c r="CD36" s="188">
        <f>SUM(CD32:CD35)</f>
        <v>0</v>
      </c>
      <c r="CE36" s="151"/>
      <c r="CF36" s="151"/>
      <c r="CG36" s="151"/>
      <c r="CH36" s="188">
        <f ca="1">SUM(CH32:CH35)</f>
        <v>0</v>
      </c>
      <c r="CI36" s="188">
        <f ca="1">SUM(CI32:CI35)</f>
        <v>0</v>
      </c>
      <c r="CJ36" s="188">
        <f ca="1">SUM(CJ32:CJ35)</f>
        <v>0</v>
      </c>
      <c r="CK36" s="151">
        <f ca="1">IFERROR(CJ36/CL36,0)</f>
        <v>0</v>
      </c>
      <c r="CL36" s="188">
        <f ca="1">SUM(CL32:CL35)</f>
        <v>0</v>
      </c>
      <c r="CM36" s="188">
        <f ca="1">SUM(CM32:CM35)</f>
        <v>0</v>
      </c>
      <c r="CN36" s="188">
        <f ca="1">SUM(CN32:CN35)</f>
        <v>0</v>
      </c>
      <c r="CO36" s="188">
        <f ca="1">SUM(CO32:CO35)</f>
        <v>0</v>
      </c>
      <c r="CP36" s="188">
        <f ca="1">SUM(CP32:CP35)</f>
        <v>0</v>
      </c>
      <c r="CQ36" s="152">
        <f ca="1">IFERROR(CP36/CP$29,0)</f>
        <v>0</v>
      </c>
      <c r="CR36" s="188">
        <f ca="1">SUM(CR32:CR35)</f>
        <v>0</v>
      </c>
      <c r="CS36" s="188">
        <f ca="1">SUM(CS32:CS35)</f>
        <v>0</v>
      </c>
      <c r="CT36" s="152">
        <f ca="1">IFERROR(CS36/CS$29,0)</f>
        <v>0</v>
      </c>
      <c r="CV36" s="182"/>
      <c r="CW36" s="182"/>
      <c r="CX36" s="188">
        <f>SUM(CX32:CX35)</f>
        <v>0</v>
      </c>
      <c r="CY36" s="188">
        <f>SUM(CY32:CY35)</f>
        <v>0</v>
      </c>
      <c r="CZ36" s="151"/>
      <c r="DA36" s="151"/>
      <c r="DB36" s="151"/>
      <c r="DC36" s="188">
        <f ca="1">SUM(DC32:DC35)</f>
        <v>0</v>
      </c>
      <c r="DD36" s="188">
        <f ca="1">SUM(DD32:DD35)</f>
        <v>0</v>
      </c>
      <c r="DE36" s="188">
        <f ca="1">SUM(DE32:DE35)</f>
        <v>0</v>
      </c>
      <c r="DF36" s="151">
        <f ca="1">IFERROR(DE36/DG36,0)</f>
        <v>0</v>
      </c>
      <c r="DG36" s="188">
        <f ca="1">SUM(DG32:DG35)</f>
        <v>0</v>
      </c>
      <c r="DH36" s="188">
        <f ca="1">SUM(DH32:DH35)</f>
        <v>0</v>
      </c>
      <c r="DI36" s="188">
        <f ca="1">SUM(DI32:DI35)</f>
        <v>0</v>
      </c>
      <c r="DJ36" s="188">
        <f ca="1">SUM(DJ32:DJ35)</f>
        <v>0</v>
      </c>
      <c r="DK36" s="188">
        <f ca="1">SUM(DK32:DK35)</f>
        <v>0</v>
      </c>
      <c r="DL36" s="152">
        <f ca="1">IFERROR(DK36/DK$29,0)</f>
        <v>0</v>
      </c>
      <c r="DM36" s="188">
        <f ca="1">SUM(DM32:DM35)</f>
        <v>0</v>
      </c>
      <c r="DN36" s="188">
        <f ca="1">SUM(DN32:DN35)</f>
        <v>0</v>
      </c>
      <c r="DO36" s="152">
        <f ca="1">IFERROR(DN36/DN$29,0)</f>
        <v>0</v>
      </c>
      <c r="DQ36" s="182"/>
      <c r="DR36" s="182"/>
      <c r="DS36" s="188">
        <f>SUM(DS32:DS35)</f>
        <v>0</v>
      </c>
      <c r="DT36" s="188">
        <f>SUM(DT32:DT35)</f>
        <v>0</v>
      </c>
      <c r="DU36" s="151"/>
      <c r="DV36" s="151"/>
      <c r="DW36" s="151"/>
      <c r="DX36" s="188">
        <f ca="1">SUM(DX32:DX35)</f>
        <v>0</v>
      </c>
      <c r="DY36" s="188">
        <f ca="1">SUM(DY32:DY35)</f>
        <v>0</v>
      </c>
      <c r="DZ36" s="188">
        <f ca="1">SUM(DZ32:DZ35)</f>
        <v>0</v>
      </c>
      <c r="EA36" s="151">
        <f ca="1">IFERROR(DZ36/EB36,0)</f>
        <v>0</v>
      </c>
      <c r="EB36" s="188">
        <f ca="1">SUM(EB32:EB35)</f>
        <v>0</v>
      </c>
      <c r="EC36" s="188">
        <f ca="1">SUM(EC32:EC35)</f>
        <v>0</v>
      </c>
      <c r="ED36" s="188">
        <f ca="1">SUM(ED32:ED35)</f>
        <v>0</v>
      </c>
      <c r="EE36" s="188">
        <f ca="1">SUM(EE32:EE35)</f>
        <v>0</v>
      </c>
      <c r="EF36" s="188">
        <f ca="1">SUM(EF32:EF35)</f>
        <v>0</v>
      </c>
      <c r="EG36" s="152">
        <f ca="1">IFERROR(EF36/EF$29,0)</f>
        <v>0</v>
      </c>
      <c r="EH36" s="188">
        <f ca="1">SUM(EH32:EH35)</f>
        <v>0</v>
      </c>
      <c r="EI36" s="188">
        <f ca="1">SUM(EI32:EI35)</f>
        <v>0</v>
      </c>
      <c r="EJ36" s="152">
        <f ca="1">IFERROR(EI36/EI$29,0)</f>
        <v>0</v>
      </c>
      <c r="EL36" s="188">
        <f>SUM(EL32:EL35)</f>
        <v>0</v>
      </c>
      <c r="EM36" s="188">
        <f>SUM(EM32:EM35)</f>
        <v>0</v>
      </c>
      <c r="EN36" s="151"/>
      <c r="EO36" s="151"/>
      <c r="EP36" s="151"/>
      <c r="EQ36" s="188">
        <f ca="1">SUM(EQ32:EQ35)</f>
        <v>0</v>
      </c>
      <c r="ER36" s="188">
        <f ca="1">SUM(ER32:ER35)</f>
        <v>0</v>
      </c>
      <c r="ES36" s="188">
        <f ca="1">SUM(ES32:ES35)</f>
        <v>0</v>
      </c>
      <c r="ET36" s="151">
        <f ca="1">IFERROR(ES36/EU36,0)</f>
        <v>0</v>
      </c>
      <c r="EU36" s="188">
        <f ca="1">SUM(EU32:EU35)</f>
        <v>0</v>
      </c>
      <c r="EV36" s="188">
        <f ca="1">SUM(EV32:EV35)</f>
        <v>0</v>
      </c>
      <c r="EW36" s="188">
        <f ca="1">SUM(EW32:EW35)</f>
        <v>0</v>
      </c>
      <c r="EX36" s="188">
        <f ca="1">SUM(EX32:EX35)</f>
        <v>0</v>
      </c>
      <c r="EY36" s="188">
        <f ca="1">SUM(EY32:EY35)</f>
        <v>0</v>
      </c>
      <c r="EZ36" s="152">
        <f ca="1">IFERROR(EY36/EY$29,0)</f>
        <v>0</v>
      </c>
      <c r="FA36" s="188">
        <f ca="1">SUM(FA32:FA35)</f>
        <v>0</v>
      </c>
      <c r="FB36" s="188">
        <f ca="1">SUM(FB32:FB35)</f>
        <v>0</v>
      </c>
      <c r="FC36" s="152">
        <f ca="1">IFERROR(FB36/FB$29,0)</f>
        <v>0</v>
      </c>
      <c r="FF36" s="188">
        <f ca="1">SUM(FF32:FF35)</f>
        <v>0</v>
      </c>
      <c r="FG36" s="188">
        <f ca="1">SUM(FG32:FG35)</f>
        <v>0</v>
      </c>
      <c r="FH36" s="188">
        <f ca="1">SUM(FH32:FH35)</f>
        <v>0</v>
      </c>
      <c r="FK36" s="188">
        <f ca="1">SUM(FK32:FK35)</f>
        <v>0</v>
      </c>
      <c r="FL36" s="188">
        <f ca="1">SUM(FL32:FL35)</f>
        <v>0</v>
      </c>
      <c r="FM36" s="188">
        <f ca="1">SUM(FM32:FM35)</f>
        <v>0</v>
      </c>
    </row>
    <row r="37" spans="2:169">
      <c r="BF37" s="155"/>
      <c r="BG37" s="155"/>
      <c r="CA37" s="155"/>
      <c r="CB37" s="155"/>
      <c r="CV37" s="155"/>
      <c r="CW37" s="155"/>
      <c r="DQ37" s="155"/>
      <c r="DR37" s="155"/>
    </row>
    <row r="38" spans="2:169">
      <c r="B38" s="189" t="s">
        <v>437</v>
      </c>
      <c r="BF38" s="155"/>
      <c r="BG38" s="155"/>
      <c r="CA38" s="155"/>
      <c r="CB38" s="155"/>
      <c r="CV38" s="155"/>
      <c r="CW38" s="155"/>
      <c r="DQ38" s="155"/>
      <c r="DR38" s="155"/>
    </row>
    <row r="39" spans="2:169">
      <c r="B39" s="150" t="s">
        <v>448</v>
      </c>
      <c r="D39" s="177" t="s">
        <v>27</v>
      </c>
      <c r="E39" s="177" t="s">
        <v>27</v>
      </c>
      <c r="G39" s="155" t="s">
        <v>27</v>
      </c>
      <c r="H39" s="155" t="s">
        <v>27</v>
      </c>
      <c r="I39" s="186">
        <f t="shared" ref="I39:K43" si="132">SUMIFS(I$6:I$28,$H$6:$H$28,$B39)</f>
        <v>0</v>
      </c>
      <c r="J39" s="186">
        <f t="shared" si="132"/>
        <v>0</v>
      </c>
      <c r="K39" s="186">
        <f t="shared" si="132"/>
        <v>0</v>
      </c>
      <c r="L39" s="147">
        <f>IFERROR(K39/K$29,0)</f>
        <v>0</v>
      </c>
      <c r="M39" s="186">
        <f>SUMIFS(M$6:M$28,$H$6:$H$28,$B39)</f>
        <v>0</v>
      </c>
      <c r="N39" s="147">
        <f>IFERROR(M39/M$29,0)</f>
        <v>0</v>
      </c>
      <c r="P39" s="155" t="s">
        <v>27</v>
      </c>
      <c r="Q39" s="155" t="s">
        <v>27</v>
      </c>
      <c r="R39" s="186">
        <f t="shared" ref="R39:S43" si="133">SUMIFS(R$6:R$28,$Q$6:$Q$28,$B39)</f>
        <v>0</v>
      </c>
      <c r="S39" s="186">
        <f t="shared" si="133"/>
        <v>0</v>
      </c>
      <c r="T39" s="187" t="s">
        <v>27</v>
      </c>
      <c r="U39" s="187" t="s">
        <v>27</v>
      </c>
      <c r="V39" s="187" t="s">
        <v>27</v>
      </c>
      <c r="W39" s="186">
        <f t="shared" ref="W39:Y43" ca="1" si="134">SUMIFS(W$6:W$28,$Q$6:$Q$28,$B39)</f>
        <v>0</v>
      </c>
      <c r="X39" s="186">
        <f t="shared" ca="1" si="134"/>
        <v>0</v>
      </c>
      <c r="Y39" s="186">
        <f t="shared" ca="1" si="134"/>
        <v>0</v>
      </c>
      <c r="Z39" s="149">
        <f t="shared" ref="Z39:Z43" ca="1" si="135">IFERROR(Y39/AA39,0)</f>
        <v>0</v>
      </c>
      <c r="AA39" s="186">
        <f t="shared" ref="AA39:AE43" ca="1" si="136">SUMIFS(AA$6:AA$28,$Q$6:$Q$28,$B39)</f>
        <v>0</v>
      </c>
      <c r="AB39" s="186">
        <f t="shared" ca="1" si="136"/>
        <v>0</v>
      </c>
      <c r="AC39" s="186">
        <f t="shared" ca="1" si="136"/>
        <v>0</v>
      </c>
      <c r="AD39" s="186">
        <f t="shared" ca="1" si="136"/>
        <v>0</v>
      </c>
      <c r="AE39" s="186">
        <f t="shared" ca="1" si="136"/>
        <v>0</v>
      </c>
      <c r="AF39" s="147">
        <f ca="1">IFERROR(AE39/AE$29,0)</f>
        <v>0</v>
      </c>
      <c r="AG39" s="186">
        <f t="shared" ref="AG39:AH43" ca="1" si="137">SUMIFS(AG$6:AG$28,$Q$6:$Q$28,$B39)</f>
        <v>0</v>
      </c>
      <c r="AH39" s="186">
        <f t="shared" ca="1" si="137"/>
        <v>0</v>
      </c>
      <c r="AI39" s="147">
        <f ca="1">IFERROR(AH39/AH$29,0)</f>
        <v>0</v>
      </c>
      <c r="AK39" s="155" t="s">
        <v>27</v>
      </c>
      <c r="AL39" s="155" t="s">
        <v>27</v>
      </c>
      <c r="AM39" s="186">
        <f t="shared" ref="AM39:AN44" si="138">SUMIFS(AM$6:AM$28,$AL$6:$AL$28,$B39)</f>
        <v>0</v>
      </c>
      <c r="AN39" s="186">
        <f t="shared" si="138"/>
        <v>0</v>
      </c>
      <c r="AO39" s="187" t="s">
        <v>27</v>
      </c>
      <c r="AP39" s="187" t="s">
        <v>27</v>
      </c>
      <c r="AQ39" s="187" t="s">
        <v>27</v>
      </c>
      <c r="AR39" s="186">
        <f t="shared" ref="AR39:AT44" ca="1" si="139">SUMIFS(AR$6:AR$28,$AL$6:$AL$28,$B39)</f>
        <v>0</v>
      </c>
      <c r="AS39" s="186">
        <f t="shared" ca="1" si="139"/>
        <v>0</v>
      </c>
      <c r="AT39" s="186">
        <f t="shared" ca="1" si="139"/>
        <v>0</v>
      </c>
      <c r="AU39" s="149">
        <f t="shared" ref="AU39:AU43" ca="1" si="140">IFERROR(AT39/AV39,0)</f>
        <v>0</v>
      </c>
      <c r="AV39" s="186">
        <f t="shared" ref="AV39:AZ44" ca="1" si="141">SUMIFS(AV$6:AV$28,$AL$6:$AL$28,$B39)</f>
        <v>0</v>
      </c>
      <c r="AW39" s="186">
        <f t="shared" ca="1" si="141"/>
        <v>0</v>
      </c>
      <c r="AX39" s="186">
        <f t="shared" ca="1" si="141"/>
        <v>0</v>
      </c>
      <c r="AY39" s="186">
        <f t="shared" ca="1" si="141"/>
        <v>0</v>
      </c>
      <c r="AZ39" s="186">
        <f t="shared" ca="1" si="141"/>
        <v>0</v>
      </c>
      <c r="BA39" s="147">
        <f ca="1">IFERROR(AZ39/AZ$29,0)</f>
        <v>0</v>
      </c>
      <c r="BB39" s="186">
        <f t="shared" ref="BB39:BC44" ca="1" si="142">SUMIFS(BB$6:BB$28,$AL$6:$AL$28,$B39)</f>
        <v>0</v>
      </c>
      <c r="BC39" s="186">
        <f t="shared" ca="1" si="142"/>
        <v>0</v>
      </c>
      <c r="BD39" s="147">
        <f ca="1">IFERROR(BC39/BC$29,0)</f>
        <v>0</v>
      </c>
      <c r="BF39" s="190" t="s">
        <v>450</v>
      </c>
      <c r="BG39" s="190" t="s">
        <v>450</v>
      </c>
      <c r="BH39" s="186">
        <f t="shared" ref="BH39:BI43" si="143">SUMIFS(BH$6:BH$28,$BG$6:$BG$28,$B39)</f>
        <v>0</v>
      </c>
      <c r="BI39" s="186">
        <f t="shared" si="143"/>
        <v>0</v>
      </c>
      <c r="BJ39" s="187" t="s">
        <v>27</v>
      </c>
      <c r="BK39" s="187" t="s">
        <v>27</v>
      </c>
      <c r="BL39" s="187" t="s">
        <v>27</v>
      </c>
      <c r="BM39" s="186">
        <f t="shared" ref="BM39:BO43" ca="1" si="144">SUMIFS(BM$6:BM$28,$BG$6:$BG$28,$B39)</f>
        <v>0</v>
      </c>
      <c r="BN39" s="186">
        <f t="shared" ca="1" si="144"/>
        <v>0</v>
      </c>
      <c r="BO39" s="186">
        <f t="shared" ca="1" si="144"/>
        <v>0</v>
      </c>
      <c r="BP39" s="149">
        <f t="shared" ref="BP39:BP43" ca="1" si="145">IFERROR(BO39/BQ39,0)</f>
        <v>0</v>
      </c>
      <c r="BQ39" s="186">
        <f t="shared" ref="BQ39:BU43" ca="1" si="146">SUMIFS(BQ$6:BQ$28,$BG$6:$BG$28,$B39)</f>
        <v>0</v>
      </c>
      <c r="BR39" s="186">
        <f t="shared" ca="1" si="146"/>
        <v>0</v>
      </c>
      <c r="BS39" s="186">
        <f t="shared" ca="1" si="146"/>
        <v>0</v>
      </c>
      <c r="BT39" s="186">
        <f t="shared" ca="1" si="146"/>
        <v>0</v>
      </c>
      <c r="BU39" s="186">
        <f t="shared" ca="1" si="146"/>
        <v>0</v>
      </c>
      <c r="BV39" s="147">
        <f ca="1">IFERROR(BU39/BU$29,0)</f>
        <v>0</v>
      </c>
      <c r="BW39" s="186">
        <f t="shared" ref="BW39:BX43" ca="1" si="147">SUMIFS(BW$6:BW$28,$BG$6:$BG$28,$B39)</f>
        <v>0</v>
      </c>
      <c r="BX39" s="186">
        <f t="shared" ca="1" si="147"/>
        <v>0</v>
      </c>
      <c r="BY39" s="147">
        <f ca="1">IFERROR(BX39/BX$29,0)</f>
        <v>0</v>
      </c>
      <c r="CA39" s="155" t="s">
        <v>27</v>
      </c>
      <c r="CB39" s="155" t="s">
        <v>27</v>
      </c>
      <c r="CC39" s="186">
        <f t="shared" ref="CC39:CD44" si="148">SUMIFS(CC$6:CC$28,$CB$6:$CB$28,$B39)</f>
        <v>0</v>
      </c>
      <c r="CD39" s="186">
        <f t="shared" si="148"/>
        <v>0</v>
      </c>
      <c r="CE39" s="187" t="s">
        <v>27</v>
      </c>
      <c r="CF39" s="187" t="s">
        <v>27</v>
      </c>
      <c r="CG39" s="187" t="s">
        <v>27</v>
      </c>
      <c r="CH39" s="186">
        <f t="shared" ref="CH39:CJ44" ca="1" si="149">SUMIFS(CH$6:CH$28,$CB$6:$CB$28,$B39)</f>
        <v>0</v>
      </c>
      <c r="CI39" s="186">
        <f t="shared" ca="1" si="149"/>
        <v>0</v>
      </c>
      <c r="CJ39" s="186">
        <f t="shared" ca="1" si="149"/>
        <v>0</v>
      </c>
      <c r="CK39" s="149">
        <f t="shared" ref="CK39:CK43" ca="1" si="150">IFERROR(CJ39/CL39,0)</f>
        <v>0</v>
      </c>
      <c r="CL39" s="186">
        <f t="shared" ref="CL39:CM44" ca="1" si="151">SUMIFS(CL$6:CL$28,$CB$6:$CB$28,$B39)</f>
        <v>0</v>
      </c>
      <c r="CM39" s="186">
        <f t="shared" ca="1" si="151"/>
        <v>0</v>
      </c>
      <c r="CN39" s="147">
        <f ca="1">IFERROR(CM39/CM$29,0)</f>
        <v>0</v>
      </c>
      <c r="CO39" s="186">
        <f t="shared" ref="CO39:CP44" ca="1" si="152">SUMIFS(CO$6:CO$28,$CB$6:$CB$28,$B39)</f>
        <v>0</v>
      </c>
      <c r="CP39" s="186">
        <f t="shared" ca="1" si="152"/>
        <v>0</v>
      </c>
      <c r="CQ39" s="147">
        <f ca="1">IFERROR(CP39/CP$29,0)</f>
        <v>0</v>
      </c>
      <c r="CR39" s="186">
        <f t="shared" ref="CR39:CS44" ca="1" si="153">SUMIFS(CR$6:CR$28,$CB$6:$CB$28,$B39)</f>
        <v>0</v>
      </c>
      <c r="CS39" s="186">
        <f t="shared" ca="1" si="153"/>
        <v>0</v>
      </c>
      <c r="CT39" s="147">
        <f ca="1">IFERROR(CS39/CS$29,0)</f>
        <v>0</v>
      </c>
      <c r="CV39" s="155" t="s">
        <v>27</v>
      </c>
      <c r="CW39" s="155" t="s">
        <v>27</v>
      </c>
      <c r="CX39" s="186">
        <f t="shared" ref="CX39:CY43" si="154">SUMIFS(CX$6:CX$28,$CW$6:$CW$28,$B39)</f>
        <v>0</v>
      </c>
      <c r="CY39" s="186">
        <f t="shared" si="154"/>
        <v>0</v>
      </c>
      <c r="CZ39" s="187" t="s">
        <v>27</v>
      </c>
      <c r="DA39" s="187" t="s">
        <v>27</v>
      </c>
      <c r="DB39" s="187" t="s">
        <v>27</v>
      </c>
      <c r="DC39" s="186">
        <f t="shared" ref="DC39:DE43" ca="1" si="155">SUMIFS(DC$6:DC$28,$CW$6:$CW$28,$B39)</f>
        <v>0</v>
      </c>
      <c r="DD39" s="186">
        <f t="shared" ca="1" si="155"/>
        <v>0</v>
      </c>
      <c r="DE39" s="186">
        <f t="shared" ca="1" si="155"/>
        <v>0</v>
      </c>
      <c r="DF39" s="149">
        <f t="shared" ref="DF39:DF43" ca="1" si="156">IFERROR(DE39/DG39,0)</f>
        <v>0</v>
      </c>
      <c r="DG39" s="186">
        <f t="shared" ref="DG39:DK43" ca="1" si="157">SUMIFS(DG$6:DG$28,$CW$6:$CW$28,$B39)</f>
        <v>0</v>
      </c>
      <c r="DH39" s="186">
        <f t="shared" ca="1" si="157"/>
        <v>0</v>
      </c>
      <c r="DI39" s="186">
        <f t="shared" ca="1" si="157"/>
        <v>0</v>
      </c>
      <c r="DJ39" s="186">
        <f t="shared" ca="1" si="157"/>
        <v>0</v>
      </c>
      <c r="DK39" s="186">
        <f t="shared" ca="1" si="157"/>
        <v>0</v>
      </c>
      <c r="DL39" s="147">
        <f ca="1">IFERROR(DK39/DK$29,0)</f>
        <v>0</v>
      </c>
      <c r="DM39" s="186">
        <f t="shared" ref="DM39:DN43" ca="1" si="158">SUMIFS(DM$6:DM$28,$CW$6:$CW$28,$B39)</f>
        <v>0</v>
      </c>
      <c r="DN39" s="186">
        <f t="shared" ca="1" si="158"/>
        <v>0</v>
      </c>
      <c r="DO39" s="147">
        <f ca="1">IFERROR(DN39/DN$29,0)</f>
        <v>0</v>
      </c>
      <c r="DQ39" s="155" t="s">
        <v>27</v>
      </c>
      <c r="DR39" s="155" t="s">
        <v>27</v>
      </c>
      <c r="DS39" s="186">
        <f t="shared" ref="DS39:DT43" si="159">SUMIFS(DS$6:DS$28,$CW$6:$CW$28,$B39)</f>
        <v>0</v>
      </c>
      <c r="DT39" s="186">
        <f t="shared" si="159"/>
        <v>0</v>
      </c>
      <c r="DU39" s="187" t="s">
        <v>27</v>
      </c>
      <c r="DV39" s="187" t="s">
        <v>27</v>
      </c>
      <c r="DW39" s="187" t="s">
        <v>27</v>
      </c>
      <c r="DX39" s="186">
        <f t="shared" ref="DX39:DZ43" ca="1" si="160">SUMIFS(DX$6:DX$28,$CW$6:$CW$28,$B39)</f>
        <v>0</v>
      </c>
      <c r="DY39" s="186">
        <f t="shared" ca="1" si="160"/>
        <v>0</v>
      </c>
      <c r="DZ39" s="186">
        <f t="shared" ca="1" si="160"/>
        <v>0</v>
      </c>
      <c r="EA39" s="149">
        <f t="shared" ref="EA39:EA43" ca="1" si="161">IFERROR(DZ39/EB39,0)</f>
        <v>0</v>
      </c>
      <c r="EB39" s="186">
        <f t="shared" ref="EB39:EF43" ca="1" si="162">SUMIFS(EB$6:EB$28,$CW$6:$CW$28,$B39)</f>
        <v>0</v>
      </c>
      <c r="EC39" s="186">
        <f t="shared" ca="1" si="162"/>
        <v>0</v>
      </c>
      <c r="ED39" s="186">
        <f t="shared" ca="1" si="162"/>
        <v>0</v>
      </c>
      <c r="EE39" s="186">
        <f t="shared" ca="1" si="162"/>
        <v>0</v>
      </c>
      <c r="EF39" s="186">
        <f t="shared" ca="1" si="162"/>
        <v>0</v>
      </c>
      <c r="EG39" s="147">
        <f ca="1">IFERROR(EF39/EF$29,0)</f>
        <v>0</v>
      </c>
      <c r="EH39" s="186">
        <f t="shared" ref="EH39:EI43" ca="1" si="163">SUMIFS(EH$6:EH$28,$CW$6:$CW$28,$B39)</f>
        <v>0</v>
      </c>
      <c r="EI39" s="186">
        <f t="shared" ca="1" si="163"/>
        <v>0</v>
      </c>
      <c r="EJ39" s="147">
        <f ca="1">IFERROR(EI39/EI$29,0)</f>
        <v>0</v>
      </c>
      <c r="FF39" s="146">
        <f ca="1">OFFSET($G39,0,IF($FF$4=$G$4,1,12)+MATCH($FF$4,$G$4:$FC$4,0))</f>
        <v>0</v>
      </c>
      <c r="FG39" s="146">
        <f ca="1">OFFSET($G39,0,IF($FF$4=$G$4,2,13)+MATCH($FF$4,$G$4:$FC$4,0))</f>
        <v>0</v>
      </c>
      <c r="FH39" s="146">
        <f ca="1">OFFSET($G39,0,IF($FF$4=$G$4,5,17)+MATCH($FF$4,$G$4:$FC$4,0))</f>
        <v>0</v>
      </c>
      <c r="FK39" s="174" t="str">
        <f t="shared" ref="FK39:FL43" ca="1" si="164">IFERROR(OFFSET($G39,0,IF($FK$4=$G$4,1,12)+MATCH($FK$4,$G$4:$FC$4,0)),"na")</f>
        <v>na</v>
      </c>
      <c r="FL39" s="174" t="str">
        <f t="shared" ca="1" si="164"/>
        <v>na</v>
      </c>
      <c r="FM39" s="174" t="str">
        <f ca="1">IFERROR(OFFSET($G39,0,IF($FK$4=$G$4,5,17)+MATCH($FK$4,$G$4:$FC$4,0)),"na")</f>
        <v>na</v>
      </c>
    </row>
    <row r="40" spans="2:169">
      <c r="B40" s="150" t="s">
        <v>449</v>
      </c>
      <c r="D40" s="177" t="s">
        <v>27</v>
      </c>
      <c r="E40" s="177" t="s">
        <v>27</v>
      </c>
      <c r="G40" s="155" t="s">
        <v>27</v>
      </c>
      <c r="H40" s="155" t="s">
        <v>27</v>
      </c>
      <c r="I40" s="186">
        <f t="shared" si="132"/>
        <v>0</v>
      </c>
      <c r="J40" s="186">
        <f t="shared" si="132"/>
        <v>0</v>
      </c>
      <c r="K40" s="186">
        <f t="shared" si="132"/>
        <v>0</v>
      </c>
      <c r="L40" s="147">
        <f t="shared" ref="L40:L44" si="165">IFERROR(K40/K$29,0)</f>
        <v>0</v>
      </c>
      <c r="M40" s="186">
        <f>SUMIFS(M$6:M$28,$H$6:$H$28,$B40)</f>
        <v>0</v>
      </c>
      <c r="N40" s="147">
        <f t="shared" ref="N40:N44" si="166">IFERROR(M40/M$29,0)</f>
        <v>0</v>
      </c>
      <c r="P40" s="155" t="s">
        <v>27</v>
      </c>
      <c r="Q40" s="155" t="s">
        <v>27</v>
      </c>
      <c r="R40" s="186">
        <f t="shared" si="133"/>
        <v>0</v>
      </c>
      <c r="S40" s="186">
        <f t="shared" si="133"/>
        <v>0</v>
      </c>
      <c r="T40" s="187" t="s">
        <v>27</v>
      </c>
      <c r="U40" s="187" t="s">
        <v>27</v>
      </c>
      <c r="V40" s="187" t="s">
        <v>27</v>
      </c>
      <c r="W40" s="186">
        <f t="shared" si="134"/>
        <v>0</v>
      </c>
      <c r="X40" s="186">
        <f t="shared" si="134"/>
        <v>0</v>
      </c>
      <c r="Y40" s="186">
        <f t="shared" si="134"/>
        <v>0</v>
      </c>
      <c r="Z40" s="149">
        <f t="shared" si="135"/>
        <v>0</v>
      </c>
      <c r="AA40" s="186">
        <f t="shared" si="136"/>
        <v>0</v>
      </c>
      <c r="AB40" s="186">
        <f t="shared" si="136"/>
        <v>0</v>
      </c>
      <c r="AC40" s="186">
        <f t="shared" si="136"/>
        <v>0</v>
      </c>
      <c r="AD40" s="186">
        <f t="shared" si="136"/>
        <v>0</v>
      </c>
      <c r="AE40" s="186">
        <f t="shared" si="136"/>
        <v>0</v>
      </c>
      <c r="AF40" s="147">
        <f t="shared" ref="AF40:AF44" ca="1" si="167">IFERROR(AE40/AE$29,0)</f>
        <v>0</v>
      </c>
      <c r="AG40" s="186">
        <f t="shared" si="137"/>
        <v>0</v>
      </c>
      <c r="AH40" s="186">
        <f t="shared" si="137"/>
        <v>0</v>
      </c>
      <c r="AI40" s="147">
        <f t="shared" ref="AI40:AI44" ca="1" si="168">IFERROR(AH40/AH$29,0)</f>
        <v>0</v>
      </c>
      <c r="AK40" s="155" t="s">
        <v>27</v>
      </c>
      <c r="AL40" s="155" t="s">
        <v>27</v>
      </c>
      <c r="AM40" s="186">
        <f t="shared" si="138"/>
        <v>0</v>
      </c>
      <c r="AN40" s="186">
        <f t="shared" si="138"/>
        <v>0</v>
      </c>
      <c r="AO40" s="187" t="s">
        <v>27</v>
      </c>
      <c r="AP40" s="187" t="s">
        <v>27</v>
      </c>
      <c r="AQ40" s="187" t="s">
        <v>27</v>
      </c>
      <c r="AR40" s="186">
        <f t="shared" si="139"/>
        <v>0</v>
      </c>
      <c r="AS40" s="186">
        <f t="shared" si="139"/>
        <v>0</v>
      </c>
      <c r="AT40" s="186">
        <f t="shared" si="139"/>
        <v>0</v>
      </c>
      <c r="AU40" s="149">
        <f t="shared" si="140"/>
        <v>0</v>
      </c>
      <c r="AV40" s="186">
        <f t="shared" si="141"/>
        <v>0</v>
      </c>
      <c r="AW40" s="186">
        <f t="shared" si="141"/>
        <v>0</v>
      </c>
      <c r="AX40" s="186">
        <f t="shared" si="141"/>
        <v>0</v>
      </c>
      <c r="AY40" s="186">
        <f t="shared" si="141"/>
        <v>0</v>
      </c>
      <c r="AZ40" s="186">
        <f t="shared" si="141"/>
        <v>0</v>
      </c>
      <c r="BA40" s="147">
        <f t="shared" ref="BA40:BA44" ca="1" si="169">IFERROR(AZ40/AZ$29,0)</f>
        <v>0</v>
      </c>
      <c r="BB40" s="186">
        <f t="shared" si="142"/>
        <v>0</v>
      </c>
      <c r="BC40" s="186">
        <f t="shared" si="142"/>
        <v>0</v>
      </c>
      <c r="BD40" s="147">
        <f t="shared" ref="BD40:BD44" ca="1" si="170">IFERROR(BC40/BC$29,0)</f>
        <v>0</v>
      </c>
      <c r="BF40" s="190" t="s">
        <v>450</v>
      </c>
      <c r="BG40" s="190" t="s">
        <v>450</v>
      </c>
      <c r="BH40" s="186">
        <f t="shared" si="143"/>
        <v>0</v>
      </c>
      <c r="BI40" s="186">
        <f t="shared" si="143"/>
        <v>0</v>
      </c>
      <c r="BJ40" s="187" t="s">
        <v>27</v>
      </c>
      <c r="BK40" s="187" t="s">
        <v>27</v>
      </c>
      <c r="BL40" s="187" t="s">
        <v>27</v>
      </c>
      <c r="BM40" s="186">
        <f t="shared" si="144"/>
        <v>0</v>
      </c>
      <c r="BN40" s="186">
        <f t="shared" si="144"/>
        <v>0</v>
      </c>
      <c r="BO40" s="186">
        <f t="shared" si="144"/>
        <v>0</v>
      </c>
      <c r="BP40" s="149">
        <f t="shared" si="145"/>
        <v>0</v>
      </c>
      <c r="BQ40" s="186">
        <f t="shared" si="146"/>
        <v>0</v>
      </c>
      <c r="BR40" s="186">
        <f t="shared" si="146"/>
        <v>0</v>
      </c>
      <c r="BS40" s="186">
        <f t="shared" si="146"/>
        <v>0</v>
      </c>
      <c r="BT40" s="186">
        <f t="shared" si="146"/>
        <v>0</v>
      </c>
      <c r="BU40" s="186">
        <f t="shared" si="146"/>
        <v>0</v>
      </c>
      <c r="BV40" s="147">
        <f t="shared" ref="BV40:BV44" ca="1" si="171">IFERROR(BU40/BU$29,0)</f>
        <v>0</v>
      </c>
      <c r="BW40" s="186">
        <f t="shared" si="147"/>
        <v>0</v>
      </c>
      <c r="BX40" s="186">
        <f t="shared" si="147"/>
        <v>0</v>
      </c>
      <c r="BY40" s="147">
        <f t="shared" ref="BY40:BY44" ca="1" si="172">IFERROR(BX40/BX$29,0)</f>
        <v>0</v>
      </c>
      <c r="CA40" s="155" t="s">
        <v>27</v>
      </c>
      <c r="CB40" s="155" t="s">
        <v>27</v>
      </c>
      <c r="CC40" s="186">
        <f t="shared" si="148"/>
        <v>0</v>
      </c>
      <c r="CD40" s="186">
        <f t="shared" si="148"/>
        <v>0</v>
      </c>
      <c r="CE40" s="187" t="s">
        <v>27</v>
      </c>
      <c r="CF40" s="187" t="s">
        <v>27</v>
      </c>
      <c r="CG40" s="187" t="s">
        <v>27</v>
      </c>
      <c r="CH40" s="186">
        <f t="shared" si="149"/>
        <v>0</v>
      </c>
      <c r="CI40" s="186">
        <f t="shared" si="149"/>
        <v>0</v>
      </c>
      <c r="CJ40" s="186">
        <f t="shared" si="149"/>
        <v>0</v>
      </c>
      <c r="CK40" s="149">
        <f t="shared" si="150"/>
        <v>0</v>
      </c>
      <c r="CL40" s="186">
        <f t="shared" si="151"/>
        <v>0</v>
      </c>
      <c r="CM40" s="186">
        <f t="shared" si="151"/>
        <v>0</v>
      </c>
      <c r="CN40" s="147">
        <f t="shared" ref="CN40:CN44" ca="1" si="173">IFERROR(CM40/CM$29,0)</f>
        <v>0</v>
      </c>
      <c r="CO40" s="186">
        <f t="shared" si="152"/>
        <v>0</v>
      </c>
      <c r="CP40" s="186">
        <f t="shared" si="152"/>
        <v>0</v>
      </c>
      <c r="CQ40" s="147">
        <f t="shared" ref="CQ40:CQ44" ca="1" si="174">IFERROR(CP40/CP$29,0)</f>
        <v>0</v>
      </c>
      <c r="CR40" s="186">
        <f t="shared" si="153"/>
        <v>0</v>
      </c>
      <c r="CS40" s="186">
        <f t="shared" si="153"/>
        <v>0</v>
      </c>
      <c r="CT40" s="147">
        <f t="shared" ref="CT40:CT44" ca="1" si="175">IFERROR(CS40/CS$29,0)</f>
        <v>0</v>
      </c>
      <c r="CV40" s="155" t="s">
        <v>27</v>
      </c>
      <c r="CW40" s="155" t="s">
        <v>27</v>
      </c>
      <c r="CX40" s="186">
        <f t="shared" si="154"/>
        <v>0</v>
      </c>
      <c r="CY40" s="186">
        <f t="shared" si="154"/>
        <v>0</v>
      </c>
      <c r="CZ40" s="187" t="s">
        <v>27</v>
      </c>
      <c r="DA40" s="187" t="s">
        <v>27</v>
      </c>
      <c r="DB40" s="187" t="s">
        <v>27</v>
      </c>
      <c r="DC40" s="186">
        <f t="shared" si="155"/>
        <v>0</v>
      </c>
      <c r="DD40" s="186">
        <f t="shared" si="155"/>
        <v>0</v>
      </c>
      <c r="DE40" s="186">
        <f t="shared" si="155"/>
        <v>0</v>
      </c>
      <c r="DF40" s="149">
        <f t="shared" si="156"/>
        <v>0</v>
      </c>
      <c r="DG40" s="186">
        <f t="shared" si="157"/>
        <v>0</v>
      </c>
      <c r="DH40" s="186">
        <f t="shared" si="157"/>
        <v>0</v>
      </c>
      <c r="DI40" s="186">
        <f t="shared" si="157"/>
        <v>0</v>
      </c>
      <c r="DJ40" s="186">
        <f t="shared" si="157"/>
        <v>0</v>
      </c>
      <c r="DK40" s="186">
        <f t="shared" si="157"/>
        <v>0</v>
      </c>
      <c r="DL40" s="147">
        <f t="shared" ref="DL40:DL44" ca="1" si="176">IFERROR(DK40/DK$29,0)</f>
        <v>0</v>
      </c>
      <c r="DM40" s="186">
        <f t="shared" si="158"/>
        <v>0</v>
      </c>
      <c r="DN40" s="186">
        <f t="shared" si="158"/>
        <v>0</v>
      </c>
      <c r="DO40" s="147">
        <f t="shared" ref="DO40:DO44" ca="1" si="177">IFERROR(DN40/DN$29,0)</f>
        <v>0</v>
      </c>
      <c r="DQ40" s="155" t="s">
        <v>27</v>
      </c>
      <c r="DR40" s="155" t="s">
        <v>27</v>
      </c>
      <c r="DS40" s="186">
        <f t="shared" si="159"/>
        <v>0</v>
      </c>
      <c r="DT40" s="186">
        <f t="shared" si="159"/>
        <v>0</v>
      </c>
      <c r="DU40" s="187" t="s">
        <v>27</v>
      </c>
      <c r="DV40" s="187" t="s">
        <v>27</v>
      </c>
      <c r="DW40" s="187" t="s">
        <v>27</v>
      </c>
      <c r="DX40" s="186">
        <f t="shared" si="160"/>
        <v>0</v>
      </c>
      <c r="DY40" s="186">
        <f t="shared" si="160"/>
        <v>0</v>
      </c>
      <c r="DZ40" s="186">
        <f t="shared" si="160"/>
        <v>0</v>
      </c>
      <c r="EA40" s="149">
        <f t="shared" si="161"/>
        <v>0</v>
      </c>
      <c r="EB40" s="186">
        <f t="shared" si="162"/>
        <v>0</v>
      </c>
      <c r="EC40" s="186">
        <f t="shared" si="162"/>
        <v>0</v>
      </c>
      <c r="ED40" s="186">
        <f t="shared" si="162"/>
        <v>0</v>
      </c>
      <c r="EE40" s="186">
        <f t="shared" si="162"/>
        <v>0</v>
      </c>
      <c r="EF40" s="186">
        <f t="shared" si="162"/>
        <v>0</v>
      </c>
      <c r="EG40" s="147">
        <f t="shared" ref="EG40:EG44" ca="1" si="178">IFERROR(EF40/EF$29,0)</f>
        <v>0</v>
      </c>
      <c r="EH40" s="186">
        <f t="shared" si="163"/>
        <v>0</v>
      </c>
      <c r="EI40" s="186">
        <f t="shared" si="163"/>
        <v>0</v>
      </c>
      <c r="EJ40" s="147">
        <f t="shared" ref="EJ40:EJ44" ca="1" si="179">IFERROR(EI40/EI$29,0)</f>
        <v>0</v>
      </c>
      <c r="FF40" s="146">
        <f ca="1">OFFSET($G40,0,IF($FF$4=$G$4,1,12)+MATCH($FF$4,$G$4:$FC$4,0))</f>
        <v>0</v>
      </c>
      <c r="FG40" s="146">
        <f ca="1">OFFSET($G40,0,IF($FF$4=$G$4,2,13)+MATCH($FF$4,$G$4:$FC$4,0))</f>
        <v>0</v>
      </c>
      <c r="FH40" s="146">
        <f ca="1">OFFSET($G40,0,IF($FF$4=$G$4,5,17)+MATCH($FF$4,$G$4:$FC$4,0))</f>
        <v>0</v>
      </c>
      <c r="FK40" s="174" t="str">
        <f t="shared" ca="1" si="164"/>
        <v>na</v>
      </c>
      <c r="FL40" s="174" t="str">
        <f t="shared" ca="1" si="164"/>
        <v>na</v>
      </c>
      <c r="FM40" s="174" t="str">
        <f ca="1">IFERROR(OFFSET($G40,0,IF($FK$4=$G$4,5,17)+MATCH($FK$4,$G$4:$FC$4,0)),"na")</f>
        <v>na</v>
      </c>
    </row>
    <row r="41" spans="2:169">
      <c r="B41" s="145" t="s">
        <v>451</v>
      </c>
      <c r="D41" s="177" t="s">
        <v>27</v>
      </c>
      <c r="E41" s="177" t="s">
        <v>27</v>
      </c>
      <c r="G41" s="155" t="s">
        <v>27</v>
      </c>
      <c r="H41" s="155" t="s">
        <v>27</v>
      </c>
      <c r="I41" s="186">
        <f t="shared" si="132"/>
        <v>0</v>
      </c>
      <c r="J41" s="186">
        <f t="shared" si="132"/>
        <v>0</v>
      </c>
      <c r="K41" s="186">
        <f t="shared" si="132"/>
        <v>0</v>
      </c>
      <c r="L41" s="147">
        <f t="shared" si="165"/>
        <v>0</v>
      </c>
      <c r="M41" s="186">
        <f>SUMIFS(M$6:M$28,$H$6:$H$28,$B41)</f>
        <v>0</v>
      </c>
      <c r="N41" s="147">
        <f t="shared" si="166"/>
        <v>0</v>
      </c>
      <c r="P41" s="155" t="s">
        <v>27</v>
      </c>
      <c r="Q41" s="155" t="s">
        <v>27</v>
      </c>
      <c r="R41" s="186">
        <f t="shared" si="133"/>
        <v>0</v>
      </c>
      <c r="S41" s="186">
        <f t="shared" si="133"/>
        <v>0</v>
      </c>
      <c r="T41" s="187" t="s">
        <v>27</v>
      </c>
      <c r="U41" s="187" t="s">
        <v>27</v>
      </c>
      <c r="V41" s="187" t="s">
        <v>27</v>
      </c>
      <c r="W41" s="186">
        <f t="shared" si="134"/>
        <v>0</v>
      </c>
      <c r="X41" s="186">
        <f t="shared" si="134"/>
        <v>0</v>
      </c>
      <c r="Y41" s="186">
        <f t="shared" si="134"/>
        <v>0</v>
      </c>
      <c r="Z41" s="149">
        <f t="shared" si="135"/>
        <v>0</v>
      </c>
      <c r="AA41" s="186">
        <f t="shared" si="136"/>
        <v>0</v>
      </c>
      <c r="AB41" s="186">
        <f t="shared" si="136"/>
        <v>0</v>
      </c>
      <c r="AC41" s="186">
        <f t="shared" si="136"/>
        <v>0</v>
      </c>
      <c r="AD41" s="186">
        <f t="shared" si="136"/>
        <v>0</v>
      </c>
      <c r="AE41" s="186">
        <f t="shared" si="136"/>
        <v>0</v>
      </c>
      <c r="AF41" s="147">
        <f t="shared" ca="1" si="167"/>
        <v>0</v>
      </c>
      <c r="AG41" s="186">
        <f t="shared" si="137"/>
        <v>0</v>
      </c>
      <c r="AH41" s="186">
        <f t="shared" si="137"/>
        <v>0</v>
      </c>
      <c r="AI41" s="147">
        <f t="shared" ca="1" si="168"/>
        <v>0</v>
      </c>
      <c r="AK41" s="155" t="s">
        <v>27</v>
      </c>
      <c r="AL41" s="155" t="s">
        <v>27</v>
      </c>
      <c r="AM41" s="186">
        <f t="shared" si="138"/>
        <v>0</v>
      </c>
      <c r="AN41" s="186">
        <f t="shared" si="138"/>
        <v>0</v>
      </c>
      <c r="AO41" s="187" t="s">
        <v>27</v>
      </c>
      <c r="AP41" s="187" t="s">
        <v>27</v>
      </c>
      <c r="AQ41" s="187" t="s">
        <v>27</v>
      </c>
      <c r="AR41" s="186">
        <f t="shared" si="139"/>
        <v>0</v>
      </c>
      <c r="AS41" s="186">
        <f t="shared" si="139"/>
        <v>0</v>
      </c>
      <c r="AT41" s="186">
        <f t="shared" si="139"/>
        <v>0</v>
      </c>
      <c r="AU41" s="149">
        <f t="shared" si="140"/>
        <v>0</v>
      </c>
      <c r="AV41" s="186">
        <f t="shared" si="141"/>
        <v>0</v>
      </c>
      <c r="AW41" s="186">
        <f t="shared" si="141"/>
        <v>0</v>
      </c>
      <c r="AX41" s="186">
        <f t="shared" si="141"/>
        <v>0</v>
      </c>
      <c r="AY41" s="186">
        <f t="shared" si="141"/>
        <v>0</v>
      </c>
      <c r="AZ41" s="186">
        <f t="shared" si="141"/>
        <v>0</v>
      </c>
      <c r="BA41" s="147">
        <f t="shared" ca="1" si="169"/>
        <v>0</v>
      </c>
      <c r="BB41" s="186">
        <f t="shared" si="142"/>
        <v>0</v>
      </c>
      <c r="BC41" s="186">
        <f t="shared" si="142"/>
        <v>0</v>
      </c>
      <c r="BD41" s="147">
        <f t="shared" ca="1" si="170"/>
        <v>0</v>
      </c>
      <c r="BF41" s="190" t="s">
        <v>450</v>
      </c>
      <c r="BG41" s="190" t="s">
        <v>450</v>
      </c>
      <c r="BH41" s="186">
        <f t="shared" si="143"/>
        <v>0</v>
      </c>
      <c r="BI41" s="186">
        <f t="shared" si="143"/>
        <v>0</v>
      </c>
      <c r="BJ41" s="187" t="s">
        <v>27</v>
      </c>
      <c r="BK41" s="187" t="s">
        <v>27</v>
      </c>
      <c r="BL41" s="187" t="s">
        <v>27</v>
      </c>
      <c r="BM41" s="186">
        <f t="shared" si="144"/>
        <v>0</v>
      </c>
      <c r="BN41" s="186">
        <f t="shared" si="144"/>
        <v>0</v>
      </c>
      <c r="BO41" s="186">
        <f t="shared" si="144"/>
        <v>0</v>
      </c>
      <c r="BP41" s="149">
        <f t="shared" si="145"/>
        <v>0</v>
      </c>
      <c r="BQ41" s="186">
        <f t="shared" si="146"/>
        <v>0</v>
      </c>
      <c r="BR41" s="186">
        <f t="shared" si="146"/>
        <v>0</v>
      </c>
      <c r="BS41" s="186">
        <f t="shared" si="146"/>
        <v>0</v>
      </c>
      <c r="BT41" s="186">
        <f t="shared" si="146"/>
        <v>0</v>
      </c>
      <c r="BU41" s="186">
        <f t="shared" si="146"/>
        <v>0</v>
      </c>
      <c r="BV41" s="147">
        <f t="shared" ca="1" si="171"/>
        <v>0</v>
      </c>
      <c r="BW41" s="186">
        <f t="shared" si="147"/>
        <v>0</v>
      </c>
      <c r="BX41" s="186">
        <f t="shared" si="147"/>
        <v>0</v>
      </c>
      <c r="BY41" s="147">
        <f t="shared" ca="1" si="172"/>
        <v>0</v>
      </c>
      <c r="CA41" s="155" t="s">
        <v>27</v>
      </c>
      <c r="CB41" s="155" t="s">
        <v>27</v>
      </c>
      <c r="CC41" s="186">
        <f t="shared" si="148"/>
        <v>0</v>
      </c>
      <c r="CD41" s="186">
        <f t="shared" si="148"/>
        <v>0</v>
      </c>
      <c r="CE41" s="187" t="s">
        <v>27</v>
      </c>
      <c r="CF41" s="187" t="s">
        <v>27</v>
      </c>
      <c r="CG41" s="187" t="s">
        <v>27</v>
      </c>
      <c r="CH41" s="186">
        <f t="shared" si="149"/>
        <v>0</v>
      </c>
      <c r="CI41" s="186">
        <f t="shared" si="149"/>
        <v>0</v>
      </c>
      <c r="CJ41" s="186">
        <f t="shared" si="149"/>
        <v>0</v>
      </c>
      <c r="CK41" s="149">
        <f t="shared" si="150"/>
        <v>0</v>
      </c>
      <c r="CL41" s="186">
        <f t="shared" si="151"/>
        <v>0</v>
      </c>
      <c r="CM41" s="186">
        <f t="shared" si="151"/>
        <v>0</v>
      </c>
      <c r="CN41" s="147">
        <f t="shared" ca="1" si="173"/>
        <v>0</v>
      </c>
      <c r="CO41" s="186">
        <f t="shared" si="152"/>
        <v>0</v>
      </c>
      <c r="CP41" s="186">
        <f t="shared" si="152"/>
        <v>0</v>
      </c>
      <c r="CQ41" s="147">
        <f t="shared" ca="1" si="174"/>
        <v>0</v>
      </c>
      <c r="CR41" s="186">
        <f t="shared" si="153"/>
        <v>0</v>
      </c>
      <c r="CS41" s="186">
        <f t="shared" si="153"/>
        <v>0</v>
      </c>
      <c r="CT41" s="147">
        <f t="shared" ca="1" si="175"/>
        <v>0</v>
      </c>
      <c r="CV41" s="155" t="s">
        <v>27</v>
      </c>
      <c r="CW41" s="155" t="s">
        <v>27</v>
      </c>
      <c r="CX41" s="186">
        <f t="shared" si="154"/>
        <v>0</v>
      </c>
      <c r="CY41" s="186">
        <f t="shared" si="154"/>
        <v>0</v>
      </c>
      <c r="CZ41" s="187" t="s">
        <v>27</v>
      </c>
      <c r="DA41" s="187" t="s">
        <v>27</v>
      </c>
      <c r="DB41" s="187" t="s">
        <v>27</v>
      </c>
      <c r="DC41" s="186">
        <f t="shared" si="155"/>
        <v>0</v>
      </c>
      <c r="DD41" s="186">
        <f t="shared" si="155"/>
        <v>0</v>
      </c>
      <c r="DE41" s="186">
        <f t="shared" si="155"/>
        <v>0</v>
      </c>
      <c r="DF41" s="149">
        <f t="shared" si="156"/>
        <v>0</v>
      </c>
      <c r="DG41" s="186">
        <f t="shared" si="157"/>
        <v>0</v>
      </c>
      <c r="DH41" s="186">
        <f t="shared" si="157"/>
        <v>0</v>
      </c>
      <c r="DI41" s="186">
        <f t="shared" si="157"/>
        <v>0</v>
      </c>
      <c r="DJ41" s="186">
        <f t="shared" si="157"/>
        <v>0</v>
      </c>
      <c r="DK41" s="186">
        <f t="shared" si="157"/>
        <v>0</v>
      </c>
      <c r="DL41" s="147">
        <f t="shared" ca="1" si="176"/>
        <v>0</v>
      </c>
      <c r="DM41" s="186">
        <f t="shared" si="158"/>
        <v>0</v>
      </c>
      <c r="DN41" s="186">
        <f t="shared" si="158"/>
        <v>0</v>
      </c>
      <c r="DO41" s="147">
        <f t="shared" ca="1" si="177"/>
        <v>0</v>
      </c>
      <c r="DQ41" s="155" t="s">
        <v>27</v>
      </c>
      <c r="DR41" s="155" t="s">
        <v>27</v>
      </c>
      <c r="DS41" s="186">
        <f t="shared" si="159"/>
        <v>0</v>
      </c>
      <c r="DT41" s="186">
        <f t="shared" si="159"/>
        <v>0</v>
      </c>
      <c r="DU41" s="187" t="s">
        <v>27</v>
      </c>
      <c r="DV41" s="187" t="s">
        <v>27</v>
      </c>
      <c r="DW41" s="187" t="s">
        <v>27</v>
      </c>
      <c r="DX41" s="186">
        <f t="shared" si="160"/>
        <v>0</v>
      </c>
      <c r="DY41" s="186">
        <f t="shared" si="160"/>
        <v>0</v>
      </c>
      <c r="DZ41" s="186">
        <f t="shared" si="160"/>
        <v>0</v>
      </c>
      <c r="EA41" s="149">
        <f t="shared" si="161"/>
        <v>0</v>
      </c>
      <c r="EB41" s="186">
        <f t="shared" si="162"/>
        <v>0</v>
      </c>
      <c r="EC41" s="186">
        <f t="shared" si="162"/>
        <v>0</v>
      </c>
      <c r="ED41" s="186">
        <f t="shared" si="162"/>
        <v>0</v>
      </c>
      <c r="EE41" s="186">
        <f t="shared" si="162"/>
        <v>0</v>
      </c>
      <c r="EF41" s="186">
        <f t="shared" si="162"/>
        <v>0</v>
      </c>
      <c r="EG41" s="147">
        <f t="shared" ca="1" si="178"/>
        <v>0</v>
      </c>
      <c r="EH41" s="186">
        <f t="shared" si="163"/>
        <v>0</v>
      </c>
      <c r="EI41" s="186">
        <f t="shared" si="163"/>
        <v>0</v>
      </c>
      <c r="EJ41" s="147">
        <f t="shared" ca="1" si="179"/>
        <v>0</v>
      </c>
      <c r="FF41" s="146">
        <f ca="1">OFFSET($G41,0,IF($FF$4=$G$4,1,12)+MATCH($FF$4,$G$4:$FC$4,0))</f>
        <v>0</v>
      </c>
      <c r="FG41" s="146">
        <f ca="1">OFFSET($G41,0,IF($FF$4=$G$4,2,13)+MATCH($FF$4,$G$4:$FC$4,0))</f>
        <v>0</v>
      </c>
      <c r="FH41" s="146">
        <f ca="1">OFFSET($G41,0,IF($FF$4=$G$4,5,17)+MATCH($FF$4,$G$4:$FC$4,0))</f>
        <v>0</v>
      </c>
      <c r="FK41" s="174" t="str">
        <f t="shared" ca="1" si="164"/>
        <v>na</v>
      </c>
      <c r="FL41" s="174" t="str">
        <f t="shared" ca="1" si="164"/>
        <v>na</v>
      </c>
      <c r="FM41" s="174" t="str">
        <f ca="1">IFERROR(OFFSET($G41,0,IF($FK$4=$G$4,5,17)+MATCH($FK$4,$G$4:$FC$4,0)),"na")</f>
        <v>na</v>
      </c>
    </row>
    <row r="42" spans="2:169">
      <c r="B42" s="145" t="s">
        <v>452</v>
      </c>
      <c r="D42" s="177" t="s">
        <v>27</v>
      </c>
      <c r="E42" s="177" t="s">
        <v>27</v>
      </c>
      <c r="G42" s="155" t="s">
        <v>27</v>
      </c>
      <c r="H42" s="155" t="s">
        <v>27</v>
      </c>
      <c r="I42" s="186">
        <f t="shared" si="132"/>
        <v>0</v>
      </c>
      <c r="J42" s="186">
        <f t="shared" si="132"/>
        <v>0</v>
      </c>
      <c r="K42" s="186">
        <f t="shared" si="132"/>
        <v>0</v>
      </c>
      <c r="L42" s="147">
        <f t="shared" si="165"/>
        <v>0</v>
      </c>
      <c r="M42" s="186">
        <f>SUMIFS(M$6:M$28,$H$6:$H$28,$B42)</f>
        <v>0</v>
      </c>
      <c r="N42" s="147">
        <f t="shared" si="166"/>
        <v>0</v>
      </c>
      <c r="P42" s="155" t="s">
        <v>27</v>
      </c>
      <c r="Q42" s="155" t="s">
        <v>27</v>
      </c>
      <c r="R42" s="186">
        <f t="shared" si="133"/>
        <v>0</v>
      </c>
      <c r="S42" s="186">
        <f t="shared" si="133"/>
        <v>0</v>
      </c>
      <c r="T42" s="187" t="s">
        <v>27</v>
      </c>
      <c r="U42" s="187" t="s">
        <v>27</v>
      </c>
      <c r="V42" s="187" t="s">
        <v>27</v>
      </c>
      <c r="W42" s="186">
        <f t="shared" si="134"/>
        <v>0</v>
      </c>
      <c r="X42" s="186">
        <f t="shared" si="134"/>
        <v>0</v>
      </c>
      <c r="Y42" s="186">
        <f t="shared" si="134"/>
        <v>0</v>
      </c>
      <c r="Z42" s="149">
        <f t="shared" si="135"/>
        <v>0</v>
      </c>
      <c r="AA42" s="186">
        <f t="shared" si="136"/>
        <v>0</v>
      </c>
      <c r="AB42" s="186">
        <f t="shared" si="136"/>
        <v>0</v>
      </c>
      <c r="AC42" s="186">
        <f t="shared" si="136"/>
        <v>0</v>
      </c>
      <c r="AD42" s="186">
        <f t="shared" si="136"/>
        <v>0</v>
      </c>
      <c r="AE42" s="186">
        <f t="shared" si="136"/>
        <v>0</v>
      </c>
      <c r="AF42" s="147">
        <f t="shared" ca="1" si="167"/>
        <v>0</v>
      </c>
      <c r="AG42" s="186">
        <f t="shared" si="137"/>
        <v>0</v>
      </c>
      <c r="AH42" s="186">
        <f t="shared" si="137"/>
        <v>0</v>
      </c>
      <c r="AI42" s="147">
        <f t="shared" ca="1" si="168"/>
        <v>0</v>
      </c>
      <c r="AK42" s="155" t="s">
        <v>27</v>
      </c>
      <c r="AL42" s="155" t="s">
        <v>27</v>
      </c>
      <c r="AM42" s="186">
        <f t="shared" si="138"/>
        <v>0</v>
      </c>
      <c r="AN42" s="186">
        <f t="shared" si="138"/>
        <v>0</v>
      </c>
      <c r="AO42" s="187" t="s">
        <v>27</v>
      </c>
      <c r="AP42" s="187" t="s">
        <v>27</v>
      </c>
      <c r="AQ42" s="187" t="s">
        <v>27</v>
      </c>
      <c r="AR42" s="186">
        <f t="shared" si="139"/>
        <v>0</v>
      </c>
      <c r="AS42" s="186">
        <f t="shared" si="139"/>
        <v>0</v>
      </c>
      <c r="AT42" s="186">
        <f t="shared" si="139"/>
        <v>0</v>
      </c>
      <c r="AU42" s="149">
        <f t="shared" si="140"/>
        <v>0</v>
      </c>
      <c r="AV42" s="186">
        <f t="shared" si="141"/>
        <v>0</v>
      </c>
      <c r="AW42" s="186">
        <f t="shared" si="141"/>
        <v>0</v>
      </c>
      <c r="AX42" s="186">
        <f t="shared" si="141"/>
        <v>0</v>
      </c>
      <c r="AY42" s="186">
        <f t="shared" si="141"/>
        <v>0</v>
      </c>
      <c r="AZ42" s="186">
        <f t="shared" si="141"/>
        <v>0</v>
      </c>
      <c r="BA42" s="147">
        <f t="shared" ca="1" si="169"/>
        <v>0</v>
      </c>
      <c r="BB42" s="186">
        <f t="shared" si="142"/>
        <v>0</v>
      </c>
      <c r="BC42" s="186">
        <f t="shared" si="142"/>
        <v>0</v>
      </c>
      <c r="BD42" s="147">
        <f t="shared" ca="1" si="170"/>
        <v>0</v>
      </c>
      <c r="BF42" s="190" t="s">
        <v>450</v>
      </c>
      <c r="BG42" s="190" t="s">
        <v>450</v>
      </c>
      <c r="BH42" s="186">
        <f t="shared" si="143"/>
        <v>0</v>
      </c>
      <c r="BI42" s="186">
        <f t="shared" si="143"/>
        <v>0</v>
      </c>
      <c r="BJ42" s="187" t="s">
        <v>27</v>
      </c>
      <c r="BK42" s="187" t="s">
        <v>27</v>
      </c>
      <c r="BL42" s="187" t="s">
        <v>27</v>
      </c>
      <c r="BM42" s="186">
        <f t="shared" si="144"/>
        <v>0</v>
      </c>
      <c r="BN42" s="186">
        <f t="shared" si="144"/>
        <v>0</v>
      </c>
      <c r="BO42" s="186">
        <f t="shared" si="144"/>
        <v>0</v>
      </c>
      <c r="BP42" s="149">
        <f t="shared" si="145"/>
        <v>0</v>
      </c>
      <c r="BQ42" s="186">
        <f t="shared" si="146"/>
        <v>0</v>
      </c>
      <c r="BR42" s="186">
        <f t="shared" si="146"/>
        <v>0</v>
      </c>
      <c r="BS42" s="186">
        <f t="shared" si="146"/>
        <v>0</v>
      </c>
      <c r="BT42" s="186">
        <f t="shared" si="146"/>
        <v>0</v>
      </c>
      <c r="BU42" s="186">
        <f t="shared" si="146"/>
        <v>0</v>
      </c>
      <c r="BV42" s="147">
        <f t="shared" ca="1" si="171"/>
        <v>0</v>
      </c>
      <c r="BW42" s="186">
        <f t="shared" si="147"/>
        <v>0</v>
      </c>
      <c r="BX42" s="186">
        <f t="shared" si="147"/>
        <v>0</v>
      </c>
      <c r="BY42" s="147">
        <f t="shared" ca="1" si="172"/>
        <v>0</v>
      </c>
      <c r="CA42" s="155" t="s">
        <v>27</v>
      </c>
      <c r="CB42" s="155" t="s">
        <v>27</v>
      </c>
      <c r="CC42" s="186">
        <f t="shared" si="148"/>
        <v>0</v>
      </c>
      <c r="CD42" s="186">
        <f t="shared" si="148"/>
        <v>0</v>
      </c>
      <c r="CE42" s="187" t="s">
        <v>27</v>
      </c>
      <c r="CF42" s="187" t="s">
        <v>27</v>
      </c>
      <c r="CG42" s="187" t="s">
        <v>27</v>
      </c>
      <c r="CH42" s="186">
        <f t="shared" si="149"/>
        <v>0</v>
      </c>
      <c r="CI42" s="186">
        <f t="shared" si="149"/>
        <v>0</v>
      </c>
      <c r="CJ42" s="186">
        <f t="shared" si="149"/>
        <v>0</v>
      </c>
      <c r="CK42" s="149">
        <f t="shared" si="150"/>
        <v>0</v>
      </c>
      <c r="CL42" s="186">
        <f t="shared" si="151"/>
        <v>0</v>
      </c>
      <c r="CM42" s="186">
        <f t="shared" si="151"/>
        <v>0</v>
      </c>
      <c r="CN42" s="147">
        <f t="shared" ca="1" si="173"/>
        <v>0</v>
      </c>
      <c r="CO42" s="186">
        <f t="shared" si="152"/>
        <v>0</v>
      </c>
      <c r="CP42" s="186">
        <f t="shared" si="152"/>
        <v>0</v>
      </c>
      <c r="CQ42" s="147">
        <f t="shared" ca="1" si="174"/>
        <v>0</v>
      </c>
      <c r="CR42" s="186">
        <f t="shared" si="153"/>
        <v>0</v>
      </c>
      <c r="CS42" s="186">
        <f t="shared" si="153"/>
        <v>0</v>
      </c>
      <c r="CT42" s="147">
        <f t="shared" ca="1" si="175"/>
        <v>0</v>
      </c>
      <c r="CV42" s="155" t="s">
        <v>27</v>
      </c>
      <c r="CW42" s="155" t="s">
        <v>27</v>
      </c>
      <c r="CX42" s="186">
        <f t="shared" si="154"/>
        <v>0</v>
      </c>
      <c r="CY42" s="186">
        <f t="shared" si="154"/>
        <v>0</v>
      </c>
      <c r="CZ42" s="187" t="s">
        <v>27</v>
      </c>
      <c r="DA42" s="187" t="s">
        <v>27</v>
      </c>
      <c r="DB42" s="187" t="s">
        <v>27</v>
      </c>
      <c r="DC42" s="186">
        <f t="shared" si="155"/>
        <v>0</v>
      </c>
      <c r="DD42" s="186">
        <f t="shared" si="155"/>
        <v>0</v>
      </c>
      <c r="DE42" s="186">
        <f t="shared" si="155"/>
        <v>0</v>
      </c>
      <c r="DF42" s="149">
        <f t="shared" si="156"/>
        <v>0</v>
      </c>
      <c r="DG42" s="186">
        <f t="shared" si="157"/>
        <v>0</v>
      </c>
      <c r="DH42" s="186">
        <f t="shared" si="157"/>
        <v>0</v>
      </c>
      <c r="DI42" s="186">
        <f t="shared" si="157"/>
        <v>0</v>
      </c>
      <c r="DJ42" s="186">
        <f t="shared" si="157"/>
        <v>0</v>
      </c>
      <c r="DK42" s="186">
        <f t="shared" si="157"/>
        <v>0</v>
      </c>
      <c r="DL42" s="147">
        <f t="shared" ca="1" si="176"/>
        <v>0</v>
      </c>
      <c r="DM42" s="186">
        <f t="shared" si="158"/>
        <v>0</v>
      </c>
      <c r="DN42" s="186">
        <f t="shared" si="158"/>
        <v>0</v>
      </c>
      <c r="DO42" s="147">
        <f t="shared" ca="1" si="177"/>
        <v>0</v>
      </c>
      <c r="DQ42" s="155" t="s">
        <v>27</v>
      </c>
      <c r="DR42" s="155" t="s">
        <v>27</v>
      </c>
      <c r="DS42" s="186">
        <f t="shared" si="159"/>
        <v>0</v>
      </c>
      <c r="DT42" s="186">
        <f t="shared" si="159"/>
        <v>0</v>
      </c>
      <c r="DU42" s="187" t="s">
        <v>27</v>
      </c>
      <c r="DV42" s="187" t="s">
        <v>27</v>
      </c>
      <c r="DW42" s="187" t="s">
        <v>27</v>
      </c>
      <c r="DX42" s="186">
        <f t="shared" si="160"/>
        <v>0</v>
      </c>
      <c r="DY42" s="186">
        <f t="shared" si="160"/>
        <v>0</v>
      </c>
      <c r="DZ42" s="186">
        <f t="shared" si="160"/>
        <v>0</v>
      </c>
      <c r="EA42" s="149">
        <f t="shared" si="161"/>
        <v>0</v>
      </c>
      <c r="EB42" s="186">
        <f t="shared" si="162"/>
        <v>0</v>
      </c>
      <c r="EC42" s="186">
        <f t="shared" si="162"/>
        <v>0</v>
      </c>
      <c r="ED42" s="186">
        <f t="shared" si="162"/>
        <v>0</v>
      </c>
      <c r="EE42" s="186">
        <f t="shared" si="162"/>
        <v>0</v>
      </c>
      <c r="EF42" s="186">
        <f t="shared" si="162"/>
        <v>0</v>
      </c>
      <c r="EG42" s="147">
        <f t="shared" ca="1" si="178"/>
        <v>0</v>
      </c>
      <c r="EH42" s="186">
        <f t="shared" si="163"/>
        <v>0</v>
      </c>
      <c r="EI42" s="186">
        <f t="shared" si="163"/>
        <v>0</v>
      </c>
      <c r="EJ42" s="147">
        <f t="shared" ca="1" si="179"/>
        <v>0</v>
      </c>
      <c r="FF42" s="146">
        <f ca="1">OFFSET($G42,0,IF($FF$4=$G$4,1,12)+MATCH($FF$4,$G$4:$FC$4,0))</f>
        <v>0</v>
      </c>
      <c r="FG42" s="146">
        <f ca="1">OFFSET($G42,0,IF($FF$4=$G$4,2,13)+MATCH($FF$4,$G$4:$FC$4,0))</f>
        <v>0</v>
      </c>
      <c r="FH42" s="146">
        <f ca="1">OFFSET($G42,0,IF($FF$4=$G$4,5,17)+MATCH($FF$4,$G$4:$FC$4,0))</f>
        <v>0</v>
      </c>
      <c r="FK42" s="174" t="str">
        <f t="shared" ca="1" si="164"/>
        <v>na</v>
      </c>
      <c r="FL42" s="174" t="str">
        <f t="shared" ca="1" si="164"/>
        <v>na</v>
      </c>
      <c r="FM42" s="174" t="str">
        <f ca="1">IFERROR(OFFSET($G42,0,IF($FK$4=$G$4,5,17)+MATCH($FK$4,$G$4:$FC$4,0)),"na")</f>
        <v>na</v>
      </c>
    </row>
    <row r="43" spans="2:169">
      <c r="B43" s="145" t="s">
        <v>27</v>
      </c>
      <c r="D43" s="177" t="s">
        <v>27</v>
      </c>
      <c r="E43" s="177" t="s">
        <v>27</v>
      </c>
      <c r="G43" s="155" t="s">
        <v>27</v>
      </c>
      <c r="H43" s="155" t="s">
        <v>27</v>
      </c>
      <c r="I43" s="186">
        <f t="shared" si="132"/>
        <v>0</v>
      </c>
      <c r="J43" s="186">
        <f t="shared" si="132"/>
        <v>0</v>
      </c>
      <c r="K43" s="186">
        <f t="shared" si="132"/>
        <v>0</v>
      </c>
      <c r="L43" s="147">
        <f t="shared" si="165"/>
        <v>0</v>
      </c>
      <c r="M43" s="186">
        <f>SUMIFS(M$6:M$28,$H$6:$H$28,$B43)</f>
        <v>0</v>
      </c>
      <c r="N43" s="147">
        <f t="shared" si="166"/>
        <v>0</v>
      </c>
      <c r="P43" s="155" t="s">
        <v>27</v>
      </c>
      <c r="Q43" s="155" t="s">
        <v>27</v>
      </c>
      <c r="R43" s="186">
        <f t="shared" si="133"/>
        <v>0</v>
      </c>
      <c r="S43" s="186">
        <f t="shared" si="133"/>
        <v>0</v>
      </c>
      <c r="T43" s="187" t="s">
        <v>27</v>
      </c>
      <c r="U43" s="187" t="s">
        <v>27</v>
      </c>
      <c r="V43" s="187" t="s">
        <v>27</v>
      </c>
      <c r="W43" s="186">
        <f t="shared" si="134"/>
        <v>0</v>
      </c>
      <c r="X43" s="186">
        <f t="shared" si="134"/>
        <v>0</v>
      </c>
      <c r="Y43" s="186">
        <f t="shared" si="134"/>
        <v>0</v>
      </c>
      <c r="Z43" s="149">
        <f t="shared" si="135"/>
        <v>0</v>
      </c>
      <c r="AA43" s="186">
        <f t="shared" si="136"/>
        <v>0</v>
      </c>
      <c r="AB43" s="186">
        <f t="shared" si="136"/>
        <v>0</v>
      </c>
      <c r="AC43" s="186">
        <f t="shared" si="136"/>
        <v>0</v>
      </c>
      <c r="AD43" s="186">
        <f t="shared" si="136"/>
        <v>0</v>
      </c>
      <c r="AE43" s="186">
        <f t="shared" si="136"/>
        <v>0</v>
      </c>
      <c r="AF43" s="147">
        <f t="shared" ca="1" si="167"/>
        <v>0</v>
      </c>
      <c r="AG43" s="186">
        <f t="shared" si="137"/>
        <v>0</v>
      </c>
      <c r="AH43" s="186">
        <f t="shared" si="137"/>
        <v>0</v>
      </c>
      <c r="AI43" s="147">
        <f t="shared" ca="1" si="168"/>
        <v>0</v>
      </c>
      <c r="AK43" s="155" t="s">
        <v>27</v>
      </c>
      <c r="AL43" s="155" t="s">
        <v>27</v>
      </c>
      <c r="AM43" s="186">
        <f t="shared" si="138"/>
        <v>0</v>
      </c>
      <c r="AN43" s="186">
        <f t="shared" si="138"/>
        <v>0</v>
      </c>
      <c r="AO43" s="187" t="s">
        <v>27</v>
      </c>
      <c r="AP43" s="187" t="s">
        <v>27</v>
      </c>
      <c r="AQ43" s="187" t="s">
        <v>27</v>
      </c>
      <c r="AR43" s="186">
        <f t="shared" si="139"/>
        <v>0</v>
      </c>
      <c r="AS43" s="186">
        <f t="shared" si="139"/>
        <v>0</v>
      </c>
      <c r="AT43" s="186">
        <f t="shared" si="139"/>
        <v>0</v>
      </c>
      <c r="AU43" s="149">
        <f t="shared" si="140"/>
        <v>0</v>
      </c>
      <c r="AV43" s="186">
        <f t="shared" si="141"/>
        <v>0</v>
      </c>
      <c r="AW43" s="186">
        <f t="shared" si="141"/>
        <v>0</v>
      </c>
      <c r="AX43" s="186">
        <f t="shared" si="141"/>
        <v>0</v>
      </c>
      <c r="AY43" s="186">
        <f t="shared" si="141"/>
        <v>0</v>
      </c>
      <c r="AZ43" s="186">
        <f t="shared" si="141"/>
        <v>0</v>
      </c>
      <c r="BA43" s="147">
        <f t="shared" ca="1" si="169"/>
        <v>0</v>
      </c>
      <c r="BB43" s="186">
        <f t="shared" si="142"/>
        <v>0</v>
      </c>
      <c r="BC43" s="186">
        <f t="shared" si="142"/>
        <v>0</v>
      </c>
      <c r="BD43" s="147">
        <f t="shared" ca="1" si="170"/>
        <v>0</v>
      </c>
      <c r="BF43" s="190" t="s">
        <v>450</v>
      </c>
      <c r="BG43" s="190" t="s">
        <v>450</v>
      </c>
      <c r="BH43" s="186">
        <f t="shared" si="143"/>
        <v>0</v>
      </c>
      <c r="BI43" s="186">
        <f t="shared" si="143"/>
        <v>0</v>
      </c>
      <c r="BJ43" s="187" t="s">
        <v>27</v>
      </c>
      <c r="BK43" s="187" t="s">
        <v>27</v>
      </c>
      <c r="BL43" s="187" t="s">
        <v>27</v>
      </c>
      <c r="BM43" s="186">
        <f t="shared" si="144"/>
        <v>0</v>
      </c>
      <c r="BN43" s="186">
        <f t="shared" si="144"/>
        <v>0</v>
      </c>
      <c r="BO43" s="186">
        <f t="shared" si="144"/>
        <v>0</v>
      </c>
      <c r="BP43" s="149">
        <f t="shared" si="145"/>
        <v>0</v>
      </c>
      <c r="BQ43" s="186">
        <f t="shared" si="146"/>
        <v>0</v>
      </c>
      <c r="BR43" s="186">
        <f t="shared" si="146"/>
        <v>0</v>
      </c>
      <c r="BS43" s="186">
        <f t="shared" si="146"/>
        <v>0</v>
      </c>
      <c r="BT43" s="186">
        <f t="shared" si="146"/>
        <v>0</v>
      </c>
      <c r="BU43" s="186">
        <f t="shared" si="146"/>
        <v>0</v>
      </c>
      <c r="BV43" s="147">
        <f t="shared" ca="1" si="171"/>
        <v>0</v>
      </c>
      <c r="BW43" s="186">
        <f t="shared" si="147"/>
        <v>0</v>
      </c>
      <c r="BX43" s="186">
        <f t="shared" si="147"/>
        <v>0</v>
      </c>
      <c r="BY43" s="147">
        <f t="shared" ca="1" si="172"/>
        <v>0</v>
      </c>
      <c r="CA43" s="155" t="s">
        <v>27</v>
      </c>
      <c r="CB43" s="155" t="s">
        <v>27</v>
      </c>
      <c r="CC43" s="186">
        <f t="shared" si="148"/>
        <v>0</v>
      </c>
      <c r="CD43" s="186">
        <f t="shared" si="148"/>
        <v>0</v>
      </c>
      <c r="CE43" s="187" t="s">
        <v>27</v>
      </c>
      <c r="CF43" s="187" t="s">
        <v>27</v>
      </c>
      <c r="CG43" s="187" t="s">
        <v>27</v>
      </c>
      <c r="CH43" s="186">
        <f t="shared" si="149"/>
        <v>0</v>
      </c>
      <c r="CI43" s="186">
        <f t="shared" si="149"/>
        <v>0</v>
      </c>
      <c r="CJ43" s="186">
        <f t="shared" si="149"/>
        <v>0</v>
      </c>
      <c r="CK43" s="149">
        <f t="shared" si="150"/>
        <v>0</v>
      </c>
      <c r="CL43" s="186">
        <f t="shared" si="151"/>
        <v>0</v>
      </c>
      <c r="CM43" s="186">
        <f t="shared" si="151"/>
        <v>0</v>
      </c>
      <c r="CN43" s="147">
        <f t="shared" ca="1" si="173"/>
        <v>0</v>
      </c>
      <c r="CO43" s="186">
        <f t="shared" si="152"/>
        <v>0</v>
      </c>
      <c r="CP43" s="186">
        <f t="shared" si="152"/>
        <v>0</v>
      </c>
      <c r="CQ43" s="147">
        <f t="shared" ca="1" si="174"/>
        <v>0</v>
      </c>
      <c r="CR43" s="186">
        <f t="shared" si="153"/>
        <v>0</v>
      </c>
      <c r="CS43" s="186">
        <f t="shared" si="153"/>
        <v>0</v>
      </c>
      <c r="CT43" s="147">
        <f t="shared" ca="1" si="175"/>
        <v>0</v>
      </c>
      <c r="CV43" s="155" t="s">
        <v>27</v>
      </c>
      <c r="CW43" s="155" t="s">
        <v>27</v>
      </c>
      <c r="CX43" s="186">
        <f t="shared" si="154"/>
        <v>0</v>
      </c>
      <c r="CY43" s="186">
        <f t="shared" si="154"/>
        <v>0</v>
      </c>
      <c r="CZ43" s="187" t="s">
        <v>27</v>
      </c>
      <c r="DA43" s="187" t="s">
        <v>27</v>
      </c>
      <c r="DB43" s="187" t="s">
        <v>27</v>
      </c>
      <c r="DC43" s="186">
        <f t="shared" si="155"/>
        <v>0</v>
      </c>
      <c r="DD43" s="186">
        <f t="shared" si="155"/>
        <v>0</v>
      </c>
      <c r="DE43" s="186">
        <f t="shared" si="155"/>
        <v>0</v>
      </c>
      <c r="DF43" s="149">
        <f t="shared" si="156"/>
        <v>0</v>
      </c>
      <c r="DG43" s="186">
        <f t="shared" si="157"/>
        <v>0</v>
      </c>
      <c r="DH43" s="186">
        <f t="shared" si="157"/>
        <v>0</v>
      </c>
      <c r="DI43" s="186">
        <f t="shared" si="157"/>
        <v>0</v>
      </c>
      <c r="DJ43" s="186">
        <f t="shared" si="157"/>
        <v>0</v>
      </c>
      <c r="DK43" s="186">
        <f t="shared" si="157"/>
        <v>0</v>
      </c>
      <c r="DL43" s="147">
        <f t="shared" ca="1" si="176"/>
        <v>0</v>
      </c>
      <c r="DM43" s="186">
        <f t="shared" si="158"/>
        <v>0</v>
      </c>
      <c r="DN43" s="186">
        <f t="shared" si="158"/>
        <v>0</v>
      </c>
      <c r="DO43" s="147">
        <f t="shared" ca="1" si="177"/>
        <v>0</v>
      </c>
      <c r="DQ43" s="155" t="s">
        <v>27</v>
      </c>
      <c r="DR43" s="155" t="s">
        <v>27</v>
      </c>
      <c r="DS43" s="186">
        <f t="shared" si="159"/>
        <v>0</v>
      </c>
      <c r="DT43" s="186">
        <f t="shared" si="159"/>
        <v>0</v>
      </c>
      <c r="DU43" s="187" t="s">
        <v>27</v>
      </c>
      <c r="DV43" s="187" t="s">
        <v>27</v>
      </c>
      <c r="DW43" s="187" t="s">
        <v>27</v>
      </c>
      <c r="DX43" s="186">
        <f t="shared" si="160"/>
        <v>0</v>
      </c>
      <c r="DY43" s="186">
        <f t="shared" si="160"/>
        <v>0</v>
      </c>
      <c r="DZ43" s="186">
        <f t="shared" si="160"/>
        <v>0</v>
      </c>
      <c r="EA43" s="149">
        <f t="shared" si="161"/>
        <v>0</v>
      </c>
      <c r="EB43" s="186">
        <f t="shared" si="162"/>
        <v>0</v>
      </c>
      <c r="EC43" s="186">
        <f t="shared" si="162"/>
        <v>0</v>
      </c>
      <c r="ED43" s="186">
        <f t="shared" si="162"/>
        <v>0</v>
      </c>
      <c r="EE43" s="186">
        <f t="shared" si="162"/>
        <v>0</v>
      </c>
      <c r="EF43" s="186">
        <f t="shared" si="162"/>
        <v>0</v>
      </c>
      <c r="EG43" s="147">
        <f t="shared" ca="1" si="178"/>
        <v>0</v>
      </c>
      <c r="EH43" s="186">
        <f t="shared" si="163"/>
        <v>0</v>
      </c>
      <c r="EI43" s="186">
        <f t="shared" si="163"/>
        <v>0</v>
      </c>
      <c r="EJ43" s="147">
        <f t="shared" ca="1" si="179"/>
        <v>0</v>
      </c>
      <c r="FF43" s="146">
        <f ca="1">OFFSET($G43,0,IF($FF$4=$G$4,1,12)+MATCH($FF$4,$G$4:$FC$4,0))</f>
        <v>0</v>
      </c>
      <c r="FG43" s="146">
        <f ca="1">OFFSET($G43,0,IF($FF$4=$G$4,2,13)+MATCH($FF$4,$G$4:$FC$4,0))</f>
        <v>0</v>
      </c>
      <c r="FH43" s="146">
        <f ca="1">OFFSET($G43,0,IF($FF$4=$G$4,5,17)+MATCH($FF$4,$G$4:$FC$4,0))</f>
        <v>0</v>
      </c>
      <c r="FK43" s="174" t="str">
        <f t="shared" ca="1" si="164"/>
        <v>na</v>
      </c>
      <c r="FL43" s="174" t="str">
        <f t="shared" ca="1" si="164"/>
        <v>na</v>
      </c>
      <c r="FM43" s="174" t="str">
        <f ca="1">IFERROR(OFFSET($G43,0,IF($FK$4=$G$4,5,17)+MATCH($FK$4,$G$4:$FC$4,0)),"na")</f>
        <v>na</v>
      </c>
    </row>
    <row r="44" spans="2:169">
      <c r="B44" s="149" t="s">
        <v>20</v>
      </c>
      <c r="I44" s="188">
        <f>SUM(I39:I43)</f>
        <v>0</v>
      </c>
      <c r="J44" s="188">
        <f>SUM(J39:J43)</f>
        <v>0</v>
      </c>
      <c r="K44" s="188">
        <f>SUM(K39:K43)</f>
        <v>0</v>
      </c>
      <c r="L44" s="152">
        <f t="shared" si="165"/>
        <v>0</v>
      </c>
      <c r="M44" s="188">
        <f>SUM(M39:M43)</f>
        <v>0</v>
      </c>
      <c r="N44" s="152">
        <f t="shared" si="166"/>
        <v>0</v>
      </c>
      <c r="P44" s="182"/>
      <c r="Q44" s="182"/>
      <c r="R44" s="188">
        <f>SUM(R39:R43)</f>
        <v>0</v>
      </c>
      <c r="S44" s="188">
        <f>SUM(S39:S43)</f>
        <v>0</v>
      </c>
      <c r="T44" s="151"/>
      <c r="U44" s="151"/>
      <c r="V44" s="151"/>
      <c r="W44" s="188">
        <f ca="1">SUM(W39:W43)</f>
        <v>0</v>
      </c>
      <c r="X44" s="188">
        <f ca="1">SUM(X39:X43)</f>
        <v>0</v>
      </c>
      <c r="Y44" s="188">
        <f ca="1">SUM(Y39:Y43)</f>
        <v>0</v>
      </c>
      <c r="Z44" s="151"/>
      <c r="AA44" s="188">
        <f ca="1">SUM(AA39:AA43)</f>
        <v>0</v>
      </c>
      <c r="AB44" s="188">
        <f ca="1">SUM(AB39:AB43)</f>
        <v>0</v>
      </c>
      <c r="AC44" s="188">
        <f ca="1">SUM(AC39:AC43)</f>
        <v>0</v>
      </c>
      <c r="AD44" s="188">
        <f ca="1">SUM(AD39:AD43)</f>
        <v>0</v>
      </c>
      <c r="AE44" s="188">
        <f ca="1">SUM(AE39:AE43)</f>
        <v>0</v>
      </c>
      <c r="AF44" s="152">
        <f t="shared" ca="1" si="167"/>
        <v>0</v>
      </c>
      <c r="AG44" s="188">
        <f ca="1">SUM(AG39:AG43)</f>
        <v>0</v>
      </c>
      <c r="AH44" s="188">
        <f ca="1">SUM(AH39:AH43)</f>
        <v>0</v>
      </c>
      <c r="AI44" s="152">
        <f t="shared" ca="1" si="168"/>
        <v>0</v>
      </c>
      <c r="AK44" s="182"/>
      <c r="AL44" s="182"/>
      <c r="AM44" s="188">
        <f t="shared" si="138"/>
        <v>0</v>
      </c>
      <c r="AN44" s="188">
        <f t="shared" si="138"/>
        <v>0</v>
      </c>
      <c r="AO44" s="151"/>
      <c r="AP44" s="151"/>
      <c r="AQ44" s="151"/>
      <c r="AR44" s="188">
        <f t="shared" si="139"/>
        <v>0</v>
      </c>
      <c r="AS44" s="188">
        <f t="shared" si="139"/>
        <v>0</v>
      </c>
      <c r="AT44" s="188">
        <f t="shared" si="139"/>
        <v>0</v>
      </c>
      <c r="AU44" s="188">
        <f>SUMIFS(AU$6:AU$28,$AL$6:$AL$28,$B44)</f>
        <v>0</v>
      </c>
      <c r="AV44" s="188">
        <f t="shared" si="141"/>
        <v>0</v>
      </c>
      <c r="AW44" s="188">
        <f t="shared" si="141"/>
        <v>0</v>
      </c>
      <c r="AX44" s="188">
        <f t="shared" si="141"/>
        <v>0</v>
      </c>
      <c r="AY44" s="188">
        <f t="shared" si="141"/>
        <v>0</v>
      </c>
      <c r="AZ44" s="188">
        <f t="shared" si="141"/>
        <v>0</v>
      </c>
      <c r="BA44" s="152">
        <f t="shared" ca="1" si="169"/>
        <v>0</v>
      </c>
      <c r="BB44" s="188">
        <f t="shared" si="142"/>
        <v>0</v>
      </c>
      <c r="BC44" s="188">
        <f t="shared" si="142"/>
        <v>0</v>
      </c>
      <c r="BD44" s="152">
        <f t="shared" ca="1" si="170"/>
        <v>0</v>
      </c>
      <c r="BF44" s="191"/>
      <c r="BG44" s="191"/>
      <c r="BH44" s="188">
        <f>SUMIFS(BH$6:BH$28,$AL$6:$AL$28,$B44)</f>
        <v>0</v>
      </c>
      <c r="BI44" s="188">
        <f>SUMIFS(BI$6:BI$28,$AL$6:$AL$28,$B44)</f>
        <v>0</v>
      </c>
      <c r="BJ44" s="151"/>
      <c r="BK44" s="151"/>
      <c r="BL44" s="151"/>
      <c r="BM44" s="188">
        <f>SUMIFS(BM$6:BM$28,$AL$6:$AL$28,$B44)</f>
        <v>0</v>
      </c>
      <c r="BN44" s="188">
        <f>SUMIFS(BN$6:BN$28,$AL$6:$AL$28,$B44)</f>
        <v>0</v>
      </c>
      <c r="BO44" s="188">
        <f>SUMIFS(BO$6:BO$28,$AL$6:$AL$28,$B44)</f>
        <v>0</v>
      </c>
      <c r="BP44" s="151"/>
      <c r="BQ44" s="188">
        <f>SUMIFS(BQ$6:BQ$28,$AL$6:$AL$28,$B44)</f>
        <v>0</v>
      </c>
      <c r="BR44" s="188">
        <f>SUMIFS(BR$6:BR$28,$AL$6:$AL$28,$B44)</f>
        <v>0</v>
      </c>
      <c r="BS44" s="188">
        <f>SUMIFS(BS$6:BS$28,$AL$6:$AL$28,$B44)</f>
        <v>0</v>
      </c>
      <c r="BT44" s="188">
        <f>SUMIFS(BT$6:BT$28,$AL$6:$AL$28,$B44)</f>
        <v>0</v>
      </c>
      <c r="BU44" s="188">
        <f>SUMIFS(BU$6:BU$28,$AL$6:$AL$28,$B44)</f>
        <v>0</v>
      </c>
      <c r="BV44" s="152">
        <f t="shared" ca="1" si="171"/>
        <v>0</v>
      </c>
      <c r="BW44" s="188">
        <f>SUMIFS(BW$6:BW$28,$AL$6:$AL$28,$B44)</f>
        <v>0</v>
      </c>
      <c r="BX44" s="188">
        <f>SUMIFS(BX$6:BX$28,$AL$6:$AL$28,$B44)</f>
        <v>0</v>
      </c>
      <c r="BY44" s="152">
        <f t="shared" ca="1" si="172"/>
        <v>0</v>
      </c>
      <c r="CA44" s="182"/>
      <c r="CB44" s="182"/>
      <c r="CC44" s="188">
        <f t="shared" si="148"/>
        <v>0</v>
      </c>
      <c r="CD44" s="188">
        <f t="shared" si="148"/>
        <v>0</v>
      </c>
      <c r="CE44" s="151"/>
      <c r="CF44" s="151"/>
      <c r="CG44" s="151"/>
      <c r="CH44" s="188">
        <f t="shared" si="149"/>
        <v>0</v>
      </c>
      <c r="CI44" s="188">
        <f t="shared" si="149"/>
        <v>0</v>
      </c>
      <c r="CJ44" s="188">
        <f t="shared" si="149"/>
        <v>0</v>
      </c>
      <c r="CL44" s="188">
        <f t="shared" si="151"/>
        <v>0</v>
      </c>
      <c r="CM44" s="188">
        <f t="shared" si="151"/>
        <v>0</v>
      </c>
      <c r="CN44" s="152">
        <f t="shared" ca="1" si="173"/>
        <v>0</v>
      </c>
      <c r="CO44" s="188">
        <f t="shared" si="152"/>
        <v>0</v>
      </c>
      <c r="CP44" s="188">
        <f t="shared" si="152"/>
        <v>0</v>
      </c>
      <c r="CQ44" s="152">
        <f t="shared" ca="1" si="174"/>
        <v>0</v>
      </c>
      <c r="CR44" s="188">
        <f t="shared" si="153"/>
        <v>0</v>
      </c>
      <c r="CS44" s="188">
        <f t="shared" si="153"/>
        <v>0</v>
      </c>
      <c r="CT44" s="152">
        <f t="shared" ca="1" si="175"/>
        <v>0</v>
      </c>
      <c r="CV44" s="182"/>
      <c r="CW44" s="182"/>
      <c r="CX44" s="188">
        <f>SUMIFS(CX$6:CX$28,$CW$6:$CW$28,$B44)</f>
        <v>0</v>
      </c>
      <c r="CY44" s="151"/>
      <c r="CZ44" s="151"/>
      <c r="DA44" s="151"/>
      <c r="DB44" s="151"/>
      <c r="DC44" s="151"/>
      <c r="DD44" s="151"/>
      <c r="DE44" s="151"/>
      <c r="DF44" s="151"/>
      <c r="DG44" s="151"/>
      <c r="DH44" s="151"/>
      <c r="DI44" s="151"/>
      <c r="DJ44" s="151"/>
      <c r="DK44" s="151"/>
      <c r="DL44" s="152">
        <f t="shared" ca="1" si="176"/>
        <v>0</v>
      </c>
      <c r="DM44" s="151"/>
      <c r="DN44" s="151"/>
      <c r="DO44" s="152">
        <f t="shared" ca="1" si="177"/>
        <v>0</v>
      </c>
      <c r="DQ44" s="182"/>
      <c r="DR44" s="182"/>
      <c r="DS44" s="151"/>
      <c r="DT44" s="151"/>
      <c r="DU44" s="151"/>
      <c r="DV44" s="151"/>
      <c r="DW44" s="151"/>
      <c r="DX44" s="151"/>
      <c r="DY44" s="151"/>
      <c r="DZ44" s="151"/>
      <c r="EA44" s="151"/>
      <c r="EB44" s="151"/>
      <c r="EC44" s="151"/>
      <c r="ED44" s="151"/>
      <c r="EE44" s="151"/>
      <c r="EF44" s="151"/>
      <c r="EG44" s="152">
        <f t="shared" ca="1" si="178"/>
        <v>0</v>
      </c>
      <c r="EH44" s="151"/>
      <c r="EI44" s="151"/>
      <c r="EJ44" s="152">
        <f t="shared" ca="1" si="179"/>
        <v>0</v>
      </c>
    </row>
    <row r="45" spans="2:169">
      <c r="BF45" s="155"/>
      <c r="BG45" s="155"/>
      <c r="CA45" s="155"/>
      <c r="CB45" s="155"/>
      <c r="CV45" s="155"/>
      <c r="CW45" s="155"/>
      <c r="DQ45" s="155"/>
      <c r="DR45" s="155"/>
    </row>
    <row r="46" spans="2:169">
      <c r="B46" s="189" t="s">
        <v>453</v>
      </c>
      <c r="BF46" s="155"/>
      <c r="BG46" s="155"/>
      <c r="CA46" s="155"/>
      <c r="CB46" s="155"/>
      <c r="CV46" s="155"/>
      <c r="CW46" s="155"/>
      <c r="DQ46" s="155"/>
      <c r="DR46" s="155"/>
    </row>
    <row r="47" spans="2:169">
      <c r="B47" s="149" t="str">
        <f>I59</f>
        <v>Founding</v>
      </c>
      <c r="D47" s="155" t="str">
        <f>B47</f>
        <v>Founding</v>
      </c>
      <c r="E47" s="177" t="s">
        <v>27</v>
      </c>
      <c r="G47" s="155" t="s">
        <v>27</v>
      </c>
      <c r="H47" s="155" t="s">
        <v>27</v>
      </c>
      <c r="I47" s="186">
        <f>SUMIFS(I$6:I$28,$D$6:$D$28,$B47)</f>
        <v>0</v>
      </c>
      <c r="J47" s="186">
        <f>SUMIFS(J$6:J$28,$D$6:$D$28,$B47)</f>
        <v>0</v>
      </c>
      <c r="K47" s="186">
        <f>SUMIFS(K$6:K$28,$D$6:$D$28,$B47)</f>
        <v>0</v>
      </c>
      <c r="L47" s="148">
        <f>IFERROR(K47/K$29,0)</f>
        <v>0</v>
      </c>
      <c r="M47" s="186">
        <f>SUMIFS(M$6:M$28,$D$6:$D$28,$B47)</f>
        <v>0</v>
      </c>
      <c r="N47" s="148">
        <f>IFERROR(M47/M$29,0)</f>
        <v>0</v>
      </c>
      <c r="P47" s="155" t="s">
        <v>27</v>
      </c>
      <c r="Q47" s="155" t="s">
        <v>27</v>
      </c>
      <c r="R47" s="186">
        <f>SUMIFS(R$6:R$28,$D$6:$D$28,$B47)</f>
        <v>0</v>
      </c>
      <c r="S47" s="186">
        <f>SUMIFS(S$6:S$28,$D$6:$D$28,$B47)</f>
        <v>0</v>
      </c>
      <c r="T47" s="187" t="s">
        <v>27</v>
      </c>
      <c r="U47" s="187" t="s">
        <v>27</v>
      </c>
      <c r="V47" s="187" t="s">
        <v>27</v>
      </c>
      <c r="W47" s="186">
        <f ca="1">SUMIFS(W$6:W$28,$D$6:$D$28,$B47)</f>
        <v>0</v>
      </c>
      <c r="X47" s="186">
        <f ca="1">SUMIFS(X$6:X$28,$D$6:$D$28,$B47)</f>
        <v>0</v>
      </c>
      <c r="Y47" s="186">
        <f ca="1">SUMIFS(Y$6:Y$28,$D$6:$D$28,$B47)</f>
        <v>0</v>
      </c>
      <c r="Z47" s="149">
        <f ca="1">IFERROR(Y47/AA47,0)</f>
        <v>0</v>
      </c>
      <c r="AA47" s="186">
        <f ca="1">SUMIFS(AA$6:AA$28,$D$6:$D$28,$B47)</f>
        <v>0</v>
      </c>
      <c r="AB47" s="186">
        <f>SUMIFS(AB$6:AB$28,$D$6:$D$28,$B47)</f>
        <v>0</v>
      </c>
      <c r="AC47" s="186">
        <f ca="1">SUMIFS(AC$6:AC$28,$D$6:$D$28,$B47)</f>
        <v>0</v>
      </c>
      <c r="AD47" s="186">
        <f>SUMIFS(AD$6:AD$28,$D$6:$D$28,$B47)</f>
        <v>0</v>
      </c>
      <c r="AE47" s="186">
        <f ca="1">SUMIFS(AE$6:AE$28,$D$6:$D$28,$B47)</f>
        <v>0</v>
      </c>
      <c r="AF47" s="148">
        <f ca="1">IFERROR(AE47/AE$29,0)</f>
        <v>0</v>
      </c>
      <c r="AG47" s="186">
        <f ca="1">SUMIFS(AG$6:AG$28,$D$6:$D$28,$B47)</f>
        <v>0</v>
      </c>
      <c r="AH47" s="186">
        <f ca="1">SUMIFS(AH$6:AH$28,$D$6:$D$28,$B47)</f>
        <v>0</v>
      </c>
      <c r="AI47" s="148">
        <f ca="1">IFERROR(AH47/AH$29,0)</f>
        <v>0</v>
      </c>
      <c r="AK47" s="155" t="s">
        <v>27</v>
      </c>
      <c r="AL47" s="155" t="s">
        <v>27</v>
      </c>
      <c r="AM47" s="186">
        <f>SUMIFS(AM$6:AM$28,$D$6:$D$28,$B47)</f>
        <v>0</v>
      </c>
      <c r="AN47" s="186">
        <f>SUMIFS(AN$6:AN$28,$D$6:$D$28,$B47)</f>
        <v>0</v>
      </c>
      <c r="AO47" s="187" t="s">
        <v>27</v>
      </c>
      <c r="AP47" s="187" t="s">
        <v>27</v>
      </c>
      <c r="AQ47" s="187" t="s">
        <v>27</v>
      </c>
      <c r="AR47" s="186">
        <f ca="1">SUMIFS(AR$6:AR$28,$D$6:$D$28,$B47)</f>
        <v>0</v>
      </c>
      <c r="AS47" s="186">
        <f ca="1">SUMIFS(AS$6:AS$28,$D$6:$D$28,$B47)</f>
        <v>0</v>
      </c>
      <c r="AT47" s="186">
        <f ca="1">SUMIFS(AT$6:AT$28,$D$6:$D$28,$B47)</f>
        <v>0</v>
      </c>
      <c r="AU47" s="149">
        <f ca="1">IFERROR(AT47/AV47,0)</f>
        <v>0</v>
      </c>
      <c r="AV47" s="186">
        <f ca="1">SUMIFS(AV$6:AV$28,$D$6:$D$28,$B47)</f>
        <v>0</v>
      </c>
      <c r="AW47" s="186">
        <f>SUMIFS(AW$6:AW$28,$D$6:$D$28,$B47)</f>
        <v>0</v>
      </c>
      <c r="AX47" s="186">
        <f ca="1">SUMIFS(AX$6:AX$28,$D$6:$D$28,$B47)</f>
        <v>0</v>
      </c>
      <c r="AY47" s="186">
        <f>SUMIFS(AY$6:AY$28,$D$6:$D$28,$B47)</f>
        <v>0</v>
      </c>
      <c r="AZ47" s="186">
        <f ca="1">SUMIFS(AZ$6:AZ$28,$D$6:$D$28,$B47)</f>
        <v>0</v>
      </c>
      <c r="BA47" s="148">
        <f ca="1">IFERROR(AZ47/AZ$29,0)</f>
        <v>0</v>
      </c>
      <c r="BB47" s="186">
        <f ca="1">SUMIFS(BB$6:BB$28,$D$6:$D$28,$B47)</f>
        <v>0</v>
      </c>
      <c r="BC47" s="186">
        <f ca="1">SUMIFS(BC$6:BC$28,$D$6:$D$28,$B47)</f>
        <v>0</v>
      </c>
      <c r="BD47" s="148">
        <f ca="1">IFERROR(BC47/BC$29,0)</f>
        <v>0</v>
      </c>
      <c r="BF47" s="155" t="s">
        <v>27</v>
      </c>
      <c r="BG47" s="155" t="s">
        <v>27</v>
      </c>
      <c r="BH47" s="186">
        <f>SUMIFS(BH$6:BH$28,$D$6:$D$28,$B47)</f>
        <v>0</v>
      </c>
      <c r="BI47" s="186">
        <f>SUMIFS(BI$6:BI$28,$D$6:$D$28,$B47)</f>
        <v>0</v>
      </c>
      <c r="BJ47" s="187" t="s">
        <v>27</v>
      </c>
      <c r="BK47" s="187" t="s">
        <v>27</v>
      </c>
      <c r="BL47" s="187" t="s">
        <v>27</v>
      </c>
      <c r="BM47" s="186">
        <f ca="1">SUMIFS(BM$6:BM$28,$D$6:$D$28,$B47)</f>
        <v>0</v>
      </c>
      <c r="BN47" s="186">
        <f ca="1">SUMIFS(BN$6:BN$28,$D$6:$D$28,$B47)</f>
        <v>0</v>
      </c>
      <c r="BO47" s="186">
        <f ca="1">SUMIFS(BO$6:BO$28,$D$6:$D$28,$B47)</f>
        <v>0</v>
      </c>
      <c r="BP47" s="149">
        <f ca="1">IFERROR(BO47/BQ47,0)</f>
        <v>0</v>
      </c>
      <c r="BQ47" s="186">
        <f ca="1">SUMIFS(BQ$6:BQ$28,$D$6:$D$28,$B47)</f>
        <v>0</v>
      </c>
      <c r="BR47" s="186">
        <f>SUMIFS(BR$6:BR$28,$D$6:$D$28,$B47)</f>
        <v>0</v>
      </c>
      <c r="BS47" s="186">
        <f ca="1">SUMIFS(BS$6:BS$28,$D$6:$D$28,$B47)</f>
        <v>0</v>
      </c>
      <c r="BT47" s="186">
        <f>SUMIFS(BT$6:BT$28,$D$6:$D$28,$B47)</f>
        <v>0</v>
      </c>
      <c r="BU47" s="186">
        <f ca="1">SUMIFS(BU$6:BU$28,$D$6:$D$28,$B47)</f>
        <v>0</v>
      </c>
      <c r="BV47" s="148">
        <f ca="1">IFERROR(BU47/BU$29,0)</f>
        <v>0</v>
      </c>
      <c r="BW47" s="186">
        <f ca="1">SUMIFS(BW$6:BW$28,$D$6:$D$28,$B47)</f>
        <v>0</v>
      </c>
      <c r="BX47" s="186">
        <f ca="1">SUMIFS(BX$6:BX$28,$D$6:$D$28,$B47)</f>
        <v>0</v>
      </c>
      <c r="BY47" s="148">
        <f ca="1">IFERROR(BX47/BX$29,0)</f>
        <v>0</v>
      </c>
      <c r="CA47" s="155" t="s">
        <v>27</v>
      </c>
      <c r="CB47" s="155" t="s">
        <v>27</v>
      </c>
      <c r="CC47" s="186">
        <f>SUMIFS(CC$6:CC$28,$D$6:$D$28,$B47)</f>
        <v>0</v>
      </c>
      <c r="CD47" s="186">
        <f>SUMIFS(CD$6:CD$28,$D$6:$D$28,$B47)</f>
        <v>0</v>
      </c>
      <c r="CE47" s="187" t="s">
        <v>27</v>
      </c>
      <c r="CF47" s="187" t="s">
        <v>27</v>
      </c>
      <c r="CG47" s="187" t="s">
        <v>27</v>
      </c>
      <c r="CH47" s="186">
        <f ca="1">SUMIFS(CH$6:CH$28,$D$6:$D$28,$B47)</f>
        <v>0</v>
      </c>
      <c r="CI47" s="186">
        <f ca="1">SUMIFS(CI$6:CI$28,$D$6:$D$28,$B47)</f>
        <v>0</v>
      </c>
      <c r="CJ47" s="186">
        <f ca="1">SUMIFS(CJ$6:CJ$28,$D$6:$D$28,$B47)</f>
        <v>0</v>
      </c>
      <c r="CK47" s="149">
        <f ca="1">IFERROR(CJ47/CL47,0)</f>
        <v>0</v>
      </c>
      <c r="CL47" s="186">
        <f ca="1">SUMIFS(CL$6:CL$28,$D$6:$D$28,$B47)</f>
        <v>0</v>
      </c>
      <c r="CM47" s="186">
        <f>SUMIFS(CM$6:CM$28,$D$6:$D$28,$B47)</f>
        <v>0</v>
      </c>
      <c r="CN47" s="186">
        <f ca="1">SUMIFS(CN$6:CN$28,$D$6:$D$28,$B47)</f>
        <v>0</v>
      </c>
      <c r="CO47" s="186">
        <f>SUMIFS(CO$6:CO$28,$D$6:$D$28,$B47)</f>
        <v>0</v>
      </c>
      <c r="CP47" s="186">
        <f ca="1">SUMIFS(CP$6:CP$28,$D$6:$D$28,$B47)</f>
        <v>0</v>
      </c>
      <c r="CQ47" s="148">
        <f ca="1">IFERROR(CP47/CP$29,0)</f>
        <v>0</v>
      </c>
      <c r="CR47" s="186">
        <f ca="1">SUMIFS(CR$6:CR$28,$D$6:$D$28,$B47)</f>
        <v>0</v>
      </c>
      <c r="CS47" s="186">
        <f ca="1">SUMIFS(CS$6:CS$28,$D$6:$D$28,$B47)</f>
        <v>0</v>
      </c>
      <c r="CT47" s="148">
        <f ca="1">IFERROR(CS47/CS$29,0)</f>
        <v>0</v>
      </c>
      <c r="CV47" s="155" t="s">
        <v>27</v>
      </c>
      <c r="CW47" s="155" t="s">
        <v>27</v>
      </c>
      <c r="CX47" s="186">
        <f>SUMIFS(CX$6:CX$28,$D$6:$D$28,$B47)</f>
        <v>0</v>
      </c>
      <c r="CY47" s="186">
        <f>SUMIFS(CY$6:CY$28,$D$6:$D$28,$B47)</f>
        <v>0</v>
      </c>
      <c r="CZ47" s="187" t="s">
        <v>27</v>
      </c>
      <c r="DA47" s="187" t="s">
        <v>27</v>
      </c>
      <c r="DB47" s="187" t="s">
        <v>27</v>
      </c>
      <c r="DC47" s="186">
        <f ca="1">SUMIFS(DC$6:DC$28,$D$6:$D$28,$B47)</f>
        <v>0</v>
      </c>
      <c r="DD47" s="186">
        <f ca="1">SUMIFS(DD$6:DD$28,$D$6:$D$28,$B47)</f>
        <v>0</v>
      </c>
      <c r="DE47" s="186">
        <f ca="1">SUMIFS(DE$6:DE$28,$D$6:$D$28,$B47)</f>
        <v>0</v>
      </c>
      <c r="DF47" s="149">
        <f ca="1">IFERROR(DE47/DG47,0)</f>
        <v>0</v>
      </c>
      <c r="DG47" s="186">
        <f ca="1">SUMIFS(DG$6:DG$28,$D$6:$D$28,$B47)</f>
        <v>0</v>
      </c>
      <c r="DH47" s="186">
        <f>SUMIFS(DH$6:DH$28,$D$6:$D$28,$B47)</f>
        <v>0</v>
      </c>
      <c r="DI47" s="186">
        <f ca="1">SUMIFS(DI$6:DI$28,$D$6:$D$28,$B47)</f>
        <v>0</v>
      </c>
      <c r="DJ47" s="186">
        <f>SUMIFS(DJ$6:DJ$28,$D$6:$D$28,$B47)</f>
        <v>0</v>
      </c>
      <c r="DK47" s="186">
        <f ca="1">SUMIFS(DK$6:DK$28,$D$6:$D$28,$B47)</f>
        <v>0</v>
      </c>
      <c r="DL47" s="148">
        <f ca="1">IFERROR(DK47/DK$29,0)</f>
        <v>0</v>
      </c>
      <c r="DM47" s="186">
        <f ca="1">SUMIFS(DM$6:DM$28,$D$6:$D$28,$B47)</f>
        <v>0</v>
      </c>
      <c r="DN47" s="186">
        <f ca="1">SUMIFS(DN$6:DN$28,$D$6:$D$28,$B47)</f>
        <v>0</v>
      </c>
      <c r="DO47" s="148">
        <f ca="1">IFERROR(DN47/DN$29,0)</f>
        <v>0</v>
      </c>
      <c r="DQ47" s="155" t="s">
        <v>27</v>
      </c>
      <c r="DR47" s="155" t="s">
        <v>27</v>
      </c>
      <c r="DS47" s="186">
        <f>SUMIFS(DS$6:DS$28,$D$6:$D$28,$B47)</f>
        <v>0</v>
      </c>
      <c r="DT47" s="186">
        <f>SUMIFS(DT$6:DT$28,$D$6:$D$28,$B47)</f>
        <v>0</v>
      </c>
      <c r="DU47" s="187" t="s">
        <v>27</v>
      </c>
      <c r="DV47" s="187" t="s">
        <v>27</v>
      </c>
      <c r="DW47" s="187" t="s">
        <v>27</v>
      </c>
      <c r="DX47" s="186">
        <f ca="1">SUMIFS(DX$6:DX$28,$D$6:$D$28,$B47)</f>
        <v>0</v>
      </c>
      <c r="DY47" s="186">
        <f ca="1">SUMIFS(DY$6:DY$28,$D$6:$D$28,$B47)</f>
        <v>0</v>
      </c>
      <c r="DZ47" s="186">
        <f ca="1">SUMIFS(DZ$6:DZ$28,$D$6:$D$28,$B47)</f>
        <v>0</v>
      </c>
      <c r="EA47" s="149">
        <f ca="1">IFERROR(DZ47/EB47,0)</f>
        <v>0</v>
      </c>
      <c r="EB47" s="186">
        <f ca="1">SUMIFS(EB$6:EB$28,$D$6:$D$28,$B47)</f>
        <v>0</v>
      </c>
      <c r="EC47" s="186">
        <f>SUMIFS(EC$6:EC$28,$D$6:$D$28,$B47)</f>
        <v>0</v>
      </c>
      <c r="ED47" s="186">
        <f ca="1">SUMIFS(ED$6:ED$28,$D$6:$D$28,$B47)</f>
        <v>0</v>
      </c>
      <c r="EE47" s="186">
        <f>SUMIFS(EE$6:EE$28,$D$6:$D$28,$B47)</f>
        <v>0</v>
      </c>
      <c r="EF47" s="186">
        <f ca="1">SUMIFS(EF$6:EF$28,$D$6:$D$28,$B47)</f>
        <v>0</v>
      </c>
      <c r="EG47" s="148">
        <f ca="1">IFERROR(EF47/EF$29,0)</f>
        <v>0</v>
      </c>
      <c r="EH47" s="186">
        <f ca="1">SUMIFS(EH$6:EH$28,$D$6:$D$28,$B47)</f>
        <v>0</v>
      </c>
      <c r="EI47" s="186">
        <f ca="1">SUMIFS(EI$6:EI$28,$D$6:$D$28,$B47)</f>
        <v>0</v>
      </c>
      <c r="EJ47" s="148">
        <f ca="1">IFERROR(EI47/EI$29,0)</f>
        <v>0</v>
      </c>
      <c r="EL47" s="186">
        <f>SUMIFS(EL$6:EL$28,$D$6:$D$28,$B47)</f>
        <v>0</v>
      </c>
      <c r="EM47" s="186">
        <f>SUMIFS(EM$6:EM$28,$D$6:$D$28,$B47)</f>
        <v>0</v>
      </c>
      <c r="EN47" s="174" t="s">
        <v>27</v>
      </c>
      <c r="EO47" s="174" t="s">
        <v>27</v>
      </c>
      <c r="EP47" s="174" t="s">
        <v>27</v>
      </c>
      <c r="EQ47" s="186">
        <f ca="1">SUMIFS(EQ$6:EQ$28,$D$6:$D$28,$B47)</f>
        <v>0</v>
      </c>
      <c r="ER47" s="186">
        <f ca="1">SUMIFS(ER$6:ER$28,$D$6:$D$28,$B47)</f>
        <v>0</v>
      </c>
      <c r="ES47" s="186">
        <f ca="1">SUMIFS(ES$6:ES$28,$D$6:$D$28,$B47)</f>
        <v>0</v>
      </c>
      <c r="ET47" s="149">
        <f ca="1">IFERROR(ES47/EU47,0)</f>
        <v>0</v>
      </c>
      <c r="EU47" s="186">
        <f ca="1">SUMIFS(EU$6:EU$28,$D$6:$D$28,$B47)</f>
        <v>0</v>
      </c>
      <c r="EV47" s="186">
        <f>SUMIFS(EV$6:EV$28,$D$6:$D$28,$B47)</f>
        <v>0</v>
      </c>
      <c r="EW47" s="186">
        <f ca="1">SUMIFS(EW$6:EW$28,$D$6:$D$28,$B47)</f>
        <v>0</v>
      </c>
      <c r="EX47" s="186">
        <f>SUMIFS(EX$6:EX$28,$D$6:$D$28,$B47)</f>
        <v>0</v>
      </c>
      <c r="EY47" s="186">
        <f ca="1">SUMIFS(EY$6:EY$28,$D$6:$D$28,$B47)</f>
        <v>0</v>
      </c>
      <c r="EZ47" s="148">
        <f ca="1">IFERROR(EY47/EY$29,0)</f>
        <v>0</v>
      </c>
      <c r="FA47" s="186">
        <f ca="1">SUMIFS(FA$6:FA$28,$D$6:$D$28,$B47)</f>
        <v>0</v>
      </c>
      <c r="FB47" s="186">
        <f ca="1">SUMIFS(FB$6:FB$28,$D$6:$D$28,$B47)</f>
        <v>0</v>
      </c>
      <c r="FC47" s="148">
        <f ca="1">IFERROR(FB47/FB$29,0)</f>
        <v>0</v>
      </c>
      <c r="FF47" s="146">
        <f t="shared" ref="FF47:FF55" ca="1" si="180">OFFSET($G47,0,IF($FF$4=$G$4,1,12)+MATCH($FF$4,$G$4:$FC$4,0))</f>
        <v>0</v>
      </c>
      <c r="FG47" s="146">
        <f t="shared" ref="FG47:FG55" ca="1" si="181">OFFSET($G47,0,IF($FF$4=$G$4,2,13)+MATCH($FF$4,$G$4:$FC$4,0))</f>
        <v>0</v>
      </c>
      <c r="FH47" s="146">
        <f t="shared" ref="FH47:FH55" ca="1" si="182">OFFSET($G47,0,IF($FF$4=$G$4,5,17)+MATCH($FF$4,$G$4:$FC$4,0))</f>
        <v>0</v>
      </c>
      <c r="FK47" s="174" t="str">
        <f t="shared" ref="FK47:FL55" ca="1" si="183">IFERROR(OFFSET($G47,0,IF($FK$4=$G$4,1,12)+MATCH($FK$4,$G$4:$FC$4,0)),"na")</f>
        <v>na</v>
      </c>
      <c r="FL47" s="174" t="str">
        <f t="shared" ca="1" si="183"/>
        <v>na</v>
      </c>
      <c r="FM47" s="174" t="str">
        <f t="shared" ref="FM47:FM55" ca="1" si="184">IFERROR(OFFSET($G47,0,IF($FK$4=$G$4,5,17)+MATCH($FK$4,$G$4:$FC$4,0)),"na")</f>
        <v>na</v>
      </c>
    </row>
    <row r="48" spans="2:169">
      <c r="B48" s="149" t="str">
        <f>R59</f>
        <v>Seed</v>
      </c>
      <c r="D48" s="155" t="str">
        <f t="shared" ref="D48:D54" si="185">B48</f>
        <v>Seed</v>
      </c>
      <c r="E48" s="177" t="s">
        <v>27</v>
      </c>
      <c r="G48" s="155" t="s">
        <v>27</v>
      </c>
      <c r="H48" s="155" t="s">
        <v>27</v>
      </c>
      <c r="I48" s="186">
        <f t="shared" ref="I48:K54" si="186">SUMIFS(I$6:I$28,$D$6:$D$28,$B48)</f>
        <v>0</v>
      </c>
      <c r="J48" s="186">
        <f t="shared" si="186"/>
        <v>0</v>
      </c>
      <c r="K48" s="186">
        <f t="shared" si="186"/>
        <v>0</v>
      </c>
      <c r="L48" s="148">
        <f t="shared" ref="L48:L54" si="187">IFERROR(K48/K$29,0)</f>
        <v>0</v>
      </c>
      <c r="M48" s="186">
        <f t="shared" ref="M48:M54" si="188">SUMIFS(M$6:M$28,$D$6:$D$28,$B48)</f>
        <v>0</v>
      </c>
      <c r="N48" s="148">
        <f t="shared" ref="N48:N54" si="189">IFERROR(M48/M$29,0)</f>
        <v>0</v>
      </c>
      <c r="P48" s="155" t="s">
        <v>27</v>
      </c>
      <c r="Q48" s="155" t="s">
        <v>27</v>
      </c>
      <c r="R48" s="186">
        <f t="shared" ref="R48:S54" si="190">SUMIFS(R$6:R$28,$D$6:$D$28,$B48)</f>
        <v>0</v>
      </c>
      <c r="S48" s="186">
        <f t="shared" si="190"/>
        <v>0</v>
      </c>
      <c r="T48" s="187" t="s">
        <v>27</v>
      </c>
      <c r="U48" s="187" t="s">
        <v>27</v>
      </c>
      <c r="V48" s="187" t="s">
        <v>27</v>
      </c>
      <c r="W48" s="186">
        <f t="shared" ref="W48:Y54" ca="1" si="191">SUMIFS(W$6:W$28,$D$6:$D$28,$B48)</f>
        <v>0</v>
      </c>
      <c r="X48" s="186">
        <f t="shared" ca="1" si="191"/>
        <v>0</v>
      </c>
      <c r="Y48" s="186">
        <f t="shared" ca="1" si="191"/>
        <v>0</v>
      </c>
      <c r="Z48" s="149">
        <f t="shared" ref="Z48:Z55" ca="1" si="192">IFERROR(Y48/AA48,0)</f>
        <v>0</v>
      </c>
      <c r="AA48" s="186">
        <f t="shared" ref="AA48:AE54" ca="1" si="193">SUMIFS(AA$6:AA$28,$D$6:$D$28,$B48)</f>
        <v>0</v>
      </c>
      <c r="AB48" s="186">
        <f t="shared" si="193"/>
        <v>0</v>
      </c>
      <c r="AC48" s="186">
        <f t="shared" ca="1" si="193"/>
        <v>0</v>
      </c>
      <c r="AD48" s="186">
        <f t="shared" si="193"/>
        <v>0</v>
      </c>
      <c r="AE48" s="186">
        <f t="shared" ca="1" si="193"/>
        <v>0</v>
      </c>
      <c r="AF48" s="148">
        <f t="shared" ref="AF48:AF54" ca="1" si="194">IFERROR(AE48/AE$29,0)</f>
        <v>0</v>
      </c>
      <c r="AG48" s="186">
        <f t="shared" ref="AG48:AH54" ca="1" si="195">SUMIFS(AG$6:AG$28,$D$6:$D$28,$B48)</f>
        <v>0</v>
      </c>
      <c r="AH48" s="186">
        <f t="shared" ca="1" si="195"/>
        <v>0</v>
      </c>
      <c r="AI48" s="148">
        <f t="shared" ref="AI48:AI54" ca="1" si="196">IFERROR(AH48/AH$29,0)</f>
        <v>0</v>
      </c>
      <c r="AK48" s="155" t="s">
        <v>27</v>
      </c>
      <c r="AL48" s="155" t="s">
        <v>27</v>
      </c>
      <c r="AM48" s="186">
        <f t="shared" ref="AM48:AN54" si="197">SUMIFS(AM$6:AM$28,$D$6:$D$28,$B48)</f>
        <v>0</v>
      </c>
      <c r="AN48" s="186">
        <f t="shared" si="197"/>
        <v>0</v>
      </c>
      <c r="AO48" s="187" t="s">
        <v>27</v>
      </c>
      <c r="AP48" s="187" t="s">
        <v>27</v>
      </c>
      <c r="AQ48" s="187" t="s">
        <v>27</v>
      </c>
      <c r="AR48" s="186">
        <f t="shared" ref="AR48:AT54" ca="1" si="198">SUMIFS(AR$6:AR$28,$D$6:$D$28,$B48)</f>
        <v>0</v>
      </c>
      <c r="AS48" s="186">
        <f t="shared" ca="1" si="198"/>
        <v>0</v>
      </c>
      <c r="AT48" s="186">
        <f t="shared" ca="1" si="198"/>
        <v>0</v>
      </c>
      <c r="AU48" s="149">
        <f t="shared" ref="AU48:AU55" ca="1" si="199">IFERROR(AT48/AV48,0)</f>
        <v>0</v>
      </c>
      <c r="AV48" s="186">
        <f t="shared" ref="AV48:AZ54" ca="1" si="200">SUMIFS(AV$6:AV$28,$D$6:$D$28,$B48)</f>
        <v>0</v>
      </c>
      <c r="AW48" s="186">
        <f t="shared" si="200"/>
        <v>0</v>
      </c>
      <c r="AX48" s="186">
        <f t="shared" ca="1" si="200"/>
        <v>0</v>
      </c>
      <c r="AY48" s="186">
        <f t="shared" si="200"/>
        <v>0</v>
      </c>
      <c r="AZ48" s="186">
        <f t="shared" ca="1" si="200"/>
        <v>0</v>
      </c>
      <c r="BA48" s="148">
        <f t="shared" ref="BA48:BA54" ca="1" si="201">IFERROR(AZ48/AZ$29,0)</f>
        <v>0</v>
      </c>
      <c r="BB48" s="186">
        <f t="shared" ref="BB48:BC54" ca="1" si="202">SUMIFS(BB$6:BB$28,$D$6:$D$28,$B48)</f>
        <v>0</v>
      </c>
      <c r="BC48" s="186">
        <f t="shared" ca="1" si="202"/>
        <v>0</v>
      </c>
      <c r="BD48" s="148">
        <f t="shared" ref="BD48:BD54" ca="1" si="203">IFERROR(BC48/BC$29,0)</f>
        <v>0</v>
      </c>
      <c r="BF48" s="155" t="s">
        <v>27</v>
      </c>
      <c r="BG48" s="155" t="s">
        <v>27</v>
      </c>
      <c r="BH48" s="186">
        <f t="shared" ref="BH48:BI54" si="204">SUMIFS(BH$6:BH$28,$D$6:$D$28,$B48)</f>
        <v>0</v>
      </c>
      <c r="BI48" s="186">
        <f t="shared" si="204"/>
        <v>0</v>
      </c>
      <c r="BJ48" s="187" t="s">
        <v>27</v>
      </c>
      <c r="BK48" s="187" t="s">
        <v>27</v>
      </c>
      <c r="BL48" s="187" t="s">
        <v>27</v>
      </c>
      <c r="BM48" s="186">
        <f t="shared" ref="BM48:BO54" ca="1" si="205">SUMIFS(BM$6:BM$28,$D$6:$D$28,$B48)</f>
        <v>0</v>
      </c>
      <c r="BN48" s="186">
        <f t="shared" ca="1" si="205"/>
        <v>0</v>
      </c>
      <c r="BO48" s="186">
        <f t="shared" ca="1" si="205"/>
        <v>0</v>
      </c>
      <c r="BP48" s="149">
        <f t="shared" ref="BP48:BP55" ca="1" si="206">IFERROR(BO48/BQ48,0)</f>
        <v>0</v>
      </c>
      <c r="BQ48" s="186">
        <f t="shared" ref="BQ48:BU54" ca="1" si="207">SUMIFS(BQ$6:BQ$28,$D$6:$D$28,$B48)</f>
        <v>0</v>
      </c>
      <c r="BR48" s="186">
        <f t="shared" si="207"/>
        <v>0</v>
      </c>
      <c r="BS48" s="186">
        <f t="shared" ca="1" si="207"/>
        <v>0</v>
      </c>
      <c r="BT48" s="186">
        <f t="shared" si="207"/>
        <v>0</v>
      </c>
      <c r="BU48" s="186">
        <f t="shared" ca="1" si="207"/>
        <v>0</v>
      </c>
      <c r="BV48" s="148">
        <f t="shared" ref="BV48:BV54" ca="1" si="208">IFERROR(BU48/BU$29,0)</f>
        <v>0</v>
      </c>
      <c r="BW48" s="186">
        <f t="shared" ref="BW48:BX54" ca="1" si="209">SUMIFS(BW$6:BW$28,$D$6:$D$28,$B48)</f>
        <v>0</v>
      </c>
      <c r="BX48" s="186">
        <f t="shared" ca="1" si="209"/>
        <v>0</v>
      </c>
      <c r="BY48" s="148">
        <f t="shared" ref="BY48:BY54" ca="1" si="210">IFERROR(BX48/BX$29,0)</f>
        <v>0</v>
      </c>
      <c r="CA48" s="155" t="s">
        <v>27</v>
      </c>
      <c r="CB48" s="155" t="s">
        <v>27</v>
      </c>
      <c r="CC48" s="186">
        <f t="shared" ref="CC48:CD54" si="211">SUMIFS(CC$6:CC$28,$D$6:$D$28,$B48)</f>
        <v>0</v>
      </c>
      <c r="CD48" s="186">
        <f t="shared" si="211"/>
        <v>0</v>
      </c>
      <c r="CE48" s="187" t="s">
        <v>27</v>
      </c>
      <c r="CF48" s="187" t="s">
        <v>27</v>
      </c>
      <c r="CG48" s="187" t="s">
        <v>27</v>
      </c>
      <c r="CH48" s="186">
        <f t="shared" ref="CH48:CJ54" ca="1" si="212">SUMIFS(CH$6:CH$28,$D$6:$D$28,$B48)</f>
        <v>0</v>
      </c>
      <c r="CI48" s="186">
        <f t="shared" ca="1" si="212"/>
        <v>0</v>
      </c>
      <c r="CJ48" s="186">
        <f t="shared" ca="1" si="212"/>
        <v>0</v>
      </c>
      <c r="CK48" s="149">
        <f t="shared" ref="CK48:CK55" ca="1" si="213">IFERROR(CJ48/CL48,0)</f>
        <v>0</v>
      </c>
      <c r="CL48" s="186">
        <f t="shared" ref="CL48:CP54" ca="1" si="214">SUMIFS(CL$6:CL$28,$D$6:$D$28,$B48)</f>
        <v>0</v>
      </c>
      <c r="CM48" s="186">
        <f t="shared" si="214"/>
        <v>0</v>
      </c>
      <c r="CN48" s="186">
        <f t="shared" ca="1" si="214"/>
        <v>0</v>
      </c>
      <c r="CO48" s="186">
        <f t="shared" si="214"/>
        <v>0</v>
      </c>
      <c r="CP48" s="186">
        <f t="shared" ca="1" si="214"/>
        <v>0</v>
      </c>
      <c r="CQ48" s="148">
        <f t="shared" ref="CQ48:CQ54" ca="1" si="215">IFERROR(CP48/CP$29,0)</f>
        <v>0</v>
      </c>
      <c r="CR48" s="186">
        <f t="shared" ref="CR48:CS54" ca="1" si="216">SUMIFS(CR$6:CR$28,$D$6:$D$28,$B48)</f>
        <v>0</v>
      </c>
      <c r="CS48" s="186">
        <f t="shared" ca="1" si="216"/>
        <v>0</v>
      </c>
      <c r="CT48" s="148">
        <f t="shared" ref="CT48:CT54" ca="1" si="217">IFERROR(CS48/CS$29,0)</f>
        <v>0</v>
      </c>
      <c r="CV48" s="155" t="s">
        <v>27</v>
      </c>
      <c r="CW48" s="155" t="s">
        <v>27</v>
      </c>
      <c r="CX48" s="186">
        <f t="shared" ref="CX48:CY54" si="218">SUMIFS(CX$6:CX$28,$D$6:$D$28,$B48)</f>
        <v>0</v>
      </c>
      <c r="CY48" s="186">
        <f t="shared" si="218"/>
        <v>0</v>
      </c>
      <c r="CZ48" s="187" t="s">
        <v>27</v>
      </c>
      <c r="DA48" s="187" t="s">
        <v>27</v>
      </c>
      <c r="DB48" s="187" t="s">
        <v>27</v>
      </c>
      <c r="DC48" s="186">
        <f t="shared" ref="DC48:DE54" ca="1" si="219">SUMIFS(DC$6:DC$28,$D$6:$D$28,$B48)</f>
        <v>0</v>
      </c>
      <c r="DD48" s="186">
        <f t="shared" ca="1" si="219"/>
        <v>0</v>
      </c>
      <c r="DE48" s="186">
        <f t="shared" ca="1" si="219"/>
        <v>0</v>
      </c>
      <c r="DF48" s="149">
        <f t="shared" ref="DF48:DF55" ca="1" si="220">IFERROR(DE48/DG48,0)</f>
        <v>0</v>
      </c>
      <c r="DG48" s="186">
        <f t="shared" ref="DG48:DK54" ca="1" si="221">SUMIFS(DG$6:DG$28,$D$6:$D$28,$B48)</f>
        <v>0</v>
      </c>
      <c r="DH48" s="186">
        <f t="shared" si="221"/>
        <v>0</v>
      </c>
      <c r="DI48" s="186">
        <f t="shared" ca="1" si="221"/>
        <v>0</v>
      </c>
      <c r="DJ48" s="186">
        <f t="shared" si="221"/>
        <v>0</v>
      </c>
      <c r="DK48" s="186">
        <f t="shared" ca="1" si="221"/>
        <v>0</v>
      </c>
      <c r="DL48" s="148">
        <f t="shared" ref="DL48:DL54" ca="1" si="222">IFERROR(DK48/DK$29,0)</f>
        <v>0</v>
      </c>
      <c r="DM48" s="186">
        <f t="shared" ref="DM48:DN54" ca="1" si="223">SUMIFS(DM$6:DM$28,$D$6:$D$28,$B48)</f>
        <v>0</v>
      </c>
      <c r="DN48" s="186">
        <f t="shared" ca="1" si="223"/>
        <v>0</v>
      </c>
      <c r="DO48" s="148">
        <f t="shared" ref="DO48:DO54" ca="1" si="224">IFERROR(DN48/DN$29,0)</f>
        <v>0</v>
      </c>
      <c r="DQ48" s="155" t="s">
        <v>27</v>
      </c>
      <c r="DR48" s="155" t="s">
        <v>27</v>
      </c>
      <c r="DS48" s="186">
        <f t="shared" ref="DS48:DT54" si="225">SUMIFS(DS$6:DS$28,$D$6:$D$28,$B48)</f>
        <v>0</v>
      </c>
      <c r="DT48" s="186">
        <f t="shared" si="225"/>
        <v>0</v>
      </c>
      <c r="DU48" s="187" t="s">
        <v>27</v>
      </c>
      <c r="DV48" s="187" t="s">
        <v>27</v>
      </c>
      <c r="DW48" s="187" t="s">
        <v>27</v>
      </c>
      <c r="DX48" s="186">
        <f t="shared" ref="DX48:DZ54" ca="1" si="226">SUMIFS(DX$6:DX$28,$D$6:$D$28,$B48)</f>
        <v>0</v>
      </c>
      <c r="DY48" s="186">
        <f t="shared" ca="1" si="226"/>
        <v>0</v>
      </c>
      <c r="DZ48" s="186">
        <f t="shared" ca="1" si="226"/>
        <v>0</v>
      </c>
      <c r="EA48" s="149">
        <f t="shared" ref="EA48:EA55" ca="1" si="227">IFERROR(DZ48/EB48,0)</f>
        <v>0</v>
      </c>
      <c r="EB48" s="186">
        <f t="shared" ref="EB48:EF54" ca="1" si="228">SUMIFS(EB$6:EB$28,$D$6:$D$28,$B48)</f>
        <v>0</v>
      </c>
      <c r="EC48" s="186">
        <f t="shared" si="228"/>
        <v>0</v>
      </c>
      <c r="ED48" s="186">
        <f t="shared" ca="1" si="228"/>
        <v>0</v>
      </c>
      <c r="EE48" s="186">
        <f t="shared" si="228"/>
        <v>0</v>
      </c>
      <c r="EF48" s="186">
        <f t="shared" ca="1" si="228"/>
        <v>0</v>
      </c>
      <c r="EG48" s="148">
        <f t="shared" ref="EG48:EG54" ca="1" si="229">IFERROR(EF48/EF$29,0)</f>
        <v>0</v>
      </c>
      <c r="EH48" s="186">
        <f t="shared" ref="EH48:EI54" ca="1" si="230">SUMIFS(EH$6:EH$28,$D$6:$D$28,$B48)</f>
        <v>0</v>
      </c>
      <c r="EI48" s="186">
        <f t="shared" ca="1" si="230"/>
        <v>0</v>
      </c>
      <c r="EJ48" s="148">
        <f t="shared" ref="EJ48:EJ54" ca="1" si="231">IFERROR(EI48/EI$29,0)</f>
        <v>0</v>
      </c>
      <c r="EL48" s="186">
        <f t="shared" ref="EL48:EM54" si="232">SUMIFS(EL$6:EL$28,$D$6:$D$28,$B48)</f>
        <v>0</v>
      </c>
      <c r="EM48" s="186">
        <f t="shared" si="232"/>
        <v>0</v>
      </c>
      <c r="EN48" s="174" t="s">
        <v>27</v>
      </c>
      <c r="EO48" s="174" t="s">
        <v>27</v>
      </c>
      <c r="EP48" s="174" t="s">
        <v>27</v>
      </c>
      <c r="EQ48" s="186">
        <f t="shared" ref="EQ48:ES54" ca="1" si="233">SUMIFS(EQ$6:EQ$28,$D$6:$D$28,$B48)</f>
        <v>0</v>
      </c>
      <c r="ER48" s="186">
        <f t="shared" ca="1" si="233"/>
        <v>0</v>
      </c>
      <c r="ES48" s="186">
        <f t="shared" ca="1" si="233"/>
        <v>0</v>
      </c>
      <c r="ET48" s="149">
        <f t="shared" ref="ET48:ET55" ca="1" si="234">IFERROR(ES48/EU48,0)</f>
        <v>0</v>
      </c>
      <c r="EU48" s="186">
        <f t="shared" ref="EU48:EY54" ca="1" si="235">SUMIFS(EU$6:EU$28,$D$6:$D$28,$B48)</f>
        <v>0</v>
      </c>
      <c r="EV48" s="186">
        <f t="shared" si="235"/>
        <v>0</v>
      </c>
      <c r="EW48" s="186">
        <f t="shared" ca="1" si="235"/>
        <v>0</v>
      </c>
      <c r="EX48" s="186">
        <f t="shared" si="235"/>
        <v>0</v>
      </c>
      <c r="EY48" s="186">
        <f t="shared" ca="1" si="235"/>
        <v>0</v>
      </c>
      <c r="EZ48" s="148">
        <f t="shared" ref="EZ48:EZ54" ca="1" si="236">IFERROR(EY48/EY$29,0)</f>
        <v>0</v>
      </c>
      <c r="FA48" s="186">
        <f t="shared" ref="FA48:FB54" ca="1" si="237">SUMIFS(FA$6:FA$28,$D$6:$D$28,$B48)</f>
        <v>0</v>
      </c>
      <c r="FB48" s="186">
        <f t="shared" ca="1" si="237"/>
        <v>0</v>
      </c>
      <c r="FC48" s="148">
        <f t="shared" ref="FC48:FC54" ca="1" si="238">IFERROR(FB48/FB$29,0)</f>
        <v>0</v>
      </c>
      <c r="FF48" s="146">
        <f t="shared" ca="1" si="180"/>
        <v>0</v>
      </c>
      <c r="FG48" s="146">
        <f t="shared" ca="1" si="181"/>
        <v>0</v>
      </c>
      <c r="FH48" s="146">
        <f t="shared" ca="1" si="182"/>
        <v>0</v>
      </c>
      <c r="FK48" s="174" t="str">
        <f t="shared" ca="1" si="183"/>
        <v>na</v>
      </c>
      <c r="FL48" s="174" t="str">
        <f t="shared" ca="1" si="183"/>
        <v>na</v>
      </c>
      <c r="FM48" s="174" t="str">
        <f t="shared" ca="1" si="184"/>
        <v>na</v>
      </c>
    </row>
    <row r="49" spans="2:169">
      <c r="B49" s="149" t="str">
        <f>AM59</f>
        <v>A</v>
      </c>
      <c r="D49" s="155" t="str">
        <f t="shared" si="185"/>
        <v>A</v>
      </c>
      <c r="E49" s="177" t="s">
        <v>27</v>
      </c>
      <c r="G49" s="155" t="s">
        <v>27</v>
      </c>
      <c r="H49" s="155" t="s">
        <v>27</v>
      </c>
      <c r="I49" s="186">
        <f t="shared" si="186"/>
        <v>0</v>
      </c>
      <c r="J49" s="186">
        <f t="shared" si="186"/>
        <v>0</v>
      </c>
      <c r="K49" s="186">
        <f t="shared" si="186"/>
        <v>0</v>
      </c>
      <c r="L49" s="148">
        <f t="shared" si="187"/>
        <v>0</v>
      </c>
      <c r="M49" s="186">
        <f t="shared" si="188"/>
        <v>0</v>
      </c>
      <c r="N49" s="148">
        <f t="shared" si="189"/>
        <v>0</v>
      </c>
      <c r="P49" s="155" t="s">
        <v>27</v>
      </c>
      <c r="Q49" s="155" t="s">
        <v>27</v>
      </c>
      <c r="R49" s="186">
        <f t="shared" si="190"/>
        <v>0</v>
      </c>
      <c r="S49" s="186">
        <f t="shared" si="190"/>
        <v>0</v>
      </c>
      <c r="T49" s="187" t="s">
        <v>27</v>
      </c>
      <c r="U49" s="187" t="s">
        <v>27</v>
      </c>
      <c r="V49" s="187" t="s">
        <v>27</v>
      </c>
      <c r="W49" s="186">
        <f t="shared" ca="1" si="191"/>
        <v>0</v>
      </c>
      <c r="X49" s="186">
        <f t="shared" ca="1" si="191"/>
        <v>0</v>
      </c>
      <c r="Y49" s="186">
        <f t="shared" ca="1" si="191"/>
        <v>0</v>
      </c>
      <c r="Z49" s="149">
        <f t="shared" ca="1" si="192"/>
        <v>0</v>
      </c>
      <c r="AA49" s="186">
        <f t="shared" ca="1" si="193"/>
        <v>0</v>
      </c>
      <c r="AB49" s="186">
        <f t="shared" si="193"/>
        <v>0</v>
      </c>
      <c r="AC49" s="186">
        <f t="shared" ca="1" si="193"/>
        <v>0</v>
      </c>
      <c r="AD49" s="186">
        <f t="shared" si="193"/>
        <v>0</v>
      </c>
      <c r="AE49" s="186">
        <f t="shared" ca="1" si="193"/>
        <v>0</v>
      </c>
      <c r="AF49" s="148">
        <f t="shared" ca="1" si="194"/>
        <v>0</v>
      </c>
      <c r="AG49" s="186">
        <f t="shared" ca="1" si="195"/>
        <v>0</v>
      </c>
      <c r="AH49" s="186">
        <f t="shared" ca="1" si="195"/>
        <v>0</v>
      </c>
      <c r="AI49" s="148">
        <f t="shared" ca="1" si="196"/>
        <v>0</v>
      </c>
      <c r="AK49" s="155" t="s">
        <v>27</v>
      </c>
      <c r="AL49" s="155" t="s">
        <v>27</v>
      </c>
      <c r="AM49" s="186">
        <f t="shared" si="197"/>
        <v>0</v>
      </c>
      <c r="AN49" s="186">
        <f t="shared" si="197"/>
        <v>0</v>
      </c>
      <c r="AO49" s="187" t="s">
        <v>27</v>
      </c>
      <c r="AP49" s="187" t="s">
        <v>27</v>
      </c>
      <c r="AQ49" s="187" t="s">
        <v>27</v>
      </c>
      <c r="AR49" s="186">
        <f t="shared" ca="1" si="198"/>
        <v>0</v>
      </c>
      <c r="AS49" s="186">
        <f t="shared" ca="1" si="198"/>
        <v>0</v>
      </c>
      <c r="AT49" s="186">
        <f t="shared" ca="1" si="198"/>
        <v>0</v>
      </c>
      <c r="AU49" s="149">
        <f t="shared" ca="1" si="199"/>
        <v>0</v>
      </c>
      <c r="AV49" s="186">
        <f t="shared" ca="1" si="200"/>
        <v>0</v>
      </c>
      <c r="AW49" s="186">
        <f t="shared" si="200"/>
        <v>0</v>
      </c>
      <c r="AX49" s="186">
        <f t="shared" ca="1" si="200"/>
        <v>0</v>
      </c>
      <c r="AY49" s="186">
        <f t="shared" si="200"/>
        <v>0</v>
      </c>
      <c r="AZ49" s="186">
        <f t="shared" ca="1" si="200"/>
        <v>0</v>
      </c>
      <c r="BA49" s="148">
        <f t="shared" ca="1" si="201"/>
        <v>0</v>
      </c>
      <c r="BB49" s="186">
        <f t="shared" ca="1" si="202"/>
        <v>0</v>
      </c>
      <c r="BC49" s="186">
        <f t="shared" ca="1" si="202"/>
        <v>0</v>
      </c>
      <c r="BD49" s="148">
        <f t="shared" ca="1" si="203"/>
        <v>0</v>
      </c>
      <c r="BF49" s="155" t="s">
        <v>27</v>
      </c>
      <c r="BG49" s="155" t="s">
        <v>27</v>
      </c>
      <c r="BH49" s="186">
        <f t="shared" si="204"/>
        <v>0</v>
      </c>
      <c r="BI49" s="186">
        <f t="shared" si="204"/>
        <v>0</v>
      </c>
      <c r="BJ49" s="187" t="s">
        <v>27</v>
      </c>
      <c r="BK49" s="187" t="s">
        <v>27</v>
      </c>
      <c r="BL49" s="187" t="s">
        <v>27</v>
      </c>
      <c r="BM49" s="186">
        <f t="shared" ca="1" si="205"/>
        <v>0</v>
      </c>
      <c r="BN49" s="186">
        <f t="shared" ca="1" si="205"/>
        <v>0</v>
      </c>
      <c r="BO49" s="186">
        <f t="shared" ca="1" si="205"/>
        <v>0</v>
      </c>
      <c r="BP49" s="149">
        <f t="shared" ca="1" si="206"/>
        <v>0</v>
      </c>
      <c r="BQ49" s="186">
        <f t="shared" ca="1" si="207"/>
        <v>0</v>
      </c>
      <c r="BR49" s="186">
        <f t="shared" si="207"/>
        <v>0</v>
      </c>
      <c r="BS49" s="186">
        <f t="shared" ca="1" si="207"/>
        <v>0</v>
      </c>
      <c r="BT49" s="186">
        <f t="shared" si="207"/>
        <v>0</v>
      </c>
      <c r="BU49" s="186">
        <f t="shared" ca="1" si="207"/>
        <v>0</v>
      </c>
      <c r="BV49" s="148">
        <f t="shared" ca="1" si="208"/>
        <v>0</v>
      </c>
      <c r="BW49" s="186">
        <f t="shared" ca="1" si="209"/>
        <v>0</v>
      </c>
      <c r="BX49" s="186">
        <f t="shared" ca="1" si="209"/>
        <v>0</v>
      </c>
      <c r="BY49" s="148">
        <f t="shared" ca="1" si="210"/>
        <v>0</v>
      </c>
      <c r="CA49" s="155" t="s">
        <v>27</v>
      </c>
      <c r="CB49" s="155" t="s">
        <v>27</v>
      </c>
      <c r="CC49" s="186">
        <f t="shared" si="211"/>
        <v>0</v>
      </c>
      <c r="CD49" s="186">
        <f t="shared" si="211"/>
        <v>0</v>
      </c>
      <c r="CE49" s="187" t="s">
        <v>27</v>
      </c>
      <c r="CF49" s="187" t="s">
        <v>27</v>
      </c>
      <c r="CG49" s="187" t="s">
        <v>27</v>
      </c>
      <c r="CH49" s="186">
        <f t="shared" ca="1" si="212"/>
        <v>0</v>
      </c>
      <c r="CI49" s="186">
        <f t="shared" ca="1" si="212"/>
        <v>0</v>
      </c>
      <c r="CJ49" s="186">
        <f t="shared" ca="1" si="212"/>
        <v>0</v>
      </c>
      <c r="CK49" s="149">
        <f t="shared" ca="1" si="213"/>
        <v>0</v>
      </c>
      <c r="CL49" s="186">
        <f t="shared" ca="1" si="214"/>
        <v>0</v>
      </c>
      <c r="CM49" s="186">
        <f t="shared" si="214"/>
        <v>0</v>
      </c>
      <c r="CN49" s="186">
        <f t="shared" ca="1" si="214"/>
        <v>0</v>
      </c>
      <c r="CO49" s="186">
        <f t="shared" si="214"/>
        <v>0</v>
      </c>
      <c r="CP49" s="186">
        <f t="shared" ca="1" si="214"/>
        <v>0</v>
      </c>
      <c r="CQ49" s="148">
        <f t="shared" ca="1" si="215"/>
        <v>0</v>
      </c>
      <c r="CR49" s="186">
        <f t="shared" ca="1" si="216"/>
        <v>0</v>
      </c>
      <c r="CS49" s="186">
        <f t="shared" ca="1" si="216"/>
        <v>0</v>
      </c>
      <c r="CT49" s="148">
        <f t="shared" ca="1" si="217"/>
        <v>0</v>
      </c>
      <c r="CV49" s="155" t="s">
        <v>27</v>
      </c>
      <c r="CW49" s="155" t="s">
        <v>27</v>
      </c>
      <c r="CX49" s="186">
        <f t="shared" si="218"/>
        <v>0</v>
      </c>
      <c r="CY49" s="186">
        <f t="shared" si="218"/>
        <v>0</v>
      </c>
      <c r="CZ49" s="187" t="s">
        <v>27</v>
      </c>
      <c r="DA49" s="187" t="s">
        <v>27</v>
      </c>
      <c r="DB49" s="187" t="s">
        <v>27</v>
      </c>
      <c r="DC49" s="186">
        <f t="shared" ca="1" si="219"/>
        <v>0</v>
      </c>
      <c r="DD49" s="186">
        <f t="shared" ca="1" si="219"/>
        <v>0</v>
      </c>
      <c r="DE49" s="186">
        <f t="shared" ca="1" si="219"/>
        <v>0</v>
      </c>
      <c r="DF49" s="149">
        <f t="shared" ca="1" si="220"/>
        <v>0</v>
      </c>
      <c r="DG49" s="186">
        <f t="shared" ca="1" si="221"/>
        <v>0</v>
      </c>
      <c r="DH49" s="186">
        <f t="shared" si="221"/>
        <v>0</v>
      </c>
      <c r="DI49" s="186">
        <f t="shared" ca="1" si="221"/>
        <v>0</v>
      </c>
      <c r="DJ49" s="186">
        <f t="shared" si="221"/>
        <v>0</v>
      </c>
      <c r="DK49" s="186">
        <f t="shared" ca="1" si="221"/>
        <v>0</v>
      </c>
      <c r="DL49" s="148">
        <f t="shared" ca="1" si="222"/>
        <v>0</v>
      </c>
      <c r="DM49" s="186">
        <f t="shared" ca="1" si="223"/>
        <v>0</v>
      </c>
      <c r="DN49" s="186">
        <f t="shared" ca="1" si="223"/>
        <v>0</v>
      </c>
      <c r="DO49" s="148">
        <f t="shared" ca="1" si="224"/>
        <v>0</v>
      </c>
      <c r="DQ49" s="155" t="s">
        <v>27</v>
      </c>
      <c r="DR49" s="155" t="s">
        <v>27</v>
      </c>
      <c r="DS49" s="186">
        <f t="shared" si="225"/>
        <v>0</v>
      </c>
      <c r="DT49" s="186">
        <f t="shared" si="225"/>
        <v>0</v>
      </c>
      <c r="DU49" s="187" t="s">
        <v>27</v>
      </c>
      <c r="DV49" s="187" t="s">
        <v>27</v>
      </c>
      <c r="DW49" s="187" t="s">
        <v>27</v>
      </c>
      <c r="DX49" s="186">
        <f t="shared" ca="1" si="226"/>
        <v>0</v>
      </c>
      <c r="DY49" s="186">
        <f t="shared" ca="1" si="226"/>
        <v>0</v>
      </c>
      <c r="DZ49" s="186">
        <f t="shared" ca="1" si="226"/>
        <v>0</v>
      </c>
      <c r="EA49" s="149">
        <f t="shared" ca="1" si="227"/>
        <v>0</v>
      </c>
      <c r="EB49" s="186">
        <f t="shared" ca="1" si="228"/>
        <v>0</v>
      </c>
      <c r="EC49" s="186">
        <f t="shared" si="228"/>
        <v>0</v>
      </c>
      <c r="ED49" s="186">
        <f t="shared" ca="1" si="228"/>
        <v>0</v>
      </c>
      <c r="EE49" s="186">
        <f t="shared" si="228"/>
        <v>0</v>
      </c>
      <c r="EF49" s="186">
        <f t="shared" ca="1" si="228"/>
        <v>0</v>
      </c>
      <c r="EG49" s="148">
        <f t="shared" ca="1" si="229"/>
        <v>0</v>
      </c>
      <c r="EH49" s="186">
        <f t="shared" ca="1" si="230"/>
        <v>0</v>
      </c>
      <c r="EI49" s="186">
        <f t="shared" ca="1" si="230"/>
        <v>0</v>
      </c>
      <c r="EJ49" s="148">
        <f t="shared" ca="1" si="231"/>
        <v>0</v>
      </c>
      <c r="EL49" s="186">
        <f t="shared" si="232"/>
        <v>0</v>
      </c>
      <c r="EM49" s="186">
        <f t="shared" si="232"/>
        <v>0</v>
      </c>
      <c r="EN49" s="174" t="s">
        <v>27</v>
      </c>
      <c r="EO49" s="174" t="s">
        <v>27</v>
      </c>
      <c r="EP49" s="174" t="s">
        <v>27</v>
      </c>
      <c r="EQ49" s="186">
        <f t="shared" ca="1" si="233"/>
        <v>0</v>
      </c>
      <c r="ER49" s="186">
        <f t="shared" ca="1" si="233"/>
        <v>0</v>
      </c>
      <c r="ES49" s="186">
        <f t="shared" ca="1" si="233"/>
        <v>0</v>
      </c>
      <c r="ET49" s="149">
        <f t="shared" ca="1" si="234"/>
        <v>0</v>
      </c>
      <c r="EU49" s="186">
        <f t="shared" ca="1" si="235"/>
        <v>0</v>
      </c>
      <c r="EV49" s="186">
        <f t="shared" si="235"/>
        <v>0</v>
      </c>
      <c r="EW49" s="186">
        <f t="shared" ca="1" si="235"/>
        <v>0</v>
      </c>
      <c r="EX49" s="186">
        <f t="shared" si="235"/>
        <v>0</v>
      </c>
      <c r="EY49" s="186">
        <f t="shared" ca="1" si="235"/>
        <v>0</v>
      </c>
      <c r="EZ49" s="148">
        <f t="shared" ca="1" si="236"/>
        <v>0</v>
      </c>
      <c r="FA49" s="186">
        <f t="shared" ca="1" si="237"/>
        <v>0</v>
      </c>
      <c r="FB49" s="186">
        <f t="shared" ca="1" si="237"/>
        <v>0</v>
      </c>
      <c r="FC49" s="148">
        <f t="shared" ca="1" si="238"/>
        <v>0</v>
      </c>
      <c r="FF49" s="146">
        <f t="shared" ca="1" si="180"/>
        <v>0</v>
      </c>
      <c r="FG49" s="146">
        <f t="shared" ca="1" si="181"/>
        <v>0</v>
      </c>
      <c r="FH49" s="146">
        <f t="shared" ca="1" si="182"/>
        <v>0</v>
      </c>
      <c r="FK49" s="174" t="str">
        <f t="shared" ca="1" si="183"/>
        <v>na</v>
      </c>
      <c r="FL49" s="174" t="str">
        <f t="shared" ca="1" si="183"/>
        <v>na</v>
      </c>
      <c r="FM49" s="174" t="str">
        <f t="shared" ca="1" si="184"/>
        <v>na</v>
      </c>
    </row>
    <row r="50" spans="2:169">
      <c r="B50" s="149" t="str">
        <f>BH59</f>
        <v>B</v>
      </c>
      <c r="D50" s="155" t="str">
        <f t="shared" si="185"/>
        <v>B</v>
      </c>
      <c r="E50" s="177" t="s">
        <v>27</v>
      </c>
      <c r="G50" s="155" t="s">
        <v>27</v>
      </c>
      <c r="H50" s="155" t="s">
        <v>27</v>
      </c>
      <c r="I50" s="186">
        <f t="shared" si="186"/>
        <v>0</v>
      </c>
      <c r="J50" s="186">
        <f t="shared" si="186"/>
        <v>0</v>
      </c>
      <c r="K50" s="186">
        <f t="shared" si="186"/>
        <v>0</v>
      </c>
      <c r="L50" s="148">
        <f t="shared" si="187"/>
        <v>0</v>
      </c>
      <c r="M50" s="186">
        <f t="shared" si="188"/>
        <v>0</v>
      </c>
      <c r="N50" s="148">
        <f t="shared" si="189"/>
        <v>0</v>
      </c>
      <c r="P50" s="155" t="s">
        <v>27</v>
      </c>
      <c r="Q50" s="155" t="s">
        <v>27</v>
      </c>
      <c r="R50" s="186">
        <f t="shared" si="190"/>
        <v>0</v>
      </c>
      <c r="S50" s="186">
        <f t="shared" si="190"/>
        <v>0</v>
      </c>
      <c r="T50" s="187" t="s">
        <v>27</v>
      </c>
      <c r="U50" s="187" t="s">
        <v>27</v>
      </c>
      <c r="V50" s="187" t="s">
        <v>27</v>
      </c>
      <c r="W50" s="186">
        <f t="shared" si="191"/>
        <v>0</v>
      </c>
      <c r="X50" s="186">
        <f t="shared" si="191"/>
        <v>0</v>
      </c>
      <c r="Y50" s="186">
        <f t="shared" si="191"/>
        <v>0</v>
      </c>
      <c r="Z50" s="149">
        <f t="shared" si="192"/>
        <v>0</v>
      </c>
      <c r="AA50" s="186">
        <f t="shared" si="193"/>
        <v>0</v>
      </c>
      <c r="AB50" s="186">
        <f t="shared" si="193"/>
        <v>0</v>
      </c>
      <c r="AC50" s="186">
        <f t="shared" si="193"/>
        <v>0</v>
      </c>
      <c r="AD50" s="186">
        <f t="shared" si="193"/>
        <v>0</v>
      </c>
      <c r="AE50" s="186">
        <f t="shared" si="193"/>
        <v>0</v>
      </c>
      <c r="AF50" s="148">
        <f t="shared" ca="1" si="194"/>
        <v>0</v>
      </c>
      <c r="AG50" s="186">
        <f t="shared" si="195"/>
        <v>0</v>
      </c>
      <c r="AH50" s="186">
        <f t="shared" si="195"/>
        <v>0</v>
      </c>
      <c r="AI50" s="148">
        <f t="shared" ca="1" si="196"/>
        <v>0</v>
      </c>
      <c r="AK50" s="155" t="s">
        <v>27</v>
      </c>
      <c r="AL50" s="155" t="s">
        <v>27</v>
      </c>
      <c r="AM50" s="186">
        <f t="shared" si="197"/>
        <v>0</v>
      </c>
      <c r="AN50" s="186">
        <f t="shared" si="197"/>
        <v>0</v>
      </c>
      <c r="AO50" s="187" t="s">
        <v>27</v>
      </c>
      <c r="AP50" s="187" t="s">
        <v>27</v>
      </c>
      <c r="AQ50" s="187" t="s">
        <v>27</v>
      </c>
      <c r="AR50" s="186">
        <f t="shared" si="198"/>
        <v>0</v>
      </c>
      <c r="AS50" s="186">
        <f t="shared" si="198"/>
        <v>0</v>
      </c>
      <c r="AT50" s="186">
        <f t="shared" si="198"/>
        <v>0</v>
      </c>
      <c r="AU50" s="149">
        <f t="shared" si="199"/>
        <v>0</v>
      </c>
      <c r="AV50" s="186">
        <f t="shared" si="200"/>
        <v>0</v>
      </c>
      <c r="AW50" s="186">
        <f t="shared" si="200"/>
        <v>0</v>
      </c>
      <c r="AX50" s="186">
        <f t="shared" si="200"/>
        <v>0</v>
      </c>
      <c r="AY50" s="186">
        <f t="shared" si="200"/>
        <v>0</v>
      </c>
      <c r="AZ50" s="186">
        <f t="shared" si="200"/>
        <v>0</v>
      </c>
      <c r="BA50" s="148">
        <f t="shared" ca="1" si="201"/>
        <v>0</v>
      </c>
      <c r="BB50" s="186">
        <f t="shared" si="202"/>
        <v>0</v>
      </c>
      <c r="BC50" s="186">
        <f t="shared" si="202"/>
        <v>0</v>
      </c>
      <c r="BD50" s="148">
        <f t="shared" ca="1" si="203"/>
        <v>0</v>
      </c>
      <c r="BF50" s="155" t="s">
        <v>27</v>
      </c>
      <c r="BG50" s="155" t="s">
        <v>27</v>
      </c>
      <c r="BH50" s="186">
        <f t="shared" si="204"/>
        <v>0</v>
      </c>
      <c r="BI50" s="186">
        <f t="shared" si="204"/>
        <v>0</v>
      </c>
      <c r="BJ50" s="187" t="s">
        <v>27</v>
      </c>
      <c r="BK50" s="187" t="s">
        <v>27</v>
      </c>
      <c r="BL50" s="187" t="s">
        <v>27</v>
      </c>
      <c r="BM50" s="186">
        <f t="shared" si="205"/>
        <v>0</v>
      </c>
      <c r="BN50" s="186">
        <f t="shared" si="205"/>
        <v>0</v>
      </c>
      <c r="BO50" s="186">
        <f t="shared" si="205"/>
        <v>0</v>
      </c>
      <c r="BP50" s="149">
        <f t="shared" si="206"/>
        <v>0</v>
      </c>
      <c r="BQ50" s="186">
        <f t="shared" si="207"/>
        <v>0</v>
      </c>
      <c r="BR50" s="186">
        <f t="shared" si="207"/>
        <v>0</v>
      </c>
      <c r="BS50" s="186">
        <f t="shared" si="207"/>
        <v>0</v>
      </c>
      <c r="BT50" s="186">
        <f t="shared" si="207"/>
        <v>0</v>
      </c>
      <c r="BU50" s="186">
        <f t="shared" si="207"/>
        <v>0</v>
      </c>
      <c r="BV50" s="148">
        <f t="shared" ca="1" si="208"/>
        <v>0</v>
      </c>
      <c r="BW50" s="186">
        <f t="shared" si="209"/>
        <v>0</v>
      </c>
      <c r="BX50" s="186">
        <f t="shared" si="209"/>
        <v>0</v>
      </c>
      <c r="BY50" s="148">
        <f t="shared" ca="1" si="210"/>
        <v>0</v>
      </c>
      <c r="CA50" s="155" t="s">
        <v>27</v>
      </c>
      <c r="CB50" s="155" t="s">
        <v>27</v>
      </c>
      <c r="CC50" s="186">
        <f t="shared" si="211"/>
        <v>0</v>
      </c>
      <c r="CD50" s="186">
        <f t="shared" si="211"/>
        <v>0</v>
      </c>
      <c r="CE50" s="187" t="s">
        <v>27</v>
      </c>
      <c r="CF50" s="187" t="s">
        <v>27</v>
      </c>
      <c r="CG50" s="187" t="s">
        <v>27</v>
      </c>
      <c r="CH50" s="186">
        <f t="shared" si="212"/>
        <v>0</v>
      </c>
      <c r="CI50" s="186">
        <f t="shared" si="212"/>
        <v>0</v>
      </c>
      <c r="CJ50" s="186">
        <f t="shared" si="212"/>
        <v>0</v>
      </c>
      <c r="CK50" s="149">
        <f t="shared" si="213"/>
        <v>0</v>
      </c>
      <c r="CL50" s="186">
        <f t="shared" si="214"/>
        <v>0</v>
      </c>
      <c r="CM50" s="186">
        <f t="shared" si="214"/>
        <v>0</v>
      </c>
      <c r="CN50" s="186">
        <f t="shared" si="214"/>
        <v>0</v>
      </c>
      <c r="CO50" s="186">
        <f t="shared" si="214"/>
        <v>0</v>
      </c>
      <c r="CP50" s="186">
        <f t="shared" si="214"/>
        <v>0</v>
      </c>
      <c r="CQ50" s="148">
        <f t="shared" ca="1" si="215"/>
        <v>0</v>
      </c>
      <c r="CR50" s="186">
        <f t="shared" si="216"/>
        <v>0</v>
      </c>
      <c r="CS50" s="186">
        <f t="shared" si="216"/>
        <v>0</v>
      </c>
      <c r="CT50" s="148">
        <f t="shared" ca="1" si="217"/>
        <v>0</v>
      </c>
      <c r="CV50" s="155" t="s">
        <v>27</v>
      </c>
      <c r="CW50" s="155" t="s">
        <v>27</v>
      </c>
      <c r="CX50" s="186">
        <f t="shared" si="218"/>
        <v>0</v>
      </c>
      <c r="CY50" s="186">
        <f t="shared" si="218"/>
        <v>0</v>
      </c>
      <c r="CZ50" s="187" t="s">
        <v>27</v>
      </c>
      <c r="DA50" s="187" t="s">
        <v>27</v>
      </c>
      <c r="DB50" s="187" t="s">
        <v>27</v>
      </c>
      <c r="DC50" s="186">
        <f t="shared" si="219"/>
        <v>0</v>
      </c>
      <c r="DD50" s="186">
        <f t="shared" si="219"/>
        <v>0</v>
      </c>
      <c r="DE50" s="186">
        <f t="shared" si="219"/>
        <v>0</v>
      </c>
      <c r="DF50" s="149">
        <f t="shared" si="220"/>
        <v>0</v>
      </c>
      <c r="DG50" s="186">
        <f t="shared" si="221"/>
        <v>0</v>
      </c>
      <c r="DH50" s="186">
        <f t="shared" si="221"/>
        <v>0</v>
      </c>
      <c r="DI50" s="186">
        <f t="shared" si="221"/>
        <v>0</v>
      </c>
      <c r="DJ50" s="186">
        <f t="shared" si="221"/>
        <v>0</v>
      </c>
      <c r="DK50" s="186">
        <f t="shared" si="221"/>
        <v>0</v>
      </c>
      <c r="DL50" s="148">
        <f t="shared" ca="1" si="222"/>
        <v>0</v>
      </c>
      <c r="DM50" s="186">
        <f t="shared" si="223"/>
        <v>0</v>
      </c>
      <c r="DN50" s="186">
        <f t="shared" si="223"/>
        <v>0</v>
      </c>
      <c r="DO50" s="148">
        <f t="shared" ca="1" si="224"/>
        <v>0</v>
      </c>
      <c r="DQ50" s="155" t="s">
        <v>27</v>
      </c>
      <c r="DR50" s="155" t="s">
        <v>27</v>
      </c>
      <c r="DS50" s="186">
        <f t="shared" si="225"/>
        <v>0</v>
      </c>
      <c r="DT50" s="186">
        <f t="shared" si="225"/>
        <v>0</v>
      </c>
      <c r="DU50" s="187" t="s">
        <v>27</v>
      </c>
      <c r="DV50" s="187" t="s">
        <v>27</v>
      </c>
      <c r="DW50" s="187" t="s">
        <v>27</v>
      </c>
      <c r="DX50" s="186">
        <f t="shared" si="226"/>
        <v>0</v>
      </c>
      <c r="DY50" s="186">
        <f t="shared" si="226"/>
        <v>0</v>
      </c>
      <c r="DZ50" s="186">
        <f t="shared" si="226"/>
        <v>0</v>
      </c>
      <c r="EA50" s="149">
        <f t="shared" si="227"/>
        <v>0</v>
      </c>
      <c r="EB50" s="186">
        <f t="shared" si="228"/>
        <v>0</v>
      </c>
      <c r="EC50" s="186">
        <f t="shared" si="228"/>
        <v>0</v>
      </c>
      <c r="ED50" s="186">
        <f t="shared" si="228"/>
        <v>0</v>
      </c>
      <c r="EE50" s="186">
        <f t="shared" si="228"/>
        <v>0</v>
      </c>
      <c r="EF50" s="186">
        <f t="shared" si="228"/>
        <v>0</v>
      </c>
      <c r="EG50" s="148">
        <f t="shared" ca="1" si="229"/>
        <v>0</v>
      </c>
      <c r="EH50" s="186">
        <f t="shared" si="230"/>
        <v>0</v>
      </c>
      <c r="EI50" s="186">
        <f t="shared" si="230"/>
        <v>0</v>
      </c>
      <c r="EJ50" s="148">
        <f t="shared" ca="1" si="231"/>
        <v>0</v>
      </c>
      <c r="EL50" s="186">
        <f t="shared" si="232"/>
        <v>0</v>
      </c>
      <c r="EM50" s="186">
        <f t="shared" si="232"/>
        <v>0</v>
      </c>
      <c r="EN50" s="174" t="s">
        <v>27</v>
      </c>
      <c r="EO50" s="174" t="s">
        <v>27</v>
      </c>
      <c r="EP50" s="174" t="s">
        <v>27</v>
      </c>
      <c r="EQ50" s="186">
        <f t="shared" si="233"/>
        <v>0</v>
      </c>
      <c r="ER50" s="186">
        <f t="shared" si="233"/>
        <v>0</v>
      </c>
      <c r="ES50" s="186">
        <f t="shared" si="233"/>
        <v>0</v>
      </c>
      <c r="ET50" s="149">
        <f t="shared" si="234"/>
        <v>0</v>
      </c>
      <c r="EU50" s="186">
        <f t="shared" si="235"/>
        <v>0</v>
      </c>
      <c r="EV50" s="186">
        <f t="shared" si="235"/>
        <v>0</v>
      </c>
      <c r="EW50" s="186">
        <f t="shared" si="235"/>
        <v>0</v>
      </c>
      <c r="EX50" s="186">
        <f t="shared" si="235"/>
        <v>0</v>
      </c>
      <c r="EY50" s="186">
        <f t="shared" si="235"/>
        <v>0</v>
      </c>
      <c r="EZ50" s="148">
        <f t="shared" ca="1" si="236"/>
        <v>0</v>
      </c>
      <c r="FA50" s="186">
        <f t="shared" si="237"/>
        <v>0</v>
      </c>
      <c r="FB50" s="186">
        <f t="shared" si="237"/>
        <v>0</v>
      </c>
      <c r="FC50" s="148">
        <f t="shared" ca="1" si="238"/>
        <v>0</v>
      </c>
      <c r="FF50" s="146">
        <f t="shared" ca="1" si="180"/>
        <v>0</v>
      </c>
      <c r="FG50" s="146">
        <f t="shared" ca="1" si="181"/>
        <v>0</v>
      </c>
      <c r="FH50" s="146">
        <f t="shared" ca="1" si="182"/>
        <v>0</v>
      </c>
      <c r="FK50" s="174" t="str">
        <f t="shared" ca="1" si="183"/>
        <v>na</v>
      </c>
      <c r="FL50" s="174" t="str">
        <f t="shared" ca="1" si="183"/>
        <v>na</v>
      </c>
      <c r="FM50" s="174" t="str">
        <f t="shared" ca="1" si="184"/>
        <v>na</v>
      </c>
    </row>
    <row r="51" spans="2:169">
      <c r="B51" s="149" t="str">
        <f>CC59</f>
        <v>C</v>
      </c>
      <c r="D51" s="155" t="str">
        <f t="shared" si="185"/>
        <v>C</v>
      </c>
      <c r="E51" s="177" t="s">
        <v>27</v>
      </c>
      <c r="G51" s="155" t="s">
        <v>27</v>
      </c>
      <c r="H51" s="155" t="s">
        <v>27</v>
      </c>
      <c r="I51" s="186">
        <f t="shared" si="186"/>
        <v>0</v>
      </c>
      <c r="J51" s="186">
        <f t="shared" si="186"/>
        <v>0</v>
      </c>
      <c r="K51" s="186">
        <f t="shared" si="186"/>
        <v>0</v>
      </c>
      <c r="L51" s="148">
        <f t="shared" si="187"/>
        <v>0</v>
      </c>
      <c r="M51" s="186">
        <f t="shared" si="188"/>
        <v>0</v>
      </c>
      <c r="N51" s="148">
        <f t="shared" si="189"/>
        <v>0</v>
      </c>
      <c r="P51" s="155" t="s">
        <v>27</v>
      </c>
      <c r="Q51" s="155" t="s">
        <v>27</v>
      </c>
      <c r="R51" s="186">
        <f t="shared" si="190"/>
        <v>0</v>
      </c>
      <c r="S51" s="186">
        <f t="shared" si="190"/>
        <v>0</v>
      </c>
      <c r="T51" s="187" t="s">
        <v>27</v>
      </c>
      <c r="U51" s="187" t="s">
        <v>27</v>
      </c>
      <c r="V51" s="187" t="s">
        <v>27</v>
      </c>
      <c r="W51" s="186">
        <f t="shared" si="191"/>
        <v>0</v>
      </c>
      <c r="X51" s="186">
        <f t="shared" si="191"/>
        <v>0</v>
      </c>
      <c r="Y51" s="186">
        <f t="shared" si="191"/>
        <v>0</v>
      </c>
      <c r="Z51" s="149">
        <f t="shared" si="192"/>
        <v>0</v>
      </c>
      <c r="AA51" s="186">
        <f t="shared" si="193"/>
        <v>0</v>
      </c>
      <c r="AB51" s="186">
        <f t="shared" si="193"/>
        <v>0</v>
      </c>
      <c r="AC51" s="186">
        <f t="shared" si="193"/>
        <v>0</v>
      </c>
      <c r="AD51" s="186">
        <f t="shared" si="193"/>
        <v>0</v>
      </c>
      <c r="AE51" s="186">
        <f t="shared" si="193"/>
        <v>0</v>
      </c>
      <c r="AF51" s="148">
        <f t="shared" ca="1" si="194"/>
        <v>0</v>
      </c>
      <c r="AG51" s="186">
        <f t="shared" si="195"/>
        <v>0</v>
      </c>
      <c r="AH51" s="186">
        <f t="shared" si="195"/>
        <v>0</v>
      </c>
      <c r="AI51" s="148">
        <f t="shared" ca="1" si="196"/>
        <v>0</v>
      </c>
      <c r="AK51" s="155" t="s">
        <v>27</v>
      </c>
      <c r="AL51" s="155" t="s">
        <v>27</v>
      </c>
      <c r="AM51" s="186">
        <f t="shared" si="197"/>
        <v>0</v>
      </c>
      <c r="AN51" s="186">
        <f t="shared" si="197"/>
        <v>0</v>
      </c>
      <c r="AO51" s="187" t="s">
        <v>27</v>
      </c>
      <c r="AP51" s="187" t="s">
        <v>27</v>
      </c>
      <c r="AQ51" s="187" t="s">
        <v>27</v>
      </c>
      <c r="AR51" s="186">
        <f t="shared" si="198"/>
        <v>0</v>
      </c>
      <c r="AS51" s="186">
        <f t="shared" si="198"/>
        <v>0</v>
      </c>
      <c r="AT51" s="186">
        <f t="shared" si="198"/>
        <v>0</v>
      </c>
      <c r="AU51" s="149">
        <f t="shared" si="199"/>
        <v>0</v>
      </c>
      <c r="AV51" s="186">
        <f t="shared" si="200"/>
        <v>0</v>
      </c>
      <c r="AW51" s="186">
        <f t="shared" si="200"/>
        <v>0</v>
      </c>
      <c r="AX51" s="186">
        <f t="shared" si="200"/>
        <v>0</v>
      </c>
      <c r="AY51" s="186">
        <f t="shared" si="200"/>
        <v>0</v>
      </c>
      <c r="AZ51" s="186">
        <f t="shared" si="200"/>
        <v>0</v>
      </c>
      <c r="BA51" s="148">
        <f t="shared" ca="1" si="201"/>
        <v>0</v>
      </c>
      <c r="BB51" s="186">
        <f t="shared" si="202"/>
        <v>0</v>
      </c>
      <c r="BC51" s="186">
        <f t="shared" si="202"/>
        <v>0</v>
      </c>
      <c r="BD51" s="148">
        <f t="shared" ca="1" si="203"/>
        <v>0</v>
      </c>
      <c r="BF51" s="155" t="s">
        <v>27</v>
      </c>
      <c r="BG51" s="155" t="s">
        <v>27</v>
      </c>
      <c r="BH51" s="186">
        <f t="shared" si="204"/>
        <v>0</v>
      </c>
      <c r="BI51" s="186">
        <f t="shared" si="204"/>
        <v>0</v>
      </c>
      <c r="BJ51" s="187" t="s">
        <v>27</v>
      </c>
      <c r="BK51" s="187" t="s">
        <v>27</v>
      </c>
      <c r="BL51" s="187" t="s">
        <v>27</v>
      </c>
      <c r="BM51" s="186">
        <f t="shared" si="205"/>
        <v>0</v>
      </c>
      <c r="BN51" s="186">
        <f t="shared" si="205"/>
        <v>0</v>
      </c>
      <c r="BO51" s="186">
        <f t="shared" si="205"/>
        <v>0</v>
      </c>
      <c r="BP51" s="149">
        <f t="shared" si="206"/>
        <v>0</v>
      </c>
      <c r="BQ51" s="186">
        <f t="shared" si="207"/>
        <v>0</v>
      </c>
      <c r="BR51" s="186">
        <f t="shared" si="207"/>
        <v>0</v>
      </c>
      <c r="BS51" s="186">
        <f t="shared" si="207"/>
        <v>0</v>
      </c>
      <c r="BT51" s="186">
        <f t="shared" si="207"/>
        <v>0</v>
      </c>
      <c r="BU51" s="186">
        <f t="shared" si="207"/>
        <v>0</v>
      </c>
      <c r="BV51" s="148">
        <f t="shared" ca="1" si="208"/>
        <v>0</v>
      </c>
      <c r="BW51" s="186">
        <f t="shared" si="209"/>
        <v>0</v>
      </c>
      <c r="BX51" s="186">
        <f t="shared" si="209"/>
        <v>0</v>
      </c>
      <c r="BY51" s="148">
        <f t="shared" ca="1" si="210"/>
        <v>0</v>
      </c>
      <c r="CA51" s="155" t="s">
        <v>27</v>
      </c>
      <c r="CB51" s="155" t="s">
        <v>27</v>
      </c>
      <c r="CC51" s="186">
        <f t="shared" si="211"/>
        <v>0</v>
      </c>
      <c r="CD51" s="186">
        <f t="shared" si="211"/>
        <v>0</v>
      </c>
      <c r="CE51" s="187" t="s">
        <v>27</v>
      </c>
      <c r="CF51" s="187" t="s">
        <v>27</v>
      </c>
      <c r="CG51" s="187" t="s">
        <v>27</v>
      </c>
      <c r="CH51" s="186">
        <f t="shared" si="212"/>
        <v>0</v>
      </c>
      <c r="CI51" s="186">
        <f t="shared" si="212"/>
        <v>0</v>
      </c>
      <c r="CJ51" s="186">
        <f t="shared" si="212"/>
        <v>0</v>
      </c>
      <c r="CK51" s="149">
        <f t="shared" si="213"/>
        <v>0</v>
      </c>
      <c r="CL51" s="186">
        <f t="shared" si="214"/>
        <v>0</v>
      </c>
      <c r="CM51" s="186">
        <f t="shared" si="214"/>
        <v>0</v>
      </c>
      <c r="CN51" s="186">
        <f t="shared" si="214"/>
        <v>0</v>
      </c>
      <c r="CO51" s="186">
        <f t="shared" si="214"/>
        <v>0</v>
      </c>
      <c r="CP51" s="186">
        <f t="shared" si="214"/>
        <v>0</v>
      </c>
      <c r="CQ51" s="148">
        <f t="shared" ca="1" si="215"/>
        <v>0</v>
      </c>
      <c r="CR51" s="186">
        <f t="shared" si="216"/>
        <v>0</v>
      </c>
      <c r="CS51" s="186">
        <f t="shared" si="216"/>
        <v>0</v>
      </c>
      <c r="CT51" s="148">
        <f t="shared" ca="1" si="217"/>
        <v>0</v>
      </c>
      <c r="CV51" s="155" t="s">
        <v>27</v>
      </c>
      <c r="CW51" s="155" t="s">
        <v>27</v>
      </c>
      <c r="CX51" s="186">
        <f t="shared" si="218"/>
        <v>0</v>
      </c>
      <c r="CY51" s="186">
        <f t="shared" si="218"/>
        <v>0</v>
      </c>
      <c r="CZ51" s="187" t="s">
        <v>27</v>
      </c>
      <c r="DA51" s="187" t="s">
        <v>27</v>
      </c>
      <c r="DB51" s="187" t="s">
        <v>27</v>
      </c>
      <c r="DC51" s="186">
        <f t="shared" si="219"/>
        <v>0</v>
      </c>
      <c r="DD51" s="186">
        <f t="shared" si="219"/>
        <v>0</v>
      </c>
      <c r="DE51" s="186">
        <f t="shared" si="219"/>
        <v>0</v>
      </c>
      <c r="DF51" s="149">
        <f t="shared" si="220"/>
        <v>0</v>
      </c>
      <c r="DG51" s="186">
        <f t="shared" si="221"/>
        <v>0</v>
      </c>
      <c r="DH51" s="186">
        <f t="shared" si="221"/>
        <v>0</v>
      </c>
      <c r="DI51" s="186">
        <f t="shared" si="221"/>
        <v>0</v>
      </c>
      <c r="DJ51" s="186">
        <f t="shared" si="221"/>
        <v>0</v>
      </c>
      <c r="DK51" s="186">
        <f t="shared" si="221"/>
        <v>0</v>
      </c>
      <c r="DL51" s="148">
        <f t="shared" ca="1" si="222"/>
        <v>0</v>
      </c>
      <c r="DM51" s="186">
        <f t="shared" si="223"/>
        <v>0</v>
      </c>
      <c r="DN51" s="186">
        <f t="shared" si="223"/>
        <v>0</v>
      </c>
      <c r="DO51" s="148">
        <f t="shared" ca="1" si="224"/>
        <v>0</v>
      </c>
      <c r="DQ51" s="155" t="s">
        <v>27</v>
      </c>
      <c r="DR51" s="155" t="s">
        <v>27</v>
      </c>
      <c r="DS51" s="186">
        <f t="shared" si="225"/>
        <v>0</v>
      </c>
      <c r="DT51" s="186">
        <f t="shared" si="225"/>
        <v>0</v>
      </c>
      <c r="DU51" s="187" t="s">
        <v>27</v>
      </c>
      <c r="DV51" s="187" t="s">
        <v>27</v>
      </c>
      <c r="DW51" s="187" t="s">
        <v>27</v>
      </c>
      <c r="DX51" s="186">
        <f t="shared" si="226"/>
        <v>0</v>
      </c>
      <c r="DY51" s="186">
        <f t="shared" si="226"/>
        <v>0</v>
      </c>
      <c r="DZ51" s="186">
        <f t="shared" si="226"/>
        <v>0</v>
      </c>
      <c r="EA51" s="149">
        <f t="shared" si="227"/>
        <v>0</v>
      </c>
      <c r="EB51" s="186">
        <f t="shared" si="228"/>
        <v>0</v>
      </c>
      <c r="EC51" s="186">
        <f t="shared" si="228"/>
        <v>0</v>
      </c>
      <c r="ED51" s="186">
        <f t="shared" si="228"/>
        <v>0</v>
      </c>
      <c r="EE51" s="186">
        <f t="shared" si="228"/>
        <v>0</v>
      </c>
      <c r="EF51" s="186">
        <f t="shared" si="228"/>
        <v>0</v>
      </c>
      <c r="EG51" s="148">
        <f t="shared" ca="1" si="229"/>
        <v>0</v>
      </c>
      <c r="EH51" s="186">
        <f t="shared" si="230"/>
        <v>0</v>
      </c>
      <c r="EI51" s="186">
        <f t="shared" si="230"/>
        <v>0</v>
      </c>
      <c r="EJ51" s="148">
        <f t="shared" ca="1" si="231"/>
        <v>0</v>
      </c>
      <c r="EL51" s="186">
        <f t="shared" si="232"/>
        <v>0</v>
      </c>
      <c r="EM51" s="186">
        <f t="shared" si="232"/>
        <v>0</v>
      </c>
      <c r="EN51" s="174" t="s">
        <v>27</v>
      </c>
      <c r="EO51" s="174" t="s">
        <v>27</v>
      </c>
      <c r="EP51" s="174" t="s">
        <v>27</v>
      </c>
      <c r="EQ51" s="186">
        <f t="shared" si="233"/>
        <v>0</v>
      </c>
      <c r="ER51" s="186">
        <f t="shared" si="233"/>
        <v>0</v>
      </c>
      <c r="ES51" s="186">
        <f t="shared" si="233"/>
        <v>0</v>
      </c>
      <c r="ET51" s="149">
        <f t="shared" si="234"/>
        <v>0</v>
      </c>
      <c r="EU51" s="186">
        <f t="shared" si="235"/>
        <v>0</v>
      </c>
      <c r="EV51" s="186">
        <f t="shared" si="235"/>
        <v>0</v>
      </c>
      <c r="EW51" s="186">
        <f t="shared" si="235"/>
        <v>0</v>
      </c>
      <c r="EX51" s="186">
        <f t="shared" si="235"/>
        <v>0</v>
      </c>
      <c r="EY51" s="186">
        <f t="shared" si="235"/>
        <v>0</v>
      </c>
      <c r="EZ51" s="148">
        <f t="shared" ca="1" si="236"/>
        <v>0</v>
      </c>
      <c r="FA51" s="186">
        <f t="shared" si="237"/>
        <v>0</v>
      </c>
      <c r="FB51" s="186">
        <f t="shared" si="237"/>
        <v>0</v>
      </c>
      <c r="FC51" s="148">
        <f t="shared" ca="1" si="238"/>
        <v>0</v>
      </c>
      <c r="FF51" s="146">
        <f t="shared" ca="1" si="180"/>
        <v>0</v>
      </c>
      <c r="FG51" s="146">
        <f t="shared" ca="1" si="181"/>
        <v>0</v>
      </c>
      <c r="FH51" s="146">
        <f t="shared" ca="1" si="182"/>
        <v>0</v>
      </c>
      <c r="FK51" s="174" t="str">
        <f t="shared" ca="1" si="183"/>
        <v>na</v>
      </c>
      <c r="FL51" s="174" t="str">
        <f t="shared" ca="1" si="183"/>
        <v>na</v>
      </c>
      <c r="FM51" s="174" t="str">
        <f t="shared" ca="1" si="184"/>
        <v>na</v>
      </c>
    </row>
    <row r="52" spans="2:169">
      <c r="B52" s="149" t="str">
        <f>CX59</f>
        <v>D</v>
      </c>
      <c r="D52" s="155" t="str">
        <f t="shared" si="185"/>
        <v>D</v>
      </c>
      <c r="E52" s="177" t="s">
        <v>27</v>
      </c>
      <c r="G52" s="155" t="s">
        <v>27</v>
      </c>
      <c r="H52" s="155" t="s">
        <v>27</v>
      </c>
      <c r="I52" s="186">
        <f t="shared" si="186"/>
        <v>0</v>
      </c>
      <c r="J52" s="186">
        <f t="shared" si="186"/>
        <v>0</v>
      </c>
      <c r="K52" s="186">
        <f t="shared" si="186"/>
        <v>0</v>
      </c>
      <c r="L52" s="148">
        <f t="shared" si="187"/>
        <v>0</v>
      </c>
      <c r="M52" s="186">
        <f t="shared" si="188"/>
        <v>0</v>
      </c>
      <c r="N52" s="148">
        <f t="shared" si="189"/>
        <v>0</v>
      </c>
      <c r="P52" s="155" t="s">
        <v>27</v>
      </c>
      <c r="Q52" s="155" t="s">
        <v>27</v>
      </c>
      <c r="R52" s="186">
        <f t="shared" si="190"/>
        <v>0</v>
      </c>
      <c r="S52" s="186">
        <f t="shared" si="190"/>
        <v>0</v>
      </c>
      <c r="T52" s="187" t="s">
        <v>27</v>
      </c>
      <c r="U52" s="187" t="s">
        <v>27</v>
      </c>
      <c r="V52" s="187" t="s">
        <v>27</v>
      </c>
      <c r="W52" s="186">
        <f t="shared" si="191"/>
        <v>0</v>
      </c>
      <c r="X52" s="186">
        <f t="shared" si="191"/>
        <v>0</v>
      </c>
      <c r="Y52" s="186">
        <f t="shared" si="191"/>
        <v>0</v>
      </c>
      <c r="Z52" s="149">
        <f t="shared" si="192"/>
        <v>0</v>
      </c>
      <c r="AA52" s="186">
        <f t="shared" si="193"/>
        <v>0</v>
      </c>
      <c r="AB52" s="186">
        <f t="shared" si="193"/>
        <v>0</v>
      </c>
      <c r="AC52" s="186">
        <f t="shared" si="193"/>
        <v>0</v>
      </c>
      <c r="AD52" s="186">
        <f t="shared" si="193"/>
        <v>0</v>
      </c>
      <c r="AE52" s="186">
        <f t="shared" si="193"/>
        <v>0</v>
      </c>
      <c r="AF52" s="148">
        <f t="shared" ca="1" si="194"/>
        <v>0</v>
      </c>
      <c r="AG52" s="186">
        <f t="shared" si="195"/>
        <v>0</v>
      </c>
      <c r="AH52" s="186">
        <f t="shared" si="195"/>
        <v>0</v>
      </c>
      <c r="AI52" s="148">
        <f t="shared" ca="1" si="196"/>
        <v>0</v>
      </c>
      <c r="AK52" s="155" t="s">
        <v>27</v>
      </c>
      <c r="AL52" s="155" t="s">
        <v>27</v>
      </c>
      <c r="AM52" s="186">
        <f t="shared" si="197"/>
        <v>0</v>
      </c>
      <c r="AN52" s="186">
        <f t="shared" si="197"/>
        <v>0</v>
      </c>
      <c r="AO52" s="187" t="s">
        <v>27</v>
      </c>
      <c r="AP52" s="187" t="s">
        <v>27</v>
      </c>
      <c r="AQ52" s="187" t="s">
        <v>27</v>
      </c>
      <c r="AR52" s="186">
        <f t="shared" si="198"/>
        <v>0</v>
      </c>
      <c r="AS52" s="186">
        <f t="shared" si="198"/>
        <v>0</v>
      </c>
      <c r="AT52" s="186">
        <f t="shared" si="198"/>
        <v>0</v>
      </c>
      <c r="AU52" s="149">
        <f t="shared" si="199"/>
        <v>0</v>
      </c>
      <c r="AV52" s="186">
        <f t="shared" si="200"/>
        <v>0</v>
      </c>
      <c r="AW52" s="186">
        <f t="shared" si="200"/>
        <v>0</v>
      </c>
      <c r="AX52" s="186">
        <f t="shared" si="200"/>
        <v>0</v>
      </c>
      <c r="AY52" s="186">
        <f t="shared" si="200"/>
        <v>0</v>
      </c>
      <c r="AZ52" s="186">
        <f t="shared" si="200"/>
        <v>0</v>
      </c>
      <c r="BA52" s="148">
        <f t="shared" ca="1" si="201"/>
        <v>0</v>
      </c>
      <c r="BB52" s="186">
        <f t="shared" si="202"/>
        <v>0</v>
      </c>
      <c r="BC52" s="186">
        <f t="shared" si="202"/>
        <v>0</v>
      </c>
      <c r="BD52" s="148">
        <f t="shared" ca="1" si="203"/>
        <v>0</v>
      </c>
      <c r="BF52" s="155" t="s">
        <v>27</v>
      </c>
      <c r="BG52" s="155" t="s">
        <v>27</v>
      </c>
      <c r="BH52" s="186">
        <f t="shared" si="204"/>
        <v>0</v>
      </c>
      <c r="BI52" s="186">
        <f t="shared" si="204"/>
        <v>0</v>
      </c>
      <c r="BJ52" s="187" t="s">
        <v>27</v>
      </c>
      <c r="BK52" s="187" t="s">
        <v>27</v>
      </c>
      <c r="BL52" s="187" t="s">
        <v>27</v>
      </c>
      <c r="BM52" s="186">
        <f t="shared" si="205"/>
        <v>0</v>
      </c>
      <c r="BN52" s="186">
        <f t="shared" si="205"/>
        <v>0</v>
      </c>
      <c r="BO52" s="186">
        <f t="shared" si="205"/>
        <v>0</v>
      </c>
      <c r="BP52" s="149">
        <f t="shared" si="206"/>
        <v>0</v>
      </c>
      <c r="BQ52" s="186">
        <f t="shared" si="207"/>
        <v>0</v>
      </c>
      <c r="BR52" s="186">
        <f t="shared" si="207"/>
        <v>0</v>
      </c>
      <c r="BS52" s="186">
        <f t="shared" si="207"/>
        <v>0</v>
      </c>
      <c r="BT52" s="186">
        <f t="shared" si="207"/>
        <v>0</v>
      </c>
      <c r="BU52" s="186">
        <f t="shared" si="207"/>
        <v>0</v>
      </c>
      <c r="BV52" s="148">
        <f t="shared" ca="1" si="208"/>
        <v>0</v>
      </c>
      <c r="BW52" s="186">
        <f t="shared" si="209"/>
        <v>0</v>
      </c>
      <c r="BX52" s="186">
        <f t="shared" si="209"/>
        <v>0</v>
      </c>
      <c r="BY52" s="148">
        <f t="shared" ca="1" si="210"/>
        <v>0</v>
      </c>
      <c r="CA52" s="155" t="s">
        <v>27</v>
      </c>
      <c r="CB52" s="155" t="s">
        <v>27</v>
      </c>
      <c r="CC52" s="186">
        <f t="shared" si="211"/>
        <v>0</v>
      </c>
      <c r="CD52" s="186">
        <f t="shared" si="211"/>
        <v>0</v>
      </c>
      <c r="CE52" s="187" t="s">
        <v>27</v>
      </c>
      <c r="CF52" s="187" t="s">
        <v>27</v>
      </c>
      <c r="CG52" s="187" t="s">
        <v>27</v>
      </c>
      <c r="CH52" s="186">
        <f t="shared" si="212"/>
        <v>0</v>
      </c>
      <c r="CI52" s="186">
        <f t="shared" si="212"/>
        <v>0</v>
      </c>
      <c r="CJ52" s="186">
        <f t="shared" si="212"/>
        <v>0</v>
      </c>
      <c r="CK52" s="149">
        <f t="shared" si="213"/>
        <v>0</v>
      </c>
      <c r="CL52" s="186">
        <f t="shared" si="214"/>
        <v>0</v>
      </c>
      <c r="CM52" s="186">
        <f t="shared" si="214"/>
        <v>0</v>
      </c>
      <c r="CN52" s="186">
        <f t="shared" si="214"/>
        <v>0</v>
      </c>
      <c r="CO52" s="186">
        <f t="shared" si="214"/>
        <v>0</v>
      </c>
      <c r="CP52" s="186">
        <f t="shared" si="214"/>
        <v>0</v>
      </c>
      <c r="CQ52" s="148">
        <f t="shared" ca="1" si="215"/>
        <v>0</v>
      </c>
      <c r="CR52" s="186">
        <f t="shared" si="216"/>
        <v>0</v>
      </c>
      <c r="CS52" s="186">
        <f t="shared" si="216"/>
        <v>0</v>
      </c>
      <c r="CT52" s="148">
        <f t="shared" ca="1" si="217"/>
        <v>0</v>
      </c>
      <c r="CV52" s="155" t="s">
        <v>27</v>
      </c>
      <c r="CW52" s="155" t="s">
        <v>27</v>
      </c>
      <c r="CX52" s="186">
        <f t="shared" si="218"/>
        <v>0</v>
      </c>
      <c r="CY52" s="186">
        <f t="shared" si="218"/>
        <v>0</v>
      </c>
      <c r="CZ52" s="187" t="s">
        <v>27</v>
      </c>
      <c r="DA52" s="187" t="s">
        <v>27</v>
      </c>
      <c r="DB52" s="187" t="s">
        <v>27</v>
      </c>
      <c r="DC52" s="186">
        <f t="shared" si="219"/>
        <v>0</v>
      </c>
      <c r="DD52" s="186">
        <f t="shared" si="219"/>
        <v>0</v>
      </c>
      <c r="DE52" s="186">
        <f t="shared" si="219"/>
        <v>0</v>
      </c>
      <c r="DF52" s="149">
        <f t="shared" si="220"/>
        <v>0</v>
      </c>
      <c r="DG52" s="186">
        <f t="shared" si="221"/>
        <v>0</v>
      </c>
      <c r="DH52" s="186">
        <f t="shared" si="221"/>
        <v>0</v>
      </c>
      <c r="DI52" s="186">
        <f t="shared" si="221"/>
        <v>0</v>
      </c>
      <c r="DJ52" s="186">
        <f t="shared" si="221"/>
        <v>0</v>
      </c>
      <c r="DK52" s="186">
        <f t="shared" si="221"/>
        <v>0</v>
      </c>
      <c r="DL52" s="148">
        <f t="shared" ca="1" si="222"/>
        <v>0</v>
      </c>
      <c r="DM52" s="186">
        <f t="shared" si="223"/>
        <v>0</v>
      </c>
      <c r="DN52" s="186">
        <f t="shared" si="223"/>
        <v>0</v>
      </c>
      <c r="DO52" s="148">
        <f t="shared" ca="1" si="224"/>
        <v>0</v>
      </c>
      <c r="DQ52" s="155" t="s">
        <v>27</v>
      </c>
      <c r="DR52" s="155" t="s">
        <v>27</v>
      </c>
      <c r="DS52" s="186">
        <f t="shared" si="225"/>
        <v>0</v>
      </c>
      <c r="DT52" s="186">
        <f t="shared" si="225"/>
        <v>0</v>
      </c>
      <c r="DU52" s="187" t="s">
        <v>27</v>
      </c>
      <c r="DV52" s="187" t="s">
        <v>27</v>
      </c>
      <c r="DW52" s="187" t="s">
        <v>27</v>
      </c>
      <c r="DX52" s="186">
        <f t="shared" si="226"/>
        <v>0</v>
      </c>
      <c r="DY52" s="186">
        <f t="shared" si="226"/>
        <v>0</v>
      </c>
      <c r="DZ52" s="186">
        <f t="shared" si="226"/>
        <v>0</v>
      </c>
      <c r="EA52" s="149">
        <f t="shared" si="227"/>
        <v>0</v>
      </c>
      <c r="EB52" s="186">
        <f t="shared" si="228"/>
        <v>0</v>
      </c>
      <c r="EC52" s="186">
        <f t="shared" si="228"/>
        <v>0</v>
      </c>
      <c r="ED52" s="186">
        <f t="shared" si="228"/>
        <v>0</v>
      </c>
      <c r="EE52" s="186">
        <f t="shared" si="228"/>
        <v>0</v>
      </c>
      <c r="EF52" s="186">
        <f t="shared" si="228"/>
        <v>0</v>
      </c>
      <c r="EG52" s="148">
        <f t="shared" ca="1" si="229"/>
        <v>0</v>
      </c>
      <c r="EH52" s="186">
        <f t="shared" si="230"/>
        <v>0</v>
      </c>
      <c r="EI52" s="186">
        <f t="shared" si="230"/>
        <v>0</v>
      </c>
      <c r="EJ52" s="148">
        <f t="shared" ca="1" si="231"/>
        <v>0</v>
      </c>
      <c r="EL52" s="186">
        <f t="shared" si="232"/>
        <v>0</v>
      </c>
      <c r="EM52" s="186">
        <f t="shared" si="232"/>
        <v>0</v>
      </c>
      <c r="EN52" s="174" t="s">
        <v>27</v>
      </c>
      <c r="EO52" s="174" t="s">
        <v>27</v>
      </c>
      <c r="EP52" s="174" t="s">
        <v>27</v>
      </c>
      <c r="EQ52" s="186">
        <f t="shared" si="233"/>
        <v>0</v>
      </c>
      <c r="ER52" s="186">
        <f t="shared" si="233"/>
        <v>0</v>
      </c>
      <c r="ES52" s="186">
        <f t="shared" si="233"/>
        <v>0</v>
      </c>
      <c r="ET52" s="149">
        <f t="shared" si="234"/>
        <v>0</v>
      </c>
      <c r="EU52" s="186">
        <f t="shared" si="235"/>
        <v>0</v>
      </c>
      <c r="EV52" s="186">
        <f t="shared" si="235"/>
        <v>0</v>
      </c>
      <c r="EW52" s="186">
        <f t="shared" si="235"/>
        <v>0</v>
      </c>
      <c r="EX52" s="186">
        <f t="shared" si="235"/>
        <v>0</v>
      </c>
      <c r="EY52" s="186">
        <f t="shared" si="235"/>
        <v>0</v>
      </c>
      <c r="EZ52" s="148">
        <f t="shared" ca="1" si="236"/>
        <v>0</v>
      </c>
      <c r="FA52" s="186">
        <f t="shared" si="237"/>
        <v>0</v>
      </c>
      <c r="FB52" s="186">
        <f t="shared" si="237"/>
        <v>0</v>
      </c>
      <c r="FC52" s="148">
        <f t="shared" ca="1" si="238"/>
        <v>0</v>
      </c>
      <c r="FF52" s="146">
        <f t="shared" ca="1" si="180"/>
        <v>0</v>
      </c>
      <c r="FG52" s="146">
        <f t="shared" ca="1" si="181"/>
        <v>0</v>
      </c>
      <c r="FH52" s="146">
        <f t="shared" ca="1" si="182"/>
        <v>0</v>
      </c>
      <c r="FK52" s="174" t="str">
        <f t="shared" ca="1" si="183"/>
        <v>na</v>
      </c>
      <c r="FL52" s="174" t="str">
        <f t="shared" ca="1" si="183"/>
        <v>na</v>
      </c>
      <c r="FM52" s="174" t="str">
        <f t="shared" ca="1" si="184"/>
        <v>na</v>
      </c>
    </row>
    <row r="53" spans="2:169">
      <c r="B53" s="149" t="str">
        <f>DS59</f>
        <v>E</v>
      </c>
      <c r="D53" s="155" t="str">
        <f t="shared" si="185"/>
        <v>E</v>
      </c>
      <c r="E53" s="177" t="s">
        <v>27</v>
      </c>
      <c r="G53" s="155" t="s">
        <v>27</v>
      </c>
      <c r="H53" s="155" t="s">
        <v>27</v>
      </c>
      <c r="I53" s="186">
        <f t="shared" si="186"/>
        <v>0</v>
      </c>
      <c r="J53" s="186">
        <f t="shared" si="186"/>
        <v>0</v>
      </c>
      <c r="K53" s="186">
        <f t="shared" si="186"/>
        <v>0</v>
      </c>
      <c r="L53" s="148">
        <f t="shared" si="187"/>
        <v>0</v>
      </c>
      <c r="M53" s="186">
        <f t="shared" si="188"/>
        <v>0</v>
      </c>
      <c r="N53" s="148">
        <f t="shared" si="189"/>
        <v>0</v>
      </c>
      <c r="P53" s="155" t="s">
        <v>27</v>
      </c>
      <c r="Q53" s="155" t="s">
        <v>27</v>
      </c>
      <c r="R53" s="186">
        <f t="shared" si="190"/>
        <v>0</v>
      </c>
      <c r="S53" s="186">
        <f t="shared" si="190"/>
        <v>0</v>
      </c>
      <c r="T53" s="187" t="s">
        <v>27</v>
      </c>
      <c r="U53" s="187" t="s">
        <v>27</v>
      </c>
      <c r="V53" s="187" t="s">
        <v>27</v>
      </c>
      <c r="W53" s="186">
        <f t="shared" si="191"/>
        <v>0</v>
      </c>
      <c r="X53" s="186">
        <f t="shared" si="191"/>
        <v>0</v>
      </c>
      <c r="Y53" s="186">
        <f t="shared" si="191"/>
        <v>0</v>
      </c>
      <c r="Z53" s="149">
        <f t="shared" si="192"/>
        <v>0</v>
      </c>
      <c r="AA53" s="186">
        <f t="shared" si="193"/>
        <v>0</v>
      </c>
      <c r="AB53" s="186">
        <f t="shared" si="193"/>
        <v>0</v>
      </c>
      <c r="AC53" s="186">
        <f t="shared" si="193"/>
        <v>0</v>
      </c>
      <c r="AD53" s="186">
        <f t="shared" si="193"/>
        <v>0</v>
      </c>
      <c r="AE53" s="186">
        <f t="shared" si="193"/>
        <v>0</v>
      </c>
      <c r="AF53" s="148">
        <f t="shared" ca="1" si="194"/>
        <v>0</v>
      </c>
      <c r="AG53" s="186">
        <f t="shared" si="195"/>
        <v>0</v>
      </c>
      <c r="AH53" s="186">
        <f t="shared" si="195"/>
        <v>0</v>
      </c>
      <c r="AI53" s="148">
        <f t="shared" ca="1" si="196"/>
        <v>0</v>
      </c>
      <c r="AK53" s="155" t="s">
        <v>27</v>
      </c>
      <c r="AL53" s="155" t="s">
        <v>27</v>
      </c>
      <c r="AM53" s="186">
        <f t="shared" si="197"/>
        <v>0</v>
      </c>
      <c r="AN53" s="186">
        <f t="shared" si="197"/>
        <v>0</v>
      </c>
      <c r="AO53" s="187" t="s">
        <v>27</v>
      </c>
      <c r="AP53" s="187" t="s">
        <v>27</v>
      </c>
      <c r="AQ53" s="187" t="s">
        <v>27</v>
      </c>
      <c r="AR53" s="186">
        <f t="shared" si="198"/>
        <v>0</v>
      </c>
      <c r="AS53" s="186">
        <f t="shared" si="198"/>
        <v>0</v>
      </c>
      <c r="AT53" s="186">
        <f t="shared" si="198"/>
        <v>0</v>
      </c>
      <c r="AU53" s="149">
        <f t="shared" si="199"/>
        <v>0</v>
      </c>
      <c r="AV53" s="186">
        <f t="shared" si="200"/>
        <v>0</v>
      </c>
      <c r="AW53" s="186">
        <f t="shared" si="200"/>
        <v>0</v>
      </c>
      <c r="AX53" s="186">
        <f t="shared" si="200"/>
        <v>0</v>
      </c>
      <c r="AY53" s="186">
        <f t="shared" si="200"/>
        <v>0</v>
      </c>
      <c r="AZ53" s="186">
        <f t="shared" si="200"/>
        <v>0</v>
      </c>
      <c r="BA53" s="148">
        <f t="shared" ca="1" si="201"/>
        <v>0</v>
      </c>
      <c r="BB53" s="186">
        <f t="shared" si="202"/>
        <v>0</v>
      </c>
      <c r="BC53" s="186">
        <f t="shared" si="202"/>
        <v>0</v>
      </c>
      <c r="BD53" s="148">
        <f t="shared" ca="1" si="203"/>
        <v>0</v>
      </c>
      <c r="BF53" s="155" t="s">
        <v>27</v>
      </c>
      <c r="BG53" s="155" t="s">
        <v>27</v>
      </c>
      <c r="BH53" s="186">
        <f t="shared" si="204"/>
        <v>0</v>
      </c>
      <c r="BI53" s="186">
        <f t="shared" si="204"/>
        <v>0</v>
      </c>
      <c r="BJ53" s="187" t="s">
        <v>27</v>
      </c>
      <c r="BK53" s="187" t="s">
        <v>27</v>
      </c>
      <c r="BL53" s="187" t="s">
        <v>27</v>
      </c>
      <c r="BM53" s="186">
        <f t="shared" si="205"/>
        <v>0</v>
      </c>
      <c r="BN53" s="186">
        <f t="shared" si="205"/>
        <v>0</v>
      </c>
      <c r="BO53" s="186">
        <f t="shared" si="205"/>
        <v>0</v>
      </c>
      <c r="BP53" s="149">
        <f t="shared" si="206"/>
        <v>0</v>
      </c>
      <c r="BQ53" s="186">
        <f t="shared" si="207"/>
        <v>0</v>
      </c>
      <c r="BR53" s="186">
        <f t="shared" si="207"/>
        <v>0</v>
      </c>
      <c r="BS53" s="186">
        <f t="shared" si="207"/>
        <v>0</v>
      </c>
      <c r="BT53" s="186">
        <f t="shared" si="207"/>
        <v>0</v>
      </c>
      <c r="BU53" s="186">
        <f t="shared" si="207"/>
        <v>0</v>
      </c>
      <c r="BV53" s="148">
        <f t="shared" ca="1" si="208"/>
        <v>0</v>
      </c>
      <c r="BW53" s="186">
        <f t="shared" si="209"/>
        <v>0</v>
      </c>
      <c r="BX53" s="186">
        <f t="shared" si="209"/>
        <v>0</v>
      </c>
      <c r="BY53" s="148">
        <f t="shared" ca="1" si="210"/>
        <v>0</v>
      </c>
      <c r="CA53" s="155" t="s">
        <v>27</v>
      </c>
      <c r="CB53" s="155" t="s">
        <v>27</v>
      </c>
      <c r="CC53" s="186">
        <f t="shared" si="211"/>
        <v>0</v>
      </c>
      <c r="CD53" s="186">
        <f t="shared" si="211"/>
        <v>0</v>
      </c>
      <c r="CE53" s="187" t="s">
        <v>27</v>
      </c>
      <c r="CF53" s="187" t="s">
        <v>27</v>
      </c>
      <c r="CG53" s="187" t="s">
        <v>27</v>
      </c>
      <c r="CH53" s="186">
        <f t="shared" si="212"/>
        <v>0</v>
      </c>
      <c r="CI53" s="186">
        <f t="shared" si="212"/>
        <v>0</v>
      </c>
      <c r="CJ53" s="186">
        <f t="shared" si="212"/>
        <v>0</v>
      </c>
      <c r="CK53" s="149">
        <f t="shared" si="213"/>
        <v>0</v>
      </c>
      <c r="CL53" s="186">
        <f t="shared" si="214"/>
        <v>0</v>
      </c>
      <c r="CM53" s="186">
        <f t="shared" si="214"/>
        <v>0</v>
      </c>
      <c r="CN53" s="186">
        <f t="shared" si="214"/>
        <v>0</v>
      </c>
      <c r="CO53" s="186">
        <f t="shared" si="214"/>
        <v>0</v>
      </c>
      <c r="CP53" s="186">
        <f t="shared" si="214"/>
        <v>0</v>
      </c>
      <c r="CQ53" s="148">
        <f t="shared" ca="1" si="215"/>
        <v>0</v>
      </c>
      <c r="CR53" s="186">
        <f t="shared" si="216"/>
        <v>0</v>
      </c>
      <c r="CS53" s="186">
        <f t="shared" si="216"/>
        <v>0</v>
      </c>
      <c r="CT53" s="148">
        <f t="shared" ca="1" si="217"/>
        <v>0</v>
      </c>
      <c r="CV53" s="155" t="s">
        <v>27</v>
      </c>
      <c r="CW53" s="155" t="s">
        <v>27</v>
      </c>
      <c r="CX53" s="186">
        <f t="shared" si="218"/>
        <v>0</v>
      </c>
      <c r="CY53" s="186">
        <f t="shared" si="218"/>
        <v>0</v>
      </c>
      <c r="CZ53" s="187" t="s">
        <v>27</v>
      </c>
      <c r="DA53" s="187" t="s">
        <v>27</v>
      </c>
      <c r="DB53" s="187" t="s">
        <v>27</v>
      </c>
      <c r="DC53" s="186">
        <f t="shared" si="219"/>
        <v>0</v>
      </c>
      <c r="DD53" s="186">
        <f t="shared" si="219"/>
        <v>0</v>
      </c>
      <c r="DE53" s="186">
        <f t="shared" si="219"/>
        <v>0</v>
      </c>
      <c r="DF53" s="149">
        <f t="shared" si="220"/>
        <v>0</v>
      </c>
      <c r="DG53" s="186">
        <f t="shared" si="221"/>
        <v>0</v>
      </c>
      <c r="DH53" s="186">
        <f t="shared" si="221"/>
        <v>0</v>
      </c>
      <c r="DI53" s="186">
        <f t="shared" si="221"/>
        <v>0</v>
      </c>
      <c r="DJ53" s="186">
        <f t="shared" si="221"/>
        <v>0</v>
      </c>
      <c r="DK53" s="186">
        <f t="shared" si="221"/>
        <v>0</v>
      </c>
      <c r="DL53" s="148">
        <f t="shared" ca="1" si="222"/>
        <v>0</v>
      </c>
      <c r="DM53" s="186">
        <f t="shared" si="223"/>
        <v>0</v>
      </c>
      <c r="DN53" s="186">
        <f t="shared" si="223"/>
        <v>0</v>
      </c>
      <c r="DO53" s="148">
        <f t="shared" ca="1" si="224"/>
        <v>0</v>
      </c>
      <c r="DQ53" s="155" t="s">
        <v>27</v>
      </c>
      <c r="DR53" s="155" t="s">
        <v>27</v>
      </c>
      <c r="DS53" s="186">
        <f t="shared" si="225"/>
        <v>0</v>
      </c>
      <c r="DT53" s="186">
        <f t="shared" si="225"/>
        <v>0</v>
      </c>
      <c r="DU53" s="187" t="s">
        <v>27</v>
      </c>
      <c r="DV53" s="187" t="s">
        <v>27</v>
      </c>
      <c r="DW53" s="187" t="s">
        <v>27</v>
      </c>
      <c r="DX53" s="186">
        <f t="shared" si="226"/>
        <v>0</v>
      </c>
      <c r="DY53" s="186">
        <f t="shared" si="226"/>
        <v>0</v>
      </c>
      <c r="DZ53" s="186">
        <f t="shared" si="226"/>
        <v>0</v>
      </c>
      <c r="EA53" s="149">
        <f t="shared" si="227"/>
        <v>0</v>
      </c>
      <c r="EB53" s="186">
        <f t="shared" si="228"/>
        <v>0</v>
      </c>
      <c r="EC53" s="186">
        <f t="shared" si="228"/>
        <v>0</v>
      </c>
      <c r="ED53" s="186">
        <f t="shared" si="228"/>
        <v>0</v>
      </c>
      <c r="EE53" s="186">
        <f t="shared" si="228"/>
        <v>0</v>
      </c>
      <c r="EF53" s="186">
        <f t="shared" si="228"/>
        <v>0</v>
      </c>
      <c r="EG53" s="148">
        <f t="shared" ca="1" si="229"/>
        <v>0</v>
      </c>
      <c r="EH53" s="186">
        <f t="shared" si="230"/>
        <v>0</v>
      </c>
      <c r="EI53" s="186">
        <f t="shared" si="230"/>
        <v>0</v>
      </c>
      <c r="EJ53" s="148">
        <f t="shared" ca="1" si="231"/>
        <v>0</v>
      </c>
      <c r="EL53" s="186">
        <f t="shared" si="232"/>
        <v>0</v>
      </c>
      <c r="EM53" s="186">
        <f t="shared" si="232"/>
        <v>0</v>
      </c>
      <c r="EN53" s="174" t="s">
        <v>27</v>
      </c>
      <c r="EO53" s="174" t="s">
        <v>27</v>
      </c>
      <c r="EP53" s="174" t="s">
        <v>27</v>
      </c>
      <c r="EQ53" s="186">
        <f t="shared" si="233"/>
        <v>0</v>
      </c>
      <c r="ER53" s="186">
        <f t="shared" si="233"/>
        <v>0</v>
      </c>
      <c r="ES53" s="186">
        <f t="shared" si="233"/>
        <v>0</v>
      </c>
      <c r="ET53" s="149">
        <f t="shared" si="234"/>
        <v>0</v>
      </c>
      <c r="EU53" s="186">
        <f t="shared" si="235"/>
        <v>0</v>
      </c>
      <c r="EV53" s="186">
        <f t="shared" si="235"/>
        <v>0</v>
      </c>
      <c r="EW53" s="186">
        <f t="shared" si="235"/>
        <v>0</v>
      </c>
      <c r="EX53" s="186">
        <f t="shared" si="235"/>
        <v>0</v>
      </c>
      <c r="EY53" s="186">
        <f t="shared" si="235"/>
        <v>0</v>
      </c>
      <c r="EZ53" s="148">
        <f t="shared" ca="1" si="236"/>
        <v>0</v>
      </c>
      <c r="FA53" s="186">
        <f t="shared" si="237"/>
        <v>0</v>
      </c>
      <c r="FB53" s="186">
        <f t="shared" si="237"/>
        <v>0</v>
      </c>
      <c r="FC53" s="148">
        <f t="shared" ca="1" si="238"/>
        <v>0</v>
      </c>
      <c r="FF53" s="146">
        <f t="shared" ca="1" si="180"/>
        <v>0</v>
      </c>
      <c r="FG53" s="146">
        <f t="shared" ca="1" si="181"/>
        <v>0</v>
      </c>
      <c r="FH53" s="146">
        <f t="shared" ca="1" si="182"/>
        <v>0</v>
      </c>
      <c r="FK53" s="174" t="str">
        <f t="shared" ca="1" si="183"/>
        <v>na</v>
      </c>
      <c r="FL53" s="174" t="str">
        <f t="shared" ca="1" si="183"/>
        <v>na</v>
      </c>
      <c r="FM53" s="174" t="str">
        <f t="shared" ca="1" si="184"/>
        <v>na</v>
      </c>
    </row>
    <row r="54" spans="2:169">
      <c r="B54" s="149" t="s">
        <v>27</v>
      </c>
      <c r="D54" s="155" t="str">
        <f t="shared" si="185"/>
        <v>na</v>
      </c>
      <c r="E54" s="177" t="s">
        <v>27</v>
      </c>
      <c r="G54" s="155" t="s">
        <v>27</v>
      </c>
      <c r="H54" s="155" t="s">
        <v>27</v>
      </c>
      <c r="I54" s="186">
        <f t="shared" si="186"/>
        <v>0</v>
      </c>
      <c r="J54" s="186">
        <f t="shared" si="186"/>
        <v>0</v>
      </c>
      <c r="K54" s="186">
        <f t="shared" si="186"/>
        <v>0</v>
      </c>
      <c r="L54" s="148">
        <f t="shared" si="187"/>
        <v>0</v>
      </c>
      <c r="M54" s="186">
        <f t="shared" si="188"/>
        <v>0</v>
      </c>
      <c r="N54" s="148">
        <f t="shared" si="189"/>
        <v>0</v>
      </c>
      <c r="P54" s="155" t="s">
        <v>27</v>
      </c>
      <c r="Q54" s="155" t="s">
        <v>27</v>
      </c>
      <c r="R54" s="186">
        <f t="shared" si="190"/>
        <v>0</v>
      </c>
      <c r="S54" s="186">
        <f t="shared" si="190"/>
        <v>0</v>
      </c>
      <c r="T54" s="187" t="s">
        <v>27</v>
      </c>
      <c r="U54" s="187" t="s">
        <v>27</v>
      </c>
      <c r="V54" s="187" t="s">
        <v>27</v>
      </c>
      <c r="W54" s="186">
        <f t="shared" ca="1" si="191"/>
        <v>0</v>
      </c>
      <c r="X54" s="186">
        <f t="shared" ca="1" si="191"/>
        <v>0</v>
      </c>
      <c r="Y54" s="186">
        <f t="shared" ca="1" si="191"/>
        <v>0</v>
      </c>
      <c r="Z54" s="149">
        <f t="shared" ca="1" si="192"/>
        <v>0</v>
      </c>
      <c r="AA54" s="186">
        <f t="shared" ca="1" si="193"/>
        <v>0</v>
      </c>
      <c r="AB54" s="186">
        <f t="shared" ca="1" si="193"/>
        <v>0</v>
      </c>
      <c r="AC54" s="186">
        <f t="shared" ca="1" si="193"/>
        <v>0</v>
      </c>
      <c r="AD54" s="186">
        <f t="shared" ca="1" si="193"/>
        <v>0</v>
      </c>
      <c r="AE54" s="186">
        <f t="shared" ca="1" si="193"/>
        <v>0</v>
      </c>
      <c r="AF54" s="148">
        <f t="shared" ca="1" si="194"/>
        <v>0</v>
      </c>
      <c r="AG54" s="186">
        <f t="shared" ca="1" si="195"/>
        <v>0</v>
      </c>
      <c r="AH54" s="186">
        <f t="shared" ca="1" si="195"/>
        <v>0</v>
      </c>
      <c r="AI54" s="148">
        <f t="shared" ca="1" si="196"/>
        <v>0</v>
      </c>
      <c r="AK54" s="155" t="s">
        <v>27</v>
      </c>
      <c r="AL54" s="155" t="s">
        <v>27</v>
      </c>
      <c r="AM54" s="186">
        <f t="shared" si="197"/>
        <v>0</v>
      </c>
      <c r="AN54" s="186">
        <f t="shared" si="197"/>
        <v>0</v>
      </c>
      <c r="AO54" s="187" t="s">
        <v>27</v>
      </c>
      <c r="AP54" s="187" t="s">
        <v>27</v>
      </c>
      <c r="AQ54" s="187" t="s">
        <v>27</v>
      </c>
      <c r="AR54" s="186">
        <f t="shared" ca="1" si="198"/>
        <v>0</v>
      </c>
      <c r="AS54" s="186">
        <f t="shared" ca="1" si="198"/>
        <v>0</v>
      </c>
      <c r="AT54" s="186">
        <f t="shared" ca="1" si="198"/>
        <v>0</v>
      </c>
      <c r="AU54" s="149">
        <f t="shared" ca="1" si="199"/>
        <v>0</v>
      </c>
      <c r="AV54" s="186">
        <f t="shared" ca="1" si="200"/>
        <v>0</v>
      </c>
      <c r="AW54" s="186">
        <f t="shared" ca="1" si="200"/>
        <v>0</v>
      </c>
      <c r="AX54" s="186">
        <f t="shared" ca="1" si="200"/>
        <v>0</v>
      </c>
      <c r="AY54" s="186">
        <f t="shared" ca="1" si="200"/>
        <v>0</v>
      </c>
      <c r="AZ54" s="186">
        <f t="shared" ca="1" si="200"/>
        <v>0</v>
      </c>
      <c r="BA54" s="148">
        <f t="shared" ca="1" si="201"/>
        <v>0</v>
      </c>
      <c r="BB54" s="186">
        <f t="shared" ca="1" si="202"/>
        <v>0</v>
      </c>
      <c r="BC54" s="186">
        <f t="shared" ca="1" si="202"/>
        <v>0</v>
      </c>
      <c r="BD54" s="148">
        <f t="shared" ca="1" si="203"/>
        <v>0</v>
      </c>
      <c r="BF54" s="155" t="s">
        <v>27</v>
      </c>
      <c r="BG54" s="155" t="s">
        <v>27</v>
      </c>
      <c r="BH54" s="186">
        <f t="shared" si="204"/>
        <v>0</v>
      </c>
      <c r="BI54" s="186">
        <f t="shared" si="204"/>
        <v>0</v>
      </c>
      <c r="BJ54" s="187" t="s">
        <v>27</v>
      </c>
      <c r="BK54" s="187" t="s">
        <v>27</v>
      </c>
      <c r="BL54" s="187" t="s">
        <v>27</v>
      </c>
      <c r="BM54" s="186">
        <f t="shared" ca="1" si="205"/>
        <v>0</v>
      </c>
      <c r="BN54" s="186">
        <f t="shared" ca="1" si="205"/>
        <v>0</v>
      </c>
      <c r="BO54" s="186">
        <f t="shared" ca="1" si="205"/>
        <v>0</v>
      </c>
      <c r="BP54" s="149">
        <f t="shared" ca="1" si="206"/>
        <v>0</v>
      </c>
      <c r="BQ54" s="186">
        <f t="shared" ca="1" si="207"/>
        <v>0</v>
      </c>
      <c r="BR54" s="186">
        <f t="shared" ca="1" si="207"/>
        <v>0</v>
      </c>
      <c r="BS54" s="186">
        <f t="shared" ca="1" si="207"/>
        <v>0</v>
      </c>
      <c r="BT54" s="186">
        <f t="shared" ca="1" si="207"/>
        <v>0</v>
      </c>
      <c r="BU54" s="186">
        <f t="shared" ca="1" si="207"/>
        <v>0</v>
      </c>
      <c r="BV54" s="148">
        <f t="shared" ca="1" si="208"/>
        <v>0</v>
      </c>
      <c r="BW54" s="186">
        <f t="shared" ca="1" si="209"/>
        <v>0</v>
      </c>
      <c r="BX54" s="186">
        <f t="shared" ca="1" si="209"/>
        <v>0</v>
      </c>
      <c r="BY54" s="148">
        <f t="shared" ca="1" si="210"/>
        <v>0</v>
      </c>
      <c r="CA54" s="155" t="s">
        <v>27</v>
      </c>
      <c r="CB54" s="155" t="s">
        <v>27</v>
      </c>
      <c r="CC54" s="186">
        <f t="shared" si="211"/>
        <v>0</v>
      </c>
      <c r="CD54" s="186">
        <f t="shared" si="211"/>
        <v>0</v>
      </c>
      <c r="CE54" s="187" t="s">
        <v>27</v>
      </c>
      <c r="CF54" s="187" t="s">
        <v>27</v>
      </c>
      <c r="CG54" s="187" t="s">
        <v>27</v>
      </c>
      <c r="CH54" s="186">
        <f t="shared" ca="1" si="212"/>
        <v>0</v>
      </c>
      <c r="CI54" s="186">
        <f t="shared" ca="1" si="212"/>
        <v>0</v>
      </c>
      <c r="CJ54" s="186">
        <f t="shared" ca="1" si="212"/>
        <v>0</v>
      </c>
      <c r="CK54" s="149">
        <f t="shared" ca="1" si="213"/>
        <v>0</v>
      </c>
      <c r="CL54" s="186">
        <f t="shared" ca="1" si="214"/>
        <v>0</v>
      </c>
      <c r="CM54" s="186">
        <f t="shared" ca="1" si="214"/>
        <v>0</v>
      </c>
      <c r="CN54" s="186">
        <f t="shared" ca="1" si="214"/>
        <v>0</v>
      </c>
      <c r="CO54" s="186">
        <f t="shared" ca="1" si="214"/>
        <v>0</v>
      </c>
      <c r="CP54" s="186">
        <f t="shared" ca="1" si="214"/>
        <v>0</v>
      </c>
      <c r="CQ54" s="148">
        <f t="shared" ca="1" si="215"/>
        <v>0</v>
      </c>
      <c r="CR54" s="186">
        <f t="shared" ca="1" si="216"/>
        <v>0</v>
      </c>
      <c r="CS54" s="186">
        <f t="shared" ca="1" si="216"/>
        <v>0</v>
      </c>
      <c r="CT54" s="148">
        <f t="shared" ca="1" si="217"/>
        <v>0</v>
      </c>
      <c r="CV54" s="155" t="s">
        <v>27</v>
      </c>
      <c r="CW54" s="155" t="s">
        <v>27</v>
      </c>
      <c r="CX54" s="186">
        <f t="shared" si="218"/>
        <v>0</v>
      </c>
      <c r="CY54" s="186">
        <f t="shared" si="218"/>
        <v>0</v>
      </c>
      <c r="CZ54" s="187" t="s">
        <v>27</v>
      </c>
      <c r="DA54" s="187" t="s">
        <v>27</v>
      </c>
      <c r="DB54" s="187" t="s">
        <v>27</v>
      </c>
      <c r="DC54" s="186">
        <f t="shared" ca="1" si="219"/>
        <v>0</v>
      </c>
      <c r="DD54" s="186">
        <f t="shared" ca="1" si="219"/>
        <v>0</v>
      </c>
      <c r="DE54" s="186">
        <f t="shared" ca="1" si="219"/>
        <v>0</v>
      </c>
      <c r="DF54" s="149">
        <f t="shared" ca="1" si="220"/>
        <v>0</v>
      </c>
      <c r="DG54" s="186">
        <f t="shared" ca="1" si="221"/>
        <v>0</v>
      </c>
      <c r="DH54" s="186">
        <f t="shared" ca="1" si="221"/>
        <v>0</v>
      </c>
      <c r="DI54" s="186">
        <f t="shared" ca="1" si="221"/>
        <v>0</v>
      </c>
      <c r="DJ54" s="186">
        <f t="shared" ca="1" si="221"/>
        <v>0</v>
      </c>
      <c r="DK54" s="186">
        <f t="shared" ca="1" si="221"/>
        <v>0</v>
      </c>
      <c r="DL54" s="148">
        <f t="shared" ca="1" si="222"/>
        <v>0</v>
      </c>
      <c r="DM54" s="186">
        <f t="shared" ca="1" si="223"/>
        <v>0</v>
      </c>
      <c r="DN54" s="186">
        <f t="shared" ca="1" si="223"/>
        <v>0</v>
      </c>
      <c r="DO54" s="148">
        <f t="shared" ca="1" si="224"/>
        <v>0</v>
      </c>
      <c r="DQ54" s="155" t="s">
        <v>27</v>
      </c>
      <c r="DR54" s="155" t="s">
        <v>27</v>
      </c>
      <c r="DS54" s="186">
        <f t="shared" si="225"/>
        <v>0</v>
      </c>
      <c r="DT54" s="186">
        <f t="shared" si="225"/>
        <v>0</v>
      </c>
      <c r="DU54" s="187" t="s">
        <v>27</v>
      </c>
      <c r="DV54" s="187" t="s">
        <v>27</v>
      </c>
      <c r="DW54" s="187" t="s">
        <v>27</v>
      </c>
      <c r="DX54" s="186">
        <f t="shared" ca="1" si="226"/>
        <v>0</v>
      </c>
      <c r="DY54" s="186">
        <f t="shared" ca="1" si="226"/>
        <v>0</v>
      </c>
      <c r="DZ54" s="186">
        <f t="shared" ca="1" si="226"/>
        <v>0</v>
      </c>
      <c r="EA54" s="149">
        <f t="shared" ca="1" si="227"/>
        <v>0</v>
      </c>
      <c r="EB54" s="186">
        <f t="shared" ca="1" si="228"/>
        <v>0</v>
      </c>
      <c r="EC54" s="186">
        <f t="shared" ca="1" si="228"/>
        <v>0</v>
      </c>
      <c r="ED54" s="186">
        <f t="shared" ca="1" si="228"/>
        <v>0</v>
      </c>
      <c r="EE54" s="186">
        <f t="shared" ca="1" si="228"/>
        <v>0</v>
      </c>
      <c r="EF54" s="186">
        <f t="shared" ca="1" si="228"/>
        <v>0</v>
      </c>
      <c r="EG54" s="148">
        <f t="shared" ca="1" si="229"/>
        <v>0</v>
      </c>
      <c r="EH54" s="186">
        <f t="shared" ca="1" si="230"/>
        <v>0</v>
      </c>
      <c r="EI54" s="186">
        <f t="shared" ca="1" si="230"/>
        <v>0</v>
      </c>
      <c r="EJ54" s="148">
        <f t="shared" ca="1" si="231"/>
        <v>0</v>
      </c>
      <c r="EL54" s="186">
        <f t="shared" si="232"/>
        <v>0</v>
      </c>
      <c r="EM54" s="186">
        <f t="shared" si="232"/>
        <v>0</v>
      </c>
      <c r="EN54" s="174" t="s">
        <v>27</v>
      </c>
      <c r="EO54" s="174" t="s">
        <v>27</v>
      </c>
      <c r="EP54" s="174" t="s">
        <v>27</v>
      </c>
      <c r="EQ54" s="186">
        <f t="shared" ca="1" si="233"/>
        <v>0</v>
      </c>
      <c r="ER54" s="186">
        <f t="shared" ca="1" si="233"/>
        <v>0</v>
      </c>
      <c r="ES54" s="186">
        <f t="shared" ca="1" si="233"/>
        <v>0</v>
      </c>
      <c r="ET54" s="149">
        <f t="shared" ca="1" si="234"/>
        <v>0</v>
      </c>
      <c r="EU54" s="186">
        <f t="shared" ca="1" si="235"/>
        <v>0</v>
      </c>
      <c r="EV54" s="186">
        <f t="shared" ca="1" si="235"/>
        <v>0</v>
      </c>
      <c r="EW54" s="186">
        <f t="shared" ca="1" si="235"/>
        <v>0</v>
      </c>
      <c r="EX54" s="186">
        <f t="shared" ca="1" si="235"/>
        <v>0</v>
      </c>
      <c r="EY54" s="186">
        <f t="shared" ca="1" si="235"/>
        <v>0</v>
      </c>
      <c r="EZ54" s="148">
        <f t="shared" ca="1" si="236"/>
        <v>0</v>
      </c>
      <c r="FA54" s="186">
        <f t="shared" ca="1" si="237"/>
        <v>0</v>
      </c>
      <c r="FB54" s="186">
        <f t="shared" ca="1" si="237"/>
        <v>0</v>
      </c>
      <c r="FC54" s="148">
        <f t="shared" ca="1" si="238"/>
        <v>0</v>
      </c>
      <c r="FF54" s="146">
        <f t="shared" ca="1" si="180"/>
        <v>0</v>
      </c>
      <c r="FG54" s="146">
        <f t="shared" ca="1" si="181"/>
        <v>0</v>
      </c>
      <c r="FH54" s="146">
        <f t="shared" ca="1" si="182"/>
        <v>0</v>
      </c>
      <c r="FK54" s="174" t="str">
        <f t="shared" ca="1" si="183"/>
        <v>na</v>
      </c>
      <c r="FL54" s="174" t="str">
        <f t="shared" ca="1" si="183"/>
        <v>na</v>
      </c>
      <c r="FM54" s="174" t="str">
        <f t="shared" ca="1" si="184"/>
        <v>na</v>
      </c>
    </row>
    <row r="55" spans="2:169">
      <c r="B55" s="149" t="s">
        <v>20</v>
      </c>
      <c r="I55" s="188">
        <f>SUM(I47:I54)</f>
        <v>0</v>
      </c>
      <c r="J55" s="188">
        <f>SUM(J47:J54)</f>
        <v>0</v>
      </c>
      <c r="K55" s="188">
        <f>SUM(K47:K54)</f>
        <v>0</v>
      </c>
      <c r="L55" s="152">
        <f>IFERROR(K55/K$29,0)</f>
        <v>0</v>
      </c>
      <c r="M55" s="188">
        <f>SUM(M47:M54)</f>
        <v>0</v>
      </c>
      <c r="N55" s="152">
        <f>IFERROR(M55/M$29,0)</f>
        <v>0</v>
      </c>
      <c r="P55" s="182"/>
      <c r="Q55" s="182"/>
      <c r="R55" s="188">
        <f>SUM(R47:R54)</f>
        <v>0</v>
      </c>
      <c r="S55" s="188">
        <f>SUM(S47:S54)</f>
        <v>0</v>
      </c>
      <c r="T55" s="151"/>
      <c r="U55" s="151"/>
      <c r="V55" s="151"/>
      <c r="W55" s="188">
        <f ca="1">SUM(W47:W54)</f>
        <v>0</v>
      </c>
      <c r="X55" s="188">
        <f ca="1">SUM(X47:X54)</f>
        <v>0</v>
      </c>
      <c r="Y55" s="188">
        <f ca="1">SUM(Y47:Y54)</f>
        <v>0</v>
      </c>
      <c r="Z55" s="151">
        <f t="shared" ca="1" si="192"/>
        <v>0</v>
      </c>
      <c r="AA55" s="188">
        <f ca="1">SUM(AA47:AA54)</f>
        <v>0</v>
      </c>
      <c r="AB55" s="188">
        <f ca="1">SUM(AB47:AB54)</f>
        <v>0</v>
      </c>
      <c r="AC55" s="188">
        <f ca="1">SUM(AC47:AC54)</f>
        <v>0</v>
      </c>
      <c r="AD55" s="188">
        <f ca="1">SUM(AD47:AD54)</f>
        <v>0</v>
      </c>
      <c r="AE55" s="188">
        <f ca="1">SUM(AE47:AE54)</f>
        <v>0</v>
      </c>
      <c r="AF55" s="152">
        <f ca="1">IFERROR(AE55/AE$29,0)</f>
        <v>0</v>
      </c>
      <c r="AG55" s="188">
        <f ca="1">SUM(AG47:AG54)</f>
        <v>0</v>
      </c>
      <c r="AH55" s="188">
        <f ca="1">SUM(AH47:AH54)</f>
        <v>0</v>
      </c>
      <c r="AI55" s="152">
        <f ca="1">IFERROR(AH55/AH$29,0)</f>
        <v>0</v>
      </c>
      <c r="AK55" s="182"/>
      <c r="AL55" s="182"/>
      <c r="AM55" s="188">
        <f>SUM(AM47:AM54)</f>
        <v>0</v>
      </c>
      <c r="AN55" s="188">
        <f>SUM(AN47:AN54)</f>
        <v>0</v>
      </c>
      <c r="AO55" s="151"/>
      <c r="AP55" s="151"/>
      <c r="AQ55" s="151"/>
      <c r="AR55" s="188">
        <f ca="1">SUM(AR47:AR54)</f>
        <v>0</v>
      </c>
      <c r="AS55" s="188">
        <f ca="1">SUM(AS47:AS54)</f>
        <v>0</v>
      </c>
      <c r="AT55" s="188">
        <f ca="1">SUM(AT47:AT54)</f>
        <v>0</v>
      </c>
      <c r="AU55" s="151">
        <f t="shared" ca="1" si="199"/>
        <v>0</v>
      </c>
      <c r="AV55" s="188">
        <f ca="1">SUM(AV47:AV54)</f>
        <v>0</v>
      </c>
      <c r="AW55" s="188">
        <f ca="1">SUM(AW47:AW54)</f>
        <v>0</v>
      </c>
      <c r="AX55" s="188">
        <f ca="1">SUM(AX47:AX54)</f>
        <v>0</v>
      </c>
      <c r="AY55" s="188">
        <f ca="1">SUM(AY47:AY54)</f>
        <v>0</v>
      </c>
      <c r="AZ55" s="188">
        <f ca="1">SUM(AZ47:AZ54)</f>
        <v>0</v>
      </c>
      <c r="BA55" s="152">
        <f ca="1">IFERROR(AZ55/AZ$29,0)</f>
        <v>0</v>
      </c>
      <c r="BB55" s="188">
        <f ca="1">SUM(BB47:BB54)</f>
        <v>0</v>
      </c>
      <c r="BC55" s="188">
        <f ca="1">SUM(BC47:BC54)</f>
        <v>0</v>
      </c>
      <c r="BD55" s="152">
        <f ca="1">IFERROR(BC55/BC$29,0)</f>
        <v>0</v>
      </c>
      <c r="BF55" s="182"/>
      <c r="BG55" s="182"/>
      <c r="BH55" s="188">
        <f>SUM(BH47:BH54)</f>
        <v>0</v>
      </c>
      <c r="BI55" s="188">
        <f>SUM(BI47:BI54)</f>
        <v>0</v>
      </c>
      <c r="BJ55" s="151"/>
      <c r="BK55" s="151"/>
      <c r="BL55" s="151"/>
      <c r="BM55" s="188">
        <f ca="1">SUM(BM47:BM54)</f>
        <v>0</v>
      </c>
      <c r="BN55" s="188">
        <f ca="1">SUM(BN47:BN54)</f>
        <v>0</v>
      </c>
      <c r="BO55" s="188">
        <f ca="1">SUM(BO47:BO54)</f>
        <v>0</v>
      </c>
      <c r="BP55" s="151">
        <f t="shared" ca="1" si="206"/>
        <v>0</v>
      </c>
      <c r="BQ55" s="188">
        <f ca="1">SUM(BQ47:BQ54)</f>
        <v>0</v>
      </c>
      <c r="BR55" s="188">
        <f ca="1">SUM(BR47:BR54)</f>
        <v>0</v>
      </c>
      <c r="BS55" s="188">
        <f ca="1">SUM(BS47:BS54)</f>
        <v>0</v>
      </c>
      <c r="BT55" s="188">
        <f ca="1">SUM(BT47:BT54)</f>
        <v>0</v>
      </c>
      <c r="BU55" s="188">
        <f ca="1">SUM(BU47:BU54)</f>
        <v>0</v>
      </c>
      <c r="BV55" s="152">
        <f ca="1">IFERROR(BU55/BU$29,0)</f>
        <v>0</v>
      </c>
      <c r="BW55" s="188">
        <f ca="1">SUM(BW47:BW54)</f>
        <v>0</v>
      </c>
      <c r="BX55" s="188">
        <f ca="1">SUM(BX47:BX54)</f>
        <v>0</v>
      </c>
      <c r="BY55" s="152">
        <f ca="1">IFERROR(BX55/BX$29,0)</f>
        <v>0</v>
      </c>
      <c r="CA55" s="182"/>
      <c r="CB55" s="182"/>
      <c r="CC55" s="188">
        <f>SUM(CC47:CC54)</f>
        <v>0</v>
      </c>
      <c r="CD55" s="188">
        <f>SUM(CD47:CD54)</f>
        <v>0</v>
      </c>
      <c r="CE55" s="151"/>
      <c r="CF55" s="151"/>
      <c r="CG55" s="151"/>
      <c r="CH55" s="188">
        <f ca="1">SUM(CH47:CH54)</f>
        <v>0</v>
      </c>
      <c r="CI55" s="188">
        <f ca="1">SUM(CI47:CI54)</f>
        <v>0</v>
      </c>
      <c r="CJ55" s="188">
        <f ca="1">SUM(CJ47:CJ54)</f>
        <v>0</v>
      </c>
      <c r="CK55" s="151">
        <f t="shared" ca="1" si="213"/>
        <v>0</v>
      </c>
      <c r="CL55" s="188">
        <f ca="1">SUM(CL47:CL54)</f>
        <v>0</v>
      </c>
      <c r="CM55" s="188">
        <f ca="1">SUM(CM47:CM54)</f>
        <v>0</v>
      </c>
      <c r="CN55" s="188">
        <f ca="1">SUM(CN47:CN54)</f>
        <v>0</v>
      </c>
      <c r="CO55" s="188">
        <f ca="1">SUM(CO47:CO54)</f>
        <v>0</v>
      </c>
      <c r="CP55" s="188">
        <f ca="1">SUM(CP47:CP54)</f>
        <v>0</v>
      </c>
      <c r="CQ55" s="152">
        <f ca="1">IFERROR(CP55/CP$29,0)</f>
        <v>0</v>
      </c>
      <c r="CR55" s="188">
        <f ca="1">SUM(CR47:CR54)</f>
        <v>0</v>
      </c>
      <c r="CS55" s="188">
        <f ca="1">SUM(CS47:CS54)</f>
        <v>0</v>
      </c>
      <c r="CT55" s="152">
        <f ca="1">IFERROR(CS55/CS$29,0)</f>
        <v>0</v>
      </c>
      <c r="CV55" s="182"/>
      <c r="CW55" s="182"/>
      <c r="CX55" s="188">
        <f>SUM(CX47:CX54)</f>
        <v>0</v>
      </c>
      <c r="CY55" s="188">
        <f>SUM(CY47:CY54)</f>
        <v>0</v>
      </c>
      <c r="CZ55" s="151"/>
      <c r="DA55" s="151"/>
      <c r="DB55" s="151"/>
      <c r="DC55" s="188">
        <f ca="1">SUM(DC47:DC54)</f>
        <v>0</v>
      </c>
      <c r="DD55" s="188">
        <f ca="1">SUM(DD47:DD54)</f>
        <v>0</v>
      </c>
      <c r="DE55" s="188">
        <f ca="1">SUM(DE47:DE54)</f>
        <v>0</v>
      </c>
      <c r="DF55" s="151">
        <f t="shared" ca="1" si="220"/>
        <v>0</v>
      </c>
      <c r="DG55" s="188">
        <f ca="1">SUM(DG47:DG54)</f>
        <v>0</v>
      </c>
      <c r="DH55" s="188">
        <f ca="1">SUM(DH47:DH54)</f>
        <v>0</v>
      </c>
      <c r="DI55" s="188">
        <f ca="1">SUM(DI47:DI54)</f>
        <v>0</v>
      </c>
      <c r="DJ55" s="188">
        <f ca="1">SUM(DJ47:DJ54)</f>
        <v>0</v>
      </c>
      <c r="DK55" s="188">
        <f ca="1">SUM(DK47:DK54)</f>
        <v>0</v>
      </c>
      <c r="DL55" s="152">
        <f ca="1">IFERROR(DK55/DK$29,0)</f>
        <v>0</v>
      </c>
      <c r="DM55" s="188">
        <f ca="1">SUM(DM47:DM54)</f>
        <v>0</v>
      </c>
      <c r="DN55" s="188">
        <f ca="1">SUM(DN47:DN54)</f>
        <v>0</v>
      </c>
      <c r="DO55" s="152">
        <f ca="1">IFERROR(DN55/DN$29,0)</f>
        <v>0</v>
      </c>
      <c r="DQ55" s="182"/>
      <c r="DR55" s="182"/>
      <c r="DS55" s="188">
        <f>SUM(DS47:DS54)</f>
        <v>0</v>
      </c>
      <c r="DT55" s="188">
        <f>SUM(DT47:DT54)</f>
        <v>0</v>
      </c>
      <c r="DU55" s="151"/>
      <c r="DV55" s="151"/>
      <c r="DW55" s="151"/>
      <c r="DX55" s="188">
        <f ca="1">SUM(DX47:DX54)</f>
        <v>0</v>
      </c>
      <c r="DY55" s="188">
        <f ca="1">SUM(DY47:DY54)</f>
        <v>0</v>
      </c>
      <c r="DZ55" s="188">
        <f ca="1">SUM(DZ47:DZ54)</f>
        <v>0</v>
      </c>
      <c r="EA55" s="151">
        <f t="shared" ca="1" si="227"/>
        <v>0</v>
      </c>
      <c r="EB55" s="188">
        <f ca="1">SUM(EB47:EB54)</f>
        <v>0</v>
      </c>
      <c r="EC55" s="188">
        <f ca="1">SUM(EC47:EC54)</f>
        <v>0</v>
      </c>
      <c r="ED55" s="188">
        <f ca="1">SUM(ED47:ED54)</f>
        <v>0</v>
      </c>
      <c r="EE55" s="188">
        <f ca="1">SUM(EE47:EE54)</f>
        <v>0</v>
      </c>
      <c r="EF55" s="188">
        <f ca="1">SUM(EF47:EF54)</f>
        <v>0</v>
      </c>
      <c r="EG55" s="152">
        <f ca="1">IFERROR(EF55/EF$29,0)</f>
        <v>0</v>
      </c>
      <c r="EH55" s="188">
        <f ca="1">SUM(EH47:EH54)</f>
        <v>0</v>
      </c>
      <c r="EI55" s="188">
        <f ca="1">SUM(EI47:EI54)</f>
        <v>0</v>
      </c>
      <c r="EJ55" s="152">
        <f ca="1">IFERROR(EI55/EI$29,0)</f>
        <v>0</v>
      </c>
      <c r="EL55" s="188">
        <f>SUM(EL47:EL54)</f>
        <v>0</v>
      </c>
      <c r="EM55" s="188">
        <f>SUM(EM47:EM54)</f>
        <v>0</v>
      </c>
      <c r="EN55" s="151"/>
      <c r="EO55" s="151"/>
      <c r="EP55" s="151"/>
      <c r="EQ55" s="188">
        <f ca="1">SUM(EQ47:EQ54)</f>
        <v>0</v>
      </c>
      <c r="ER55" s="188">
        <f ca="1">SUM(ER47:ER54)</f>
        <v>0</v>
      </c>
      <c r="ES55" s="188">
        <f ca="1">SUM(ES47:ES54)</f>
        <v>0</v>
      </c>
      <c r="ET55" s="151">
        <f t="shared" ca="1" si="234"/>
        <v>0</v>
      </c>
      <c r="EU55" s="188">
        <f ca="1">SUM(EU47:EU54)</f>
        <v>0</v>
      </c>
      <c r="EV55" s="188">
        <f ca="1">SUM(EV47:EV54)</f>
        <v>0</v>
      </c>
      <c r="EW55" s="188">
        <f ca="1">SUM(EW47:EW54)</f>
        <v>0</v>
      </c>
      <c r="EX55" s="188">
        <f ca="1">SUM(EX47:EX54)</f>
        <v>0</v>
      </c>
      <c r="EY55" s="188">
        <f ca="1">SUM(EY47:EY54)</f>
        <v>0</v>
      </c>
      <c r="EZ55" s="152">
        <f ca="1">IFERROR(EY55/EY$29,0)</f>
        <v>0</v>
      </c>
      <c r="FA55" s="188">
        <f ca="1">SUM(FA47:FA54)</f>
        <v>0</v>
      </c>
      <c r="FB55" s="188">
        <f ca="1">SUM(FB47:FB54)</f>
        <v>0</v>
      </c>
      <c r="FC55" s="152">
        <f ca="1">IFERROR(FB55/FB$29,0)</f>
        <v>0</v>
      </c>
      <c r="FF55" s="146">
        <f t="shared" ca="1" si="180"/>
        <v>0</v>
      </c>
      <c r="FG55" s="146">
        <f t="shared" ca="1" si="181"/>
        <v>0</v>
      </c>
      <c r="FH55" s="146">
        <f t="shared" ca="1" si="182"/>
        <v>0</v>
      </c>
      <c r="FK55" s="174" t="str">
        <f t="shared" ca="1" si="183"/>
        <v>na</v>
      </c>
      <c r="FL55" s="174" t="str">
        <f t="shared" ca="1" si="183"/>
        <v>na</v>
      </c>
      <c r="FM55" s="174" t="str">
        <f t="shared" ca="1" si="184"/>
        <v>na</v>
      </c>
    </row>
    <row r="56" spans="2:169">
      <c r="BF56" s="155"/>
      <c r="BG56" s="155"/>
      <c r="CA56" s="155"/>
      <c r="CB56" s="155"/>
      <c r="CV56" s="155"/>
      <c r="CW56" s="155"/>
      <c r="DQ56" s="155"/>
      <c r="DR56" s="155"/>
    </row>
    <row r="57" spans="2:169">
      <c r="BF57" s="155"/>
      <c r="BG57" s="155"/>
      <c r="CA57" s="155"/>
      <c r="CB57" s="155"/>
      <c r="CV57" s="155"/>
      <c r="CW57" s="155"/>
      <c r="DQ57" s="155"/>
      <c r="DR57" s="155"/>
    </row>
    <row r="58" spans="2:169">
      <c r="BF58" s="155"/>
      <c r="BG58" s="155"/>
      <c r="CA58" s="155"/>
      <c r="CB58" s="155"/>
      <c r="CV58" s="155"/>
      <c r="CW58" s="155"/>
      <c r="DQ58" s="155"/>
      <c r="DR58" s="155"/>
    </row>
    <row r="59" spans="2:169">
      <c r="B59" s="176" t="s">
        <v>454</v>
      </c>
      <c r="C59" s="176"/>
      <c r="G59" s="176" t="s">
        <v>453</v>
      </c>
      <c r="H59" s="176"/>
      <c r="I59" s="192" t="s">
        <v>25</v>
      </c>
      <c r="J59" s="193" t="s">
        <v>81</v>
      </c>
      <c r="P59" s="176" t="s">
        <v>453</v>
      </c>
      <c r="R59" s="192" t="s">
        <v>26</v>
      </c>
      <c r="S59" s="193" t="s">
        <v>81</v>
      </c>
      <c r="AK59" s="176" t="s">
        <v>453</v>
      </c>
      <c r="AM59" s="192" t="s">
        <v>33</v>
      </c>
      <c r="AN59" s="193" t="s">
        <v>81</v>
      </c>
      <c r="BF59" s="176" t="s">
        <v>453</v>
      </c>
      <c r="BH59" s="192" t="s">
        <v>34</v>
      </c>
      <c r="BI59" s="193" t="s">
        <v>81</v>
      </c>
      <c r="CA59" s="176" t="s">
        <v>453</v>
      </c>
      <c r="CC59" s="192" t="s">
        <v>35</v>
      </c>
      <c r="CD59" s="193" t="s">
        <v>81</v>
      </c>
      <c r="CV59" s="176" t="s">
        <v>453</v>
      </c>
      <c r="CX59" s="192" t="s">
        <v>36</v>
      </c>
      <c r="CY59" s="193" t="s">
        <v>81</v>
      </c>
      <c r="DQ59" s="176" t="s">
        <v>453</v>
      </c>
      <c r="DS59" s="192" t="s">
        <v>37</v>
      </c>
      <c r="DT59" s="193" t="s">
        <v>81</v>
      </c>
    </row>
    <row r="60" spans="2:169">
      <c r="B60" s="149" t="s">
        <v>169</v>
      </c>
      <c r="D60" s="192" t="s">
        <v>156</v>
      </c>
      <c r="G60" s="149" t="s">
        <v>40</v>
      </c>
      <c r="H60" s="149"/>
      <c r="I60" s="194">
        <f ca="1">TODAY()</f>
        <v>43482</v>
      </c>
      <c r="J60" s="193" t="s">
        <v>80</v>
      </c>
      <c r="P60" s="149" t="s">
        <v>40</v>
      </c>
      <c r="R60" s="195">
        <f ca="1">EDATE(I60,12)</f>
        <v>43847</v>
      </c>
      <c r="S60" s="193" t="s">
        <v>80</v>
      </c>
      <c r="AK60" s="149" t="s">
        <v>40</v>
      </c>
      <c r="AM60" s="195">
        <f ca="1">EDATE(R60,12)</f>
        <v>44213</v>
      </c>
      <c r="AN60" s="193" t="s">
        <v>80</v>
      </c>
      <c r="BF60" s="149" t="s">
        <v>40</v>
      </c>
      <c r="BH60" s="195">
        <f ca="1">EDATE(AM60,12)</f>
        <v>44578</v>
      </c>
      <c r="BI60" s="193" t="s">
        <v>80</v>
      </c>
      <c r="CA60" s="149" t="s">
        <v>40</v>
      </c>
      <c r="CC60" s="195">
        <f ca="1">EDATE(BH60,12)</f>
        <v>44943</v>
      </c>
      <c r="CD60" s="193" t="s">
        <v>80</v>
      </c>
      <c r="CV60" s="149" t="s">
        <v>40</v>
      </c>
      <c r="CX60" s="195">
        <f ca="1">EDATE(CC60,12)</f>
        <v>45308</v>
      </c>
      <c r="CY60" s="193" t="s">
        <v>80</v>
      </c>
      <c r="DQ60" s="149" t="s">
        <v>40</v>
      </c>
      <c r="DS60" s="195">
        <f ca="1">EDATE(CX60,12)</f>
        <v>45674</v>
      </c>
      <c r="DT60" s="193" t="s">
        <v>80</v>
      </c>
    </row>
    <row r="61" spans="2:169">
      <c r="B61" s="149" t="s">
        <v>52</v>
      </c>
      <c r="D61" s="192" t="s">
        <v>38</v>
      </c>
      <c r="G61" s="149" t="str">
        <f>"# of Issued and Outstanding "&amp;'Cap Table'!D61&amp;"s and Options, before round"</f>
        <v># of Issued and Outstanding Shares and Options, before round</v>
      </c>
      <c r="H61" s="149"/>
      <c r="I61" s="155">
        <v>0</v>
      </c>
      <c r="J61" s="193" t="s">
        <v>79</v>
      </c>
      <c r="P61" s="149" t="str">
        <f>"# of Issued and Outstanding "&amp;'Cap Table'!$D$61&amp;"s and Options, before round"</f>
        <v># of Issued and Outstanding Shares and Options, before round</v>
      </c>
      <c r="R61" s="196">
        <f>'Cap Table'!K29</f>
        <v>0</v>
      </c>
      <c r="S61" s="193" t="s">
        <v>79</v>
      </c>
      <c r="AK61" s="149" t="str">
        <f>"# of Issued and Outstanding "&amp;'Cap Table'!$D$61&amp;"s and Options, before round"</f>
        <v># of Issued and Outstanding Shares and Options, before round</v>
      </c>
      <c r="AM61" s="196">
        <f ca="1">'Cap Table'!AE29</f>
        <v>0</v>
      </c>
      <c r="AN61" s="193" t="s">
        <v>79</v>
      </c>
      <c r="BF61" s="149" t="str">
        <f>"# of Issued and Outstanding "&amp;'Cap Table'!$D$61&amp;"s and Options, before round"</f>
        <v># of Issued and Outstanding Shares and Options, before round</v>
      </c>
      <c r="BH61" s="196">
        <f ca="1">'Cap Table'!AZ29</f>
        <v>0</v>
      </c>
      <c r="BI61" s="193" t="s">
        <v>79</v>
      </c>
      <c r="CA61" s="149" t="str">
        <f>"# of Issued and Outstanding "&amp;'Cap Table'!$D$61&amp;"s and Options, before round"</f>
        <v># of Issued and Outstanding Shares and Options, before round</v>
      </c>
      <c r="CC61" s="196">
        <f ca="1">'Cap Table'!BU29</f>
        <v>0</v>
      </c>
      <c r="CD61" s="193" t="s">
        <v>79</v>
      </c>
      <c r="CV61" s="149" t="str">
        <f>"# of Issued and Outstanding "&amp;'Cap Table'!$D$61&amp;"s and Options, before round"</f>
        <v># of Issued and Outstanding Shares and Options, before round</v>
      </c>
      <c r="CX61" s="196">
        <f ca="1">'Cap Table'!CP29</f>
        <v>0</v>
      </c>
      <c r="CY61" s="193" t="s">
        <v>79</v>
      </c>
      <c r="DQ61" s="149" t="str">
        <f>"# of Issued and Outstanding "&amp;'Cap Table'!$D$61&amp;"s and Options, before round"</f>
        <v># of Issued and Outstanding Shares and Options, before round</v>
      </c>
      <c r="DS61" s="196">
        <f ca="1">'Cap Table'!DK29</f>
        <v>0</v>
      </c>
      <c r="DT61" s="193" t="s">
        <v>79</v>
      </c>
    </row>
    <row r="62" spans="2:169">
      <c r="B62" s="133" t="s">
        <v>423</v>
      </c>
      <c r="C62" s="132"/>
      <c r="D62" s="135" t="s">
        <v>422</v>
      </c>
      <c r="E62" s="131" t="s">
        <v>601</v>
      </c>
      <c r="F62" s="134"/>
      <c r="G62" s="149" t="s">
        <v>455</v>
      </c>
      <c r="H62" s="149"/>
      <c r="I62" s="155">
        <v>0</v>
      </c>
      <c r="J62" s="193" t="s">
        <v>83</v>
      </c>
      <c r="P62" s="149" t="s">
        <v>455</v>
      </c>
      <c r="R62" s="149">
        <f>IFERROR(R74/R61,0)</f>
        <v>0</v>
      </c>
      <c r="S62" s="193" t="s">
        <v>83</v>
      </c>
      <c r="AK62" s="149" t="s">
        <v>455</v>
      </c>
      <c r="AM62" s="149">
        <f ca="1">IFERROR(AM74/AM61,0)</f>
        <v>0</v>
      </c>
      <c r="AN62" s="193" t="s">
        <v>83</v>
      </c>
      <c r="BF62" s="149" t="s">
        <v>455</v>
      </c>
      <c r="BH62" s="149">
        <f ca="1">IFERROR(BH74/BH61,0)</f>
        <v>0</v>
      </c>
      <c r="BI62" s="193" t="s">
        <v>83</v>
      </c>
      <c r="CA62" s="149" t="s">
        <v>455</v>
      </c>
      <c r="CC62" s="149">
        <f ca="1">IFERROR(CC74/CC61,0)</f>
        <v>0</v>
      </c>
      <c r="CD62" s="193" t="s">
        <v>83</v>
      </c>
      <c r="CV62" s="149" t="s">
        <v>455</v>
      </c>
      <c r="CX62" s="149">
        <f ca="1">IFERROR(CX74/CX61,0)</f>
        <v>0</v>
      </c>
      <c r="CY62" s="193" t="s">
        <v>83</v>
      </c>
      <c r="DQ62" s="149" t="s">
        <v>455</v>
      </c>
      <c r="DS62" s="149">
        <f ca="1">IFERROR(DS74/DS61,0)</f>
        <v>0</v>
      </c>
      <c r="DT62" s="193" t="s">
        <v>83</v>
      </c>
    </row>
    <row r="63" spans="2:169">
      <c r="G63" s="149"/>
      <c r="H63" s="149"/>
      <c r="J63" s="193"/>
      <c r="P63" s="149"/>
      <c r="S63" s="193"/>
      <c r="AK63" s="149"/>
      <c r="AN63" s="193"/>
      <c r="BI63" s="193"/>
      <c r="CD63" s="193"/>
      <c r="CY63" s="193"/>
      <c r="DT63" s="193"/>
    </row>
    <row r="64" spans="2:169">
      <c r="C64" s="189"/>
      <c r="D64" s="189"/>
      <c r="G64" s="189" t="s">
        <v>456</v>
      </c>
      <c r="H64" s="189"/>
      <c r="J64" s="193"/>
      <c r="P64" s="189" t="s">
        <v>456</v>
      </c>
      <c r="S64" s="193"/>
      <c r="AK64" s="189" t="s">
        <v>456</v>
      </c>
      <c r="AN64" s="193"/>
      <c r="BF64" s="189" t="s">
        <v>456</v>
      </c>
      <c r="BI64" s="193"/>
      <c r="CA64" s="189" t="s">
        <v>456</v>
      </c>
      <c r="CD64" s="193"/>
      <c r="CV64" s="189" t="s">
        <v>456</v>
      </c>
      <c r="CY64" s="193"/>
      <c r="DQ64" s="189" t="s">
        <v>456</v>
      </c>
      <c r="DT64" s="193"/>
    </row>
    <row r="65" spans="7:124">
      <c r="G65" s="149" t="str">
        <f>'Cap Table'!$D$60&amp;" Total Invested"</f>
        <v>$ Total Invested</v>
      </c>
      <c r="H65" s="149"/>
      <c r="I65" s="187" t="s">
        <v>27</v>
      </c>
      <c r="J65" s="193" t="s">
        <v>87</v>
      </c>
      <c r="P65" s="149" t="str">
        <f>'Cap Table'!$D$60&amp;" Total Invested"</f>
        <v>$ Total Invested</v>
      </c>
      <c r="R65" s="146">
        <f>'Cap Table'!R29</f>
        <v>0</v>
      </c>
      <c r="S65" s="193" t="s">
        <v>87</v>
      </c>
      <c r="AK65" s="149" t="str">
        <f>'Cap Table'!$D$60&amp;" Total Invested"</f>
        <v>$ Total Invested</v>
      </c>
      <c r="AM65" s="146">
        <f>'Cap Table'!AM29</f>
        <v>0</v>
      </c>
      <c r="AN65" s="193" t="s">
        <v>87</v>
      </c>
      <c r="BF65" s="149" t="str">
        <f>'Cap Table'!$D$60&amp;" Total Invested"</f>
        <v>$ Total Invested</v>
      </c>
      <c r="BH65" s="146">
        <f>'Cap Table'!BH29</f>
        <v>0</v>
      </c>
      <c r="BI65" s="193" t="s">
        <v>87</v>
      </c>
      <c r="CA65" s="149" t="str">
        <f>'Cap Table'!$D$60&amp;" Total Invested"</f>
        <v>$ Total Invested</v>
      </c>
      <c r="CC65" s="146">
        <f>'Cap Table'!CC29</f>
        <v>0</v>
      </c>
      <c r="CD65" s="193" t="s">
        <v>87</v>
      </c>
      <c r="CV65" s="149" t="str">
        <f>'Cap Table'!$D$60&amp;" Total Invested"</f>
        <v>$ Total Invested</v>
      </c>
      <c r="CX65" s="146">
        <f>'Cap Table'!CX29</f>
        <v>0</v>
      </c>
      <c r="CY65" s="193" t="s">
        <v>87</v>
      </c>
      <c r="DQ65" s="149" t="str">
        <f>'Cap Table'!$D$60&amp;" Total Invested"</f>
        <v>$ Total Invested</v>
      </c>
      <c r="DS65" s="146">
        <f>'Cap Table'!DS29</f>
        <v>0</v>
      </c>
      <c r="DT65" s="193" t="s">
        <v>87</v>
      </c>
    </row>
    <row r="66" spans="7:124">
      <c r="G66" s="149" t="str">
        <f>'Cap Table'!$D$60&amp;" Total Converted"</f>
        <v>$ Total Converted</v>
      </c>
      <c r="H66" s="149"/>
      <c r="I66" s="187" t="s">
        <v>27</v>
      </c>
      <c r="J66" s="193" t="s">
        <v>457</v>
      </c>
      <c r="P66" s="149" t="str">
        <f>'Cap Table'!$D$60&amp;" Total Converted"</f>
        <v>$ Total Converted</v>
      </c>
      <c r="R66" s="146">
        <f ca="1">R67-'Cap Table'!S29</f>
        <v>0</v>
      </c>
      <c r="S66" s="193" t="s">
        <v>457</v>
      </c>
      <c r="AK66" s="149" t="str">
        <f>'Cap Table'!$D$60&amp;" Total Converted"</f>
        <v>$ Total Converted</v>
      </c>
      <c r="AM66" s="146">
        <f ca="1">AM67-'Cap Table'!AN29</f>
        <v>0</v>
      </c>
      <c r="AN66" s="193" t="s">
        <v>457</v>
      </c>
      <c r="BF66" s="149" t="str">
        <f>'Cap Table'!$D$60&amp;" Total Converted"</f>
        <v>$ Total Converted</v>
      </c>
      <c r="BH66" s="146">
        <f ca="1">BH67-'Cap Table'!BM29</f>
        <v>0</v>
      </c>
      <c r="BI66" s="193" t="s">
        <v>457</v>
      </c>
      <c r="CA66" s="149" t="str">
        <f>'Cap Table'!$D$60&amp;" Total Converted"</f>
        <v>$ Total Converted</v>
      </c>
      <c r="CC66" s="146">
        <f ca="1">CC67-'Cap Table'!CD29</f>
        <v>0</v>
      </c>
      <c r="CD66" s="193" t="s">
        <v>457</v>
      </c>
      <c r="CV66" s="149" t="str">
        <f>'Cap Table'!$D$60&amp;" Total Converted"</f>
        <v>$ Total Converted</v>
      </c>
      <c r="CX66" s="146">
        <f ca="1">CX67-'Cap Table'!CY29</f>
        <v>0</v>
      </c>
      <c r="CY66" s="193" t="s">
        <v>457</v>
      </c>
      <c r="DQ66" s="149" t="str">
        <f>'Cap Table'!$D$60&amp;" Total Converted"</f>
        <v>$ Total Converted</v>
      </c>
      <c r="DS66" s="146">
        <f ca="1">DS67-'Cap Table'!DT29</f>
        <v>0</v>
      </c>
      <c r="DT66" s="193" t="s">
        <v>457</v>
      </c>
    </row>
    <row r="67" spans="7:124">
      <c r="G67" s="149" t="str">
        <f>'Cap Table'!$D$60&amp;" Total Invested and Converted"</f>
        <v>$ Total Invested and Converted</v>
      </c>
      <c r="H67" s="149"/>
      <c r="I67" s="187" t="s">
        <v>27</v>
      </c>
      <c r="J67" s="193" t="s">
        <v>458</v>
      </c>
      <c r="P67" s="149" t="str">
        <f>'Cap Table'!$D$60&amp;" Total Invested and Converted"</f>
        <v>$ Total Invested and Converted</v>
      </c>
      <c r="R67" s="146">
        <f ca="1">'Cap Table'!W29</f>
        <v>0</v>
      </c>
      <c r="S67" s="193" t="s">
        <v>458</v>
      </c>
      <c r="AK67" s="149" t="str">
        <f>'Cap Table'!$D$60&amp;" Total Invested and Converted"</f>
        <v>$ Total Invested and Converted</v>
      </c>
      <c r="AM67" s="146">
        <f ca="1">'Cap Table'!AR29</f>
        <v>0</v>
      </c>
      <c r="AN67" s="193" t="s">
        <v>458</v>
      </c>
      <c r="BF67" s="149" t="str">
        <f>'Cap Table'!$D$60&amp;" Total Invested and Converted"</f>
        <v>$ Total Invested and Converted</v>
      </c>
      <c r="BH67" s="146">
        <f ca="1">'Cap Table'!BM29</f>
        <v>0</v>
      </c>
      <c r="BI67" s="193" t="s">
        <v>458</v>
      </c>
      <c r="CA67" s="149" t="str">
        <f>'Cap Table'!$D$60&amp;" Total Invested and Converted"</f>
        <v>$ Total Invested and Converted</v>
      </c>
      <c r="CC67" s="146">
        <f ca="1">'Cap Table'!CH29</f>
        <v>0</v>
      </c>
      <c r="CD67" s="193" t="s">
        <v>458</v>
      </c>
      <c r="CV67" s="149" t="str">
        <f>'Cap Table'!$D$60&amp;" Total Invested and Converted"</f>
        <v>$ Total Invested and Converted</v>
      </c>
      <c r="CX67" s="146">
        <f ca="1">'Cap Table'!DC29</f>
        <v>0</v>
      </c>
      <c r="CY67" s="193" t="s">
        <v>458</v>
      </c>
      <c r="DQ67" s="149" t="str">
        <f>'Cap Table'!$D$60&amp;" Total Invested and Converted"</f>
        <v>$ Total Invested and Converted</v>
      </c>
      <c r="DS67" s="146">
        <f ca="1">'Cap Table'!DX29</f>
        <v>0</v>
      </c>
      <c r="DT67" s="193" t="s">
        <v>458</v>
      </c>
    </row>
    <row r="68" spans="7:124">
      <c r="G68" s="149" t="str">
        <f>'Cap Table'!$D$60&amp;" Value of Converted, after adjusted share price for conversion"</f>
        <v>$ Value of Converted, after adjusted share price for conversion</v>
      </c>
      <c r="H68" s="149"/>
      <c r="I68" s="187" t="s">
        <v>27</v>
      </c>
      <c r="J68" s="193" t="s">
        <v>146</v>
      </c>
      <c r="P68" s="149" t="str">
        <f>'Cap Table'!$D$60&amp;" Value of Converted, after adjusted share price for conversion"</f>
        <v>$ Value of Converted, after adjusted share price for conversion</v>
      </c>
      <c r="R68" s="146">
        <f ca="1">'Cap Table'!X29</f>
        <v>0</v>
      </c>
      <c r="S68" s="193" t="s">
        <v>146</v>
      </c>
      <c r="AK68" s="149" t="str">
        <f>'Cap Table'!$D$60&amp;" Value of Converted, after adjusted share price for conversion"</f>
        <v>$ Value of Converted, after adjusted share price for conversion</v>
      </c>
      <c r="AM68" s="146">
        <f ca="1">'Cap Table'!AS29</f>
        <v>0</v>
      </c>
      <c r="AN68" s="193" t="s">
        <v>146</v>
      </c>
      <c r="BF68" s="149" t="str">
        <f>'Cap Table'!$D$60&amp;" Value of Converted, after adjusted share price for conversion"</f>
        <v>$ Value of Converted, after adjusted share price for conversion</v>
      </c>
      <c r="BH68" s="146">
        <f ca="1">'Cap Table'!BN29</f>
        <v>0</v>
      </c>
      <c r="BI68" s="193" t="s">
        <v>146</v>
      </c>
      <c r="CA68" s="149" t="str">
        <f>'Cap Table'!$D$60&amp;" Value of Converted, after adjusted share price for conversion"</f>
        <v>$ Value of Converted, after adjusted share price for conversion</v>
      </c>
      <c r="CC68" s="146">
        <f ca="1">'Cap Table'!CI29</f>
        <v>0</v>
      </c>
      <c r="CD68" s="193" t="s">
        <v>146</v>
      </c>
      <c r="CV68" s="149" t="str">
        <f>'Cap Table'!$D$60&amp;" Value of Converted, after adjusted share price for conversion"</f>
        <v>$ Value of Converted, after adjusted share price for conversion</v>
      </c>
      <c r="CX68" s="146">
        <f ca="1">'Cap Table'!DD29</f>
        <v>0</v>
      </c>
      <c r="CY68" s="193" t="s">
        <v>146</v>
      </c>
      <c r="DQ68" s="149" t="str">
        <f>'Cap Table'!$D$60&amp;" Value of Converted, after adjusted share price for conversion"</f>
        <v>$ Value of Converted, after adjusted share price for conversion</v>
      </c>
      <c r="DS68" s="146">
        <f ca="1">'Cap Table'!DY29</f>
        <v>0</v>
      </c>
      <c r="DT68" s="193" t="s">
        <v>146</v>
      </c>
    </row>
    <row r="69" spans="7:124">
      <c r="G69" s="149" t="str">
        <f>'Cap Table'!$D$60&amp;" Value of Options Created"</f>
        <v>$ Value of Options Created</v>
      </c>
      <c r="H69" s="149"/>
      <c r="I69" s="187" t="s">
        <v>27</v>
      </c>
      <c r="J69" s="193" t="s">
        <v>151</v>
      </c>
      <c r="P69" s="149" t="str">
        <f>'Cap Table'!$D$60&amp;" Value of Options Created"</f>
        <v>$ Value of Options Created</v>
      </c>
      <c r="R69" s="146">
        <f ca="1">(R85+R86)*R62</f>
        <v>0</v>
      </c>
      <c r="S69" s="193" t="s">
        <v>151</v>
      </c>
      <c r="AK69" s="149" t="str">
        <f>'Cap Table'!$D$60&amp;" Value of Options Created"</f>
        <v>$ Value of Options Created</v>
      </c>
      <c r="AM69" s="146">
        <f ca="1">(AM85+AM86)*AM62</f>
        <v>0</v>
      </c>
      <c r="AN69" s="193" t="s">
        <v>151</v>
      </c>
      <c r="BF69" s="149" t="str">
        <f>'Cap Table'!$D$60&amp;" Value of Options Created"</f>
        <v>$ Value of Options Created</v>
      </c>
      <c r="BH69" s="146">
        <f ca="1">(BH85+BH86)*BH62</f>
        <v>0</v>
      </c>
      <c r="BI69" s="193" t="s">
        <v>151</v>
      </c>
      <c r="CA69" s="149" t="str">
        <f>'Cap Table'!$D$60&amp;" Value of Options Created"</f>
        <v>$ Value of Options Created</v>
      </c>
      <c r="CC69" s="146">
        <f ca="1">(CC85+CC86)*CC62</f>
        <v>0</v>
      </c>
      <c r="CD69" s="193" t="s">
        <v>151</v>
      </c>
      <c r="CV69" s="149" t="str">
        <f>'Cap Table'!$D$60&amp;" Value of Options Created"</f>
        <v>$ Value of Options Created</v>
      </c>
      <c r="CX69" s="146">
        <f ca="1">(CX85+CX86)*CX62</f>
        <v>0</v>
      </c>
      <c r="CY69" s="193" t="s">
        <v>151</v>
      </c>
      <c r="DQ69" s="149" t="str">
        <f>'Cap Table'!$D$60&amp;" Value of Options Created"</f>
        <v>$ Value of Options Created</v>
      </c>
      <c r="DS69" s="146">
        <f ca="1">(DS85+DS86)*DS62</f>
        <v>0</v>
      </c>
      <c r="DT69" s="193" t="s">
        <v>151</v>
      </c>
    </row>
    <row r="70" spans="7:124">
      <c r="G70" s="149"/>
      <c r="H70" s="149"/>
      <c r="J70" s="193"/>
      <c r="P70" s="149"/>
      <c r="R70" s="146"/>
      <c r="S70" s="193"/>
      <c r="AK70" s="149"/>
      <c r="AM70" s="146"/>
      <c r="AN70" s="193"/>
      <c r="BH70" s="146"/>
      <c r="BI70" s="193"/>
      <c r="CC70" s="146"/>
      <c r="CD70" s="193"/>
      <c r="CX70" s="146"/>
      <c r="CY70" s="193"/>
      <c r="DS70" s="146"/>
      <c r="DT70" s="193"/>
    </row>
    <row r="71" spans="7:124">
      <c r="G71" s="189" t="s">
        <v>459</v>
      </c>
      <c r="H71" s="189"/>
      <c r="J71" s="193"/>
      <c r="P71" s="189" t="s">
        <v>459</v>
      </c>
      <c r="R71" s="146"/>
      <c r="S71" s="193"/>
      <c r="AK71" s="189" t="s">
        <v>459</v>
      </c>
      <c r="AM71" s="146"/>
      <c r="AN71" s="193"/>
      <c r="BF71" s="189" t="s">
        <v>459</v>
      </c>
      <c r="BH71" s="146"/>
      <c r="BI71" s="193"/>
      <c r="CA71" s="189" t="s">
        <v>459</v>
      </c>
      <c r="CC71" s="146"/>
      <c r="CD71" s="193"/>
      <c r="CV71" s="189" t="s">
        <v>459</v>
      </c>
      <c r="CX71" s="146"/>
      <c r="CY71" s="193"/>
      <c r="DQ71" s="189" t="s">
        <v>459</v>
      </c>
      <c r="DS71" s="146"/>
      <c r="DT71" s="193"/>
    </row>
    <row r="72" spans="7:124">
      <c r="G72" s="149" t="str">
        <f>'Cap Table'!$D$60&amp;" Premoney Valuation"</f>
        <v>$ Premoney Valuation</v>
      </c>
      <c r="H72" s="149"/>
      <c r="I72" s="187" t="s">
        <v>27</v>
      </c>
      <c r="J72" s="193" t="s">
        <v>460</v>
      </c>
      <c r="P72" s="149" t="str">
        <f>'Cap Table'!$D$60&amp;" Premoney Valuation"</f>
        <v>$ Premoney Valuation</v>
      </c>
      <c r="R72" s="197">
        <v>0</v>
      </c>
      <c r="S72" s="193" t="s">
        <v>460</v>
      </c>
      <c r="AK72" s="149" t="str">
        <f>'Cap Table'!$D$60&amp;" Premoney Valuation"</f>
        <v>$ Premoney Valuation</v>
      </c>
      <c r="AM72" s="197">
        <v>0</v>
      </c>
      <c r="AN72" s="193" t="s">
        <v>460</v>
      </c>
      <c r="BF72" s="149" t="str">
        <f>'Cap Table'!$D$60&amp;" Premoney Valuation"</f>
        <v>$ Premoney Valuation</v>
      </c>
      <c r="BH72" s="197">
        <v>0</v>
      </c>
      <c r="BI72" s="193" t="s">
        <v>460</v>
      </c>
      <c r="CA72" s="149" t="str">
        <f>'Cap Table'!$D$60&amp;" Premoney Valuation"</f>
        <v>$ Premoney Valuation</v>
      </c>
      <c r="CC72" s="197">
        <f>CC65*5</f>
        <v>0</v>
      </c>
      <c r="CD72" s="193" t="s">
        <v>460</v>
      </c>
      <c r="CV72" s="149" t="str">
        <f>'Cap Table'!$D$60&amp;" Premoney Valuation"</f>
        <v>$ Premoney Valuation</v>
      </c>
      <c r="CX72" s="197">
        <f>CX65*5</f>
        <v>0</v>
      </c>
      <c r="CY72" s="193" t="s">
        <v>460</v>
      </c>
      <c r="DQ72" s="149" t="str">
        <f>'Cap Table'!$D$60&amp;" Premoney Valuation"</f>
        <v>$ Premoney Valuation</v>
      </c>
      <c r="DS72" s="197">
        <f>DS65*5</f>
        <v>0</v>
      </c>
      <c r="DT72" s="193" t="s">
        <v>460</v>
      </c>
    </row>
    <row r="73" spans="7:124">
      <c r="G73" s="149" t="str">
        <f>'Cap Table'!$D$60&amp;" Postmoney Valuation"</f>
        <v>$ Postmoney Valuation</v>
      </c>
      <c r="H73" s="149"/>
      <c r="I73" s="187" t="s">
        <v>27</v>
      </c>
      <c r="J73" s="193" t="s">
        <v>461</v>
      </c>
      <c r="P73" s="149" t="str">
        <f>'Cap Table'!$D$60&amp;" Postmoney Valuation"</f>
        <v>$ Postmoney Valuation</v>
      </c>
      <c r="R73" s="197">
        <f ca="1">R72+SUMPRODUCT('Cap Table'!AL6:AL28,--('Cap Table'!AK6:AK28='Cap Table'!$B39))</f>
        <v>0</v>
      </c>
      <c r="S73" s="193" t="s">
        <v>461</v>
      </c>
      <c r="AK73" s="149" t="str">
        <f>'Cap Table'!$D$60&amp;" Postmoney Valuation"</f>
        <v>$ Postmoney Valuation</v>
      </c>
      <c r="AM73" s="198">
        <f>AM72+SUMPRODUCT('Cap Table'!AM6:AM28,--('Cap Table'!AL6:AL28='Cap Table'!$B39))</f>
        <v>0</v>
      </c>
      <c r="AN73" s="193" t="s">
        <v>461</v>
      </c>
      <c r="BF73" s="149" t="str">
        <f>'Cap Table'!$D$60&amp;" Postmoney Valuation"</f>
        <v>$ Postmoney Valuation</v>
      </c>
      <c r="BH73" s="198">
        <f>BH72+SUMPRODUCT('Cap Table'!BH6:BH28,--('Cap Table'!BG6:BG28='Cap Table'!$B39))</f>
        <v>0</v>
      </c>
      <c r="BI73" s="193" t="s">
        <v>461</v>
      </c>
      <c r="CA73" s="149" t="str">
        <f>'Cap Table'!$D$60&amp;" Postmoney Valuation"</f>
        <v>$ Postmoney Valuation</v>
      </c>
      <c r="CC73" s="198">
        <f>CC72+SUMPRODUCT('Cap Table'!CC6:CC28,--('Cap Table'!CB6:CB28='Cap Table'!$B39))</f>
        <v>0</v>
      </c>
      <c r="CD73" s="193" t="s">
        <v>461</v>
      </c>
      <c r="CV73" s="149" t="str">
        <f>'Cap Table'!$D$60&amp;" Postmoney Valuation"</f>
        <v>$ Postmoney Valuation</v>
      </c>
      <c r="CX73" s="198">
        <f>CX72+SUMPRODUCT('Cap Table'!CX6:CX28,--('Cap Table'!CW6:CW28='Cap Table'!$B39))</f>
        <v>0</v>
      </c>
      <c r="CY73" s="193" t="s">
        <v>461</v>
      </c>
      <c r="DQ73" s="149" t="str">
        <f>'Cap Table'!$D$60&amp;" Postmoney Valuation"</f>
        <v>$ Postmoney Valuation</v>
      </c>
      <c r="DS73" s="198">
        <f>DS72+SUMPRODUCT('Cap Table'!DS6:DS28,--('Cap Table'!DR6:DR28='Cap Table'!$B39))</f>
        <v>0</v>
      </c>
      <c r="DT73" s="193" t="s">
        <v>461</v>
      </c>
    </row>
    <row r="74" spans="7:124">
      <c r="G74" s="149" t="str">
        <f>'Cap Table'!$D$60&amp;" Effective Premoney Valuation"</f>
        <v>$ Effective Premoney Valuation</v>
      </c>
      <c r="H74" s="149"/>
      <c r="I74" s="187" t="s">
        <v>27</v>
      </c>
      <c r="J74" s="193" t="s">
        <v>462</v>
      </c>
      <c r="P74" s="149" t="str">
        <f>'Cap Table'!$D$60&amp;" Effective Premoney Valuation"</f>
        <v>$ Effective Premoney Valuation</v>
      </c>
      <c r="R74" s="146">
        <f>IF(R79="premoney",R72-R73*R83,IF(R79="dollars invested",R72+R67-R68-R73*R83,IF(R79="percentage ownership",R73-R65-R68-R73*R83,R72)))</f>
        <v>0</v>
      </c>
      <c r="S74" s="193" t="s">
        <v>462</v>
      </c>
      <c r="AK74" s="149" t="str">
        <f>'Cap Table'!$D$60&amp;" Effective Premoney Valuation"</f>
        <v>$ Effective Premoney Valuation</v>
      </c>
      <c r="AM74" s="146">
        <f>IF(AM79="premoney",AM72-AM73*AM83,IF(AM79="dollars invested",AM72+AM67-AM68-AM73*AM83,IF(AM79="percentage ownership",AM73-AM65-AM68-AM73*AM83,AM72)))</f>
        <v>0</v>
      </c>
      <c r="AN74" s="193" t="s">
        <v>462</v>
      </c>
      <c r="BF74" s="149" t="str">
        <f>'Cap Table'!$D$60&amp;" Effective Premoney Valuation"</f>
        <v>$ Effective Premoney Valuation</v>
      </c>
      <c r="BH74" s="146">
        <f>IF(BH79="premoney",BH72-BH73*BH83,IF(BH79="dollars invested",BH72+BH67-BH68-BH73*BH83,IF(BH79="percentage ownership",BH73-BH65-BH68-BH73*BH83,BH72)))</f>
        <v>0</v>
      </c>
      <c r="BI74" s="193" t="s">
        <v>462</v>
      </c>
      <c r="CA74" s="149" t="str">
        <f>'Cap Table'!$D$60&amp;" Effective Premoney Valuation"</f>
        <v>$ Effective Premoney Valuation</v>
      </c>
      <c r="CC74" s="146">
        <f>IF(CC79="premoney",CC72-CC73*CC83,IF(CC79="dollars invested",CC72+CC67-CC68-CC73*CC83,IF(CC79="percentage ownership",CC73-CC65-CC68-CC73*CC83,CC72)))</f>
        <v>0</v>
      </c>
      <c r="CD74" s="193" t="s">
        <v>462</v>
      </c>
      <c r="CV74" s="149" t="str">
        <f>'Cap Table'!$D$60&amp;" Effective Premoney Valuation"</f>
        <v>$ Effective Premoney Valuation</v>
      </c>
      <c r="CX74" s="146">
        <f>IF(CX79="premoney",CX72-CX73*CX83,IF(CX79="dollars invested",CX72+CX67-CX68-CX73*CX83,IF(CX79="percentage ownership",CX73-CX65-CX68-CX73*CX83,CX72)))</f>
        <v>0</v>
      </c>
      <c r="CY74" s="193" t="s">
        <v>462</v>
      </c>
      <c r="DQ74" s="149" t="str">
        <f>'Cap Table'!$D$60&amp;" Effective Premoney Valuation"</f>
        <v>$ Effective Premoney Valuation</v>
      </c>
      <c r="DS74" s="146">
        <f>IF(DS79="premoney",DS72-DS73*DS83,IF(DS79="dollars invested",DS72+DS67-DS68-DS73*DS83,IF(DS79="percentage ownership",DS73-DS65-DS68-DS73*DS83,DS72)))</f>
        <v>0</v>
      </c>
      <c r="DT74" s="193" t="s">
        <v>462</v>
      </c>
    </row>
    <row r="75" spans="7:124">
      <c r="G75" s="149" t="str">
        <f>'Cap Table'!$D$60&amp;" Effective Postmoney Valuation"</f>
        <v>$ Effective Postmoney Valuation</v>
      </c>
      <c r="H75" s="149"/>
      <c r="I75" s="187" t="s">
        <v>27</v>
      </c>
      <c r="J75" s="193" t="s">
        <v>463</v>
      </c>
      <c r="P75" s="149" t="str">
        <f>'Cap Table'!$D$60&amp;" Effective Postmoney Valuation"</f>
        <v>$ Effective Postmoney Valuation</v>
      </c>
      <c r="R75" s="146">
        <f ca="1">R74+SUMPRODUCT('Cap Table'!R6:R28,--('Cap Table'!Q6:Q28='Cap Table'!$B39))+R68+R69</f>
        <v>0</v>
      </c>
      <c r="S75" s="193" t="s">
        <v>463</v>
      </c>
      <c r="AK75" s="149" t="str">
        <f>'Cap Table'!$D$60&amp;" Effective Postmoney Valuation"</f>
        <v>$ Effective Postmoney Valuation</v>
      </c>
      <c r="AM75" s="146">
        <f ca="1">AM74+SUMPRODUCT('Cap Table'!AM6:AM28,--('Cap Table'!AL6:AL28='Cap Table'!$B39))+AM68+AM69</f>
        <v>0</v>
      </c>
      <c r="AN75" s="193" t="s">
        <v>463</v>
      </c>
      <c r="BF75" s="149" t="str">
        <f>'Cap Table'!$D$60&amp;" Effective Postmoney Valuation"</f>
        <v>$ Effective Postmoney Valuation</v>
      </c>
      <c r="BH75" s="146">
        <f ca="1">BH74+SUMPRODUCT('Cap Table'!BH6:BH28,--('Cap Table'!BG6:BG28='Cap Table'!$B39))+BH68+BH69</f>
        <v>0</v>
      </c>
      <c r="BI75" s="193" t="s">
        <v>463</v>
      </c>
      <c r="CA75" s="149" t="str">
        <f>'Cap Table'!$D$60&amp;" Effective Postmoney Valuation"</f>
        <v>$ Effective Postmoney Valuation</v>
      </c>
      <c r="CC75" s="146">
        <f ca="1">CC74+SUMPRODUCT('Cap Table'!CC6:CC28,--('Cap Table'!CB6:CB28='Cap Table'!$B39))+CC68+CC69</f>
        <v>0</v>
      </c>
      <c r="CD75" s="193" t="s">
        <v>463</v>
      </c>
      <c r="CV75" s="149" t="str">
        <f>'Cap Table'!$D$60&amp;" Effective Postmoney Valuation"</f>
        <v>$ Effective Postmoney Valuation</v>
      </c>
      <c r="CX75" s="146">
        <f ca="1">CX74+SUMPRODUCT('Cap Table'!CX6:CX28,--('Cap Table'!CW6:CW28='Cap Table'!$B39))+CX68+CX69</f>
        <v>0</v>
      </c>
      <c r="CY75" s="193" t="s">
        <v>463</v>
      </c>
      <c r="DQ75" s="149" t="str">
        <f>'Cap Table'!$D$60&amp;" Effective Postmoney Valuation"</f>
        <v>$ Effective Postmoney Valuation</v>
      </c>
      <c r="DS75" s="146">
        <f ca="1">DS74+SUMPRODUCT('Cap Table'!DS6:DS28,--('Cap Table'!DR6:DR28='Cap Table'!$B39))+DS68+DS69</f>
        <v>0</v>
      </c>
      <c r="DT75" s="193" t="s">
        <v>463</v>
      </c>
    </row>
    <row r="76" spans="7:124">
      <c r="G76" s="149" t="str">
        <f>'Cap Table'!$D$60&amp;" Blended Price per "&amp;'Cap Table'!$D$61&amp;" in Round"</f>
        <v>$ Blended Price per Share in Round</v>
      </c>
      <c r="H76" s="149"/>
      <c r="I76" s="187" t="s">
        <v>27</v>
      </c>
      <c r="J76" s="193" t="s">
        <v>464</v>
      </c>
      <c r="P76" s="149" t="str">
        <f>'Cap Table'!$D$60&amp;" Blended Price per "&amp;'Cap Table'!$D$61&amp;" in Round"</f>
        <v>$ Blended Price per Share in Round</v>
      </c>
      <c r="R76" s="199">
        <f ca="1">'Cap Table'!Z29</f>
        <v>0</v>
      </c>
      <c r="S76" s="193" t="s">
        <v>464</v>
      </c>
      <c r="AK76" s="149" t="str">
        <f>'Cap Table'!$D$60&amp;" Blended Price per "&amp;'Cap Table'!$D$61&amp;" in Round"</f>
        <v>$ Blended Price per Share in Round</v>
      </c>
      <c r="AM76" s="199">
        <f ca="1">'Cap Table'!AU29</f>
        <v>0</v>
      </c>
      <c r="AN76" s="193" t="s">
        <v>464</v>
      </c>
      <c r="BF76" s="149" t="str">
        <f>'Cap Table'!$D$60&amp;" Blended Price per "&amp;'Cap Table'!$D$61&amp;" in Round"</f>
        <v>$ Blended Price per Share in Round</v>
      </c>
      <c r="BH76" s="199">
        <f ca="1">'Cap Table'!BP29</f>
        <v>0</v>
      </c>
      <c r="BI76" s="193" t="s">
        <v>464</v>
      </c>
      <c r="CA76" s="149" t="str">
        <f>'Cap Table'!$D$60&amp;" Blended Price per "&amp;'Cap Table'!$D$61&amp;" in Round"</f>
        <v>$ Blended Price per Share in Round</v>
      </c>
      <c r="CC76" s="199">
        <f ca="1">'Cap Table'!CK29</f>
        <v>0</v>
      </c>
      <c r="CD76" s="193" t="s">
        <v>464</v>
      </c>
      <c r="CV76" s="149" t="str">
        <f>'Cap Table'!$D$60&amp;" Blended Price per "&amp;'Cap Table'!$D$61&amp;" in Round"</f>
        <v>$ Blended Price per Share in Round</v>
      </c>
      <c r="CX76" s="199">
        <f ca="1">'Cap Table'!DF29</f>
        <v>0</v>
      </c>
      <c r="CY76" s="193" t="s">
        <v>464</v>
      </c>
      <c r="DQ76" s="149" t="str">
        <f>'Cap Table'!$D$60&amp;" Blended Price per "&amp;'Cap Table'!$D$61&amp;" in Round"</f>
        <v>$ Blended Price per Share in Round</v>
      </c>
      <c r="DS76" s="199">
        <f ca="1">'Cap Table'!EA29</f>
        <v>0</v>
      </c>
      <c r="DT76" s="193" t="s">
        <v>464</v>
      </c>
    </row>
    <row r="77" spans="7:124">
      <c r="G77" s="149"/>
      <c r="H77" s="149"/>
      <c r="J77" s="193"/>
      <c r="P77" s="149"/>
      <c r="S77" s="193"/>
      <c r="AK77" s="149"/>
      <c r="AN77" s="193"/>
      <c r="BI77" s="193"/>
      <c r="CD77" s="193"/>
      <c r="CY77" s="193"/>
      <c r="DT77" s="193"/>
    </row>
    <row r="78" spans="7:124">
      <c r="G78" s="189" t="s">
        <v>465</v>
      </c>
      <c r="H78" s="189"/>
      <c r="J78" s="193"/>
      <c r="P78" s="189" t="s">
        <v>465</v>
      </c>
      <c r="S78" s="193"/>
      <c r="AK78" s="189" t="s">
        <v>465</v>
      </c>
      <c r="AN78" s="193"/>
      <c r="BF78" s="189" t="s">
        <v>465</v>
      </c>
      <c r="BI78" s="193"/>
      <c r="CA78" s="189" t="s">
        <v>465</v>
      </c>
      <c r="CD78" s="193"/>
      <c r="CV78" s="189" t="s">
        <v>465</v>
      </c>
      <c r="CY78" s="193"/>
      <c r="DQ78" s="189" t="s">
        <v>465</v>
      </c>
      <c r="DT78" s="193"/>
    </row>
    <row r="79" spans="7:124">
      <c r="G79" s="149" t="s">
        <v>466</v>
      </c>
      <c r="H79" s="149"/>
      <c r="I79" s="187" t="s">
        <v>27</v>
      </c>
      <c r="J79" s="193" t="s">
        <v>467</v>
      </c>
      <c r="P79" s="149" t="s">
        <v>466</v>
      </c>
      <c r="R79" s="192" t="s">
        <v>27</v>
      </c>
      <c r="S79" s="193" t="s">
        <v>467</v>
      </c>
      <c r="AK79" s="149" t="s">
        <v>466</v>
      </c>
      <c r="AM79" s="192" t="s">
        <v>27</v>
      </c>
      <c r="AN79" s="193" t="s">
        <v>467</v>
      </c>
      <c r="BF79" s="149" t="s">
        <v>466</v>
      </c>
      <c r="BH79" s="192" t="s">
        <v>27</v>
      </c>
      <c r="BI79" s="193" t="s">
        <v>467</v>
      </c>
      <c r="CA79" s="149" t="s">
        <v>466</v>
      </c>
      <c r="CC79" s="192" t="s">
        <v>27</v>
      </c>
      <c r="CD79" s="193" t="s">
        <v>467</v>
      </c>
      <c r="CV79" s="149" t="s">
        <v>466</v>
      </c>
      <c r="CX79" s="192" t="s">
        <v>27</v>
      </c>
      <c r="CY79" s="193" t="s">
        <v>467</v>
      </c>
      <c r="DQ79" s="149" t="s">
        <v>466</v>
      </c>
      <c r="DS79" s="192" t="s">
        <v>27</v>
      </c>
      <c r="DT79" s="193" t="s">
        <v>467</v>
      </c>
    </row>
    <row r="80" spans="7:124">
      <c r="G80" s="149" t="s">
        <v>210</v>
      </c>
      <c r="H80" s="149"/>
      <c r="I80" s="187" t="s">
        <v>27</v>
      </c>
      <c r="J80" s="193" t="s">
        <v>468</v>
      </c>
      <c r="P80" s="149" t="s">
        <v>210</v>
      </c>
      <c r="R80" s="197" t="s">
        <v>211</v>
      </c>
      <c r="S80" s="193" t="s">
        <v>468</v>
      </c>
      <c r="AK80" s="149" t="s">
        <v>210</v>
      </c>
      <c r="AM80" s="197" t="s">
        <v>211</v>
      </c>
      <c r="AN80" s="193" t="s">
        <v>468</v>
      </c>
      <c r="BF80" s="149" t="s">
        <v>210</v>
      </c>
      <c r="BH80" s="197" t="s">
        <v>211</v>
      </c>
      <c r="BI80" s="193" t="s">
        <v>468</v>
      </c>
      <c r="CA80" s="149" t="s">
        <v>210</v>
      </c>
      <c r="CC80" s="197" t="s">
        <v>211</v>
      </c>
      <c r="CD80" s="193" t="s">
        <v>468</v>
      </c>
      <c r="CV80" s="149" t="s">
        <v>210</v>
      </c>
      <c r="CX80" s="197" t="s">
        <v>211</v>
      </c>
      <c r="CY80" s="193" t="s">
        <v>468</v>
      </c>
      <c r="DQ80" s="149" t="s">
        <v>210</v>
      </c>
      <c r="DS80" s="197" t="s">
        <v>211</v>
      </c>
      <c r="DT80" s="193" t="s">
        <v>468</v>
      </c>
    </row>
    <row r="81" spans="7:124">
      <c r="G81" s="149"/>
      <c r="H81" s="149"/>
      <c r="J81" s="193"/>
      <c r="P81" s="149"/>
      <c r="S81" s="193"/>
      <c r="AK81" s="149"/>
      <c r="AN81" s="193"/>
      <c r="BI81" s="193"/>
      <c r="CD81" s="193"/>
      <c r="CY81" s="193"/>
      <c r="DT81" s="193"/>
    </row>
    <row r="82" spans="7:124">
      <c r="G82" s="189" t="s">
        <v>29</v>
      </c>
      <c r="H82" s="189"/>
      <c r="J82" s="193"/>
      <c r="P82" s="189" t="s">
        <v>29</v>
      </c>
      <c r="S82" s="193"/>
      <c r="AK82" s="189" t="s">
        <v>29</v>
      </c>
      <c r="AN82" s="193"/>
      <c r="BF82" s="189" t="s">
        <v>29</v>
      </c>
      <c r="BI82" s="193"/>
      <c r="CA82" s="189" t="s">
        <v>29</v>
      </c>
      <c r="CD82" s="193"/>
      <c r="CV82" s="189" t="s">
        <v>29</v>
      </c>
      <c r="CY82" s="193"/>
      <c r="DQ82" s="189" t="s">
        <v>29</v>
      </c>
      <c r="DT82" s="193"/>
    </row>
    <row r="83" spans="7:124">
      <c r="G83" s="149" t="s">
        <v>469</v>
      </c>
      <c r="H83" s="149"/>
      <c r="J83" s="193" t="s">
        <v>470</v>
      </c>
      <c r="P83" s="149" t="s">
        <v>469</v>
      </c>
      <c r="R83" s="171">
        <v>0</v>
      </c>
      <c r="S83" s="193" t="s">
        <v>470</v>
      </c>
      <c r="AK83" s="149" t="s">
        <v>469</v>
      </c>
      <c r="AM83" s="171">
        <v>0</v>
      </c>
      <c r="AN83" s="193" t="s">
        <v>470</v>
      </c>
      <c r="BF83" s="149" t="s">
        <v>469</v>
      </c>
      <c r="BH83" s="171">
        <v>0</v>
      </c>
      <c r="BI83" s="193" t="s">
        <v>470</v>
      </c>
      <c r="CA83" s="149" t="s">
        <v>469</v>
      </c>
      <c r="CC83" s="171">
        <v>0</v>
      </c>
      <c r="CD83" s="193" t="s">
        <v>470</v>
      </c>
      <c r="CV83" s="149" t="s">
        <v>469</v>
      </c>
      <c r="CX83" s="171">
        <v>0</v>
      </c>
      <c r="CY83" s="193" t="s">
        <v>470</v>
      </c>
      <c r="DQ83" s="149" t="s">
        <v>469</v>
      </c>
      <c r="DS83" s="171">
        <v>0</v>
      </c>
      <c r="DT83" s="193" t="s">
        <v>470</v>
      </c>
    </row>
    <row r="84" spans="7:124">
      <c r="G84" s="149" t="s">
        <v>471</v>
      </c>
      <c r="H84" s="149"/>
      <c r="J84" s="193" t="s">
        <v>472</v>
      </c>
      <c r="P84" s="149" t="s">
        <v>471</v>
      </c>
      <c r="R84" s="171">
        <v>0</v>
      </c>
      <c r="S84" s="193" t="s">
        <v>472</v>
      </c>
      <c r="AK84" s="149" t="s">
        <v>471</v>
      </c>
      <c r="AM84" s="171">
        <v>0</v>
      </c>
      <c r="AN84" s="193" t="s">
        <v>472</v>
      </c>
      <c r="BF84" s="149" t="s">
        <v>471</v>
      </c>
      <c r="BH84" s="171">
        <v>0</v>
      </c>
      <c r="BI84" s="193" t="s">
        <v>472</v>
      </c>
      <c r="CA84" s="149" t="s">
        <v>471</v>
      </c>
      <c r="CC84" s="171">
        <v>0</v>
      </c>
      <c r="CD84" s="193" t="s">
        <v>472</v>
      </c>
      <c r="CV84" s="149" t="s">
        <v>471</v>
      </c>
      <c r="CX84" s="171">
        <v>0</v>
      </c>
      <c r="CY84" s="193" t="s">
        <v>472</v>
      </c>
      <c r="DQ84" s="149" t="s">
        <v>471</v>
      </c>
      <c r="DS84" s="171">
        <v>0</v>
      </c>
      <c r="DT84" s="193" t="s">
        <v>472</v>
      </c>
    </row>
    <row r="85" spans="7:124">
      <c r="G85" s="149" t="str">
        <f>"# New Premoney Option Pool "&amp;'Cap Table'!$D$61&amp;"s"</f>
        <v># New Premoney Option Pool Shares</v>
      </c>
      <c r="H85" s="149"/>
      <c r="J85" s="193" t="s">
        <v>473</v>
      </c>
      <c r="P85" s="149" t="str">
        <f>"# New Premoney Option Pool "&amp;'Cap Table'!$D$61&amp;"s"</f>
        <v># New Premoney Option Pool Shares</v>
      </c>
      <c r="R85" s="146">
        <f ca="1">IF(R73=0,R83*R61,IFERROR(R73*R83/R62,0))</f>
        <v>0</v>
      </c>
      <c r="S85" s="193" t="s">
        <v>473</v>
      </c>
      <c r="AK85" s="149" t="str">
        <f>"# New Premoney Option Pool "&amp;'Cap Table'!$D$61&amp;"s"</f>
        <v># New Premoney Option Pool Shares</v>
      </c>
      <c r="AM85" s="146">
        <f ca="1">IFERROR(AM73*AM83/AM62,0)</f>
        <v>0</v>
      </c>
      <c r="AN85" s="193" t="s">
        <v>473</v>
      </c>
      <c r="BF85" s="149" t="str">
        <f>"# New Premoney Option Pool "&amp;'Cap Table'!$D$61&amp;"s"</f>
        <v># New Premoney Option Pool Shares</v>
      </c>
      <c r="BH85" s="146">
        <f ca="1">IFERROR(BH73*BH83/BH62,0)</f>
        <v>0</v>
      </c>
      <c r="BI85" s="193" t="s">
        <v>473</v>
      </c>
      <c r="CA85" s="149" t="str">
        <f>"# New Premoney Option Pool "&amp;'Cap Table'!$D$61&amp;"s"</f>
        <v># New Premoney Option Pool Shares</v>
      </c>
      <c r="CC85" s="146">
        <f ca="1">IFERROR(CC73*CC83/CC62,0)</f>
        <v>0</v>
      </c>
      <c r="CD85" s="193" t="s">
        <v>473</v>
      </c>
      <c r="CV85" s="149" t="str">
        <f>"# New Premoney Option Pool "&amp;'Cap Table'!$D$61&amp;"s"</f>
        <v># New Premoney Option Pool Shares</v>
      </c>
      <c r="CX85" s="146">
        <f ca="1">IFERROR(CX73*CX83/CX62,0)</f>
        <v>0</v>
      </c>
      <c r="CY85" s="193" t="s">
        <v>473</v>
      </c>
      <c r="DQ85" s="149" t="str">
        <f>"# New Premoney Option Pool "&amp;'Cap Table'!$D$61&amp;"s"</f>
        <v># New Premoney Option Pool Shares</v>
      </c>
      <c r="DS85" s="146">
        <f ca="1">IFERROR(DS73*DS83/DS62,0)</f>
        <v>0</v>
      </c>
      <c r="DT85" s="193" t="s">
        <v>473</v>
      </c>
    </row>
    <row r="86" spans="7:124">
      <c r="G86" s="149" t="str">
        <f>"# New Postmoney Option Pool "&amp;'Cap Table'!$D$61&amp;"s"</f>
        <v># New Postmoney Option Pool Shares</v>
      </c>
      <c r="H86" s="149"/>
      <c r="J86" s="193" t="s">
        <v>474</v>
      </c>
      <c r="P86" s="149" t="str">
        <f>"# New Postmoney Option Pool "&amp;'Cap Table'!$D$61&amp;"s"</f>
        <v># New Postmoney Option Pool Shares</v>
      </c>
      <c r="R86" s="146">
        <f ca="1">IF(R73=0,R84*R61,IFERROR(R73*R84/(R62*(1-R84)),0))</f>
        <v>0</v>
      </c>
      <c r="S86" s="193" t="s">
        <v>474</v>
      </c>
      <c r="AK86" s="149" t="str">
        <f>"# New Postmoney Option Pool "&amp;'Cap Table'!$D$61&amp;"s"</f>
        <v># New Postmoney Option Pool Shares</v>
      </c>
      <c r="AM86" s="146">
        <f ca="1">IF(AM73=0,AM84*AM61,IFERROR(AM73*AM84/(AM62*(1-AM84)),0))</f>
        <v>0</v>
      </c>
      <c r="AN86" s="193" t="s">
        <v>474</v>
      </c>
      <c r="BF86" s="149" t="str">
        <f>"# New Postmoney Option Pool "&amp;'Cap Table'!$D$61&amp;"s"</f>
        <v># New Postmoney Option Pool Shares</v>
      </c>
      <c r="BH86" s="146">
        <f ca="1">IF(BH73=0,BH84*BH61,IFERROR(BH73*BH84/(BH62*(1-BH84)),0))</f>
        <v>0</v>
      </c>
      <c r="BI86" s="193" t="s">
        <v>474</v>
      </c>
      <c r="CA86" s="149" t="str">
        <f>"# New Postmoney Option Pool "&amp;'Cap Table'!$D$61&amp;"s"</f>
        <v># New Postmoney Option Pool Shares</v>
      </c>
      <c r="CC86" s="146">
        <f ca="1">IF(CC73=0,CC84*CC61,IFERROR(CC73*CC84/(CC62*(1-CC84)),0))</f>
        <v>0</v>
      </c>
      <c r="CD86" s="193" t="s">
        <v>474</v>
      </c>
      <c r="CV86" s="149" t="str">
        <f>"# New Postmoney Option Pool "&amp;'Cap Table'!$D$61&amp;"s"</f>
        <v># New Postmoney Option Pool Shares</v>
      </c>
      <c r="CX86" s="146">
        <f ca="1">IF(CX73=0,CX84*CX61,IFERROR(CX73*CX84/(CX62*(1-CX84)),0))</f>
        <v>0</v>
      </c>
      <c r="CY86" s="193" t="s">
        <v>474</v>
      </c>
      <c r="DQ86" s="149" t="str">
        <f>"# New Postmoney Option Pool "&amp;'Cap Table'!$D$61&amp;"s"</f>
        <v># New Postmoney Option Pool Shares</v>
      </c>
      <c r="DS86" s="146">
        <f ca="1">IF(DS73=0,DS84*DS61,IFERROR(DS73*DS84/(DS62*(1-DS84)),0))</f>
        <v>0</v>
      </c>
      <c r="DT86" s="193" t="s">
        <v>474</v>
      </c>
    </row>
    <row r="87" spans="7:124">
      <c r="G87" s="149" t="s">
        <v>475</v>
      </c>
      <c r="H87" s="149"/>
      <c r="J87" s="193" t="s">
        <v>476</v>
      </c>
      <c r="P87" s="149" t="s">
        <v>475</v>
      </c>
      <c r="R87" s="171">
        <v>0</v>
      </c>
      <c r="S87" s="193" t="s">
        <v>476</v>
      </c>
      <c r="AK87" s="149" t="s">
        <v>475</v>
      </c>
      <c r="AM87" s="171">
        <v>0</v>
      </c>
      <c r="AN87" s="193" t="s">
        <v>476</v>
      </c>
      <c r="BF87" s="149" t="s">
        <v>475</v>
      </c>
      <c r="BH87" s="171">
        <v>0</v>
      </c>
      <c r="BI87" s="193" t="s">
        <v>476</v>
      </c>
      <c r="CA87" s="149" t="s">
        <v>475</v>
      </c>
      <c r="CC87" s="171">
        <v>0</v>
      </c>
      <c r="CD87" s="193" t="s">
        <v>476</v>
      </c>
      <c r="CV87" s="149" t="s">
        <v>475</v>
      </c>
      <c r="CX87" s="171">
        <v>0</v>
      </c>
      <c r="CY87" s="193" t="s">
        <v>476</v>
      </c>
      <c r="DQ87" s="149" t="s">
        <v>475</v>
      </c>
      <c r="DS87" s="171">
        <v>0</v>
      </c>
      <c r="DT87" s="193" t="s">
        <v>476</v>
      </c>
    </row>
    <row r="88" spans="7:124">
      <c r="G88" s="149" t="s">
        <v>477</v>
      </c>
      <c r="H88" s="149"/>
      <c r="J88" s="193" t="s">
        <v>478</v>
      </c>
      <c r="P88" s="149" t="s">
        <v>477</v>
      </c>
      <c r="R88" s="147">
        <f ca="1">IFERROR('Cap Table'!AE28/'Cap Table'!AE29,0)</f>
        <v>0</v>
      </c>
      <c r="S88" s="193" t="s">
        <v>478</v>
      </c>
      <c r="AK88" s="149" t="s">
        <v>477</v>
      </c>
      <c r="AM88" s="147">
        <f ca="1">IFERROR('Cap Table'!AZ28/'Cap Table'!AZ29,0)</f>
        <v>0</v>
      </c>
      <c r="AN88" s="193" t="s">
        <v>478</v>
      </c>
      <c r="BF88" s="149" t="s">
        <v>477</v>
      </c>
      <c r="BH88" s="200">
        <f ca="1">IFERROR('Cap Table'!BU28/'Cap Table'!BU29,0)</f>
        <v>0</v>
      </c>
      <c r="BI88" s="193" t="s">
        <v>478</v>
      </c>
      <c r="CA88" s="149" t="s">
        <v>477</v>
      </c>
      <c r="CC88" s="147">
        <f ca="1">IFERROR('Cap Table'!CP28/'Cap Table'!CP29,0)</f>
        <v>0</v>
      </c>
      <c r="CD88" s="193" t="s">
        <v>478</v>
      </c>
      <c r="CV88" s="149" t="s">
        <v>477</v>
      </c>
      <c r="CX88" s="147">
        <f ca="1">IFERROR('Cap Table'!DK28/'Cap Table'!DK29,0)</f>
        <v>0</v>
      </c>
      <c r="CY88" s="193" t="s">
        <v>478</v>
      </c>
      <c r="DQ88" s="149" t="s">
        <v>477</v>
      </c>
      <c r="DS88" s="147">
        <f ca="1">IFERROR('Cap Table'!EF28/'Cap Table'!EF29,0)</f>
        <v>0</v>
      </c>
      <c r="DT88" s="193" t="s">
        <v>478</v>
      </c>
    </row>
    <row r="89" spans="7:124">
      <c r="G89" s="149"/>
      <c r="H89" s="149"/>
      <c r="J89" s="193"/>
      <c r="P89" s="149"/>
      <c r="R89" s="146"/>
      <c r="S89" s="193"/>
      <c r="AK89" s="149"/>
      <c r="AM89" s="146"/>
      <c r="AN89" s="193"/>
      <c r="BH89" s="146"/>
      <c r="BI89" s="193"/>
      <c r="CC89" s="146"/>
      <c r="CD89" s="193"/>
      <c r="CX89" s="146"/>
      <c r="CY89" s="193"/>
      <c r="DS89" s="146"/>
      <c r="DT89" s="193"/>
    </row>
    <row r="90" spans="7:124">
      <c r="G90" s="189" t="s">
        <v>28</v>
      </c>
      <c r="H90" s="189"/>
      <c r="I90" s="201"/>
      <c r="J90" s="193"/>
      <c r="P90" s="189" t="s">
        <v>28</v>
      </c>
      <c r="S90" s="193"/>
      <c r="AK90" s="189" t="s">
        <v>28</v>
      </c>
      <c r="AN90" s="193"/>
      <c r="BF90" s="189" t="s">
        <v>28</v>
      </c>
      <c r="BI90" s="193"/>
      <c r="CA90" s="189" t="s">
        <v>28</v>
      </c>
      <c r="CD90" s="193"/>
      <c r="CV90" s="189" t="s">
        <v>28</v>
      </c>
      <c r="CY90" s="193"/>
      <c r="DQ90" s="189" t="s">
        <v>28</v>
      </c>
      <c r="DT90" s="193"/>
    </row>
    <row r="91" spans="7:124">
      <c r="G91" s="149" t="str">
        <f>'Cap Table'!$B$31&amp;" with Preferences"</f>
        <v>Share Class with Preferences</v>
      </c>
      <c r="H91" s="149"/>
      <c r="I91" s="192" t="s">
        <v>21</v>
      </c>
      <c r="J91" s="193" t="s">
        <v>479</v>
      </c>
      <c r="P91" s="149" t="str">
        <f>'Cap Table'!$B$31&amp;" with Preferences"</f>
        <v>Share Class with Preferences</v>
      </c>
      <c r="R91" s="192" t="s">
        <v>32</v>
      </c>
      <c r="S91" s="193" t="s">
        <v>479</v>
      </c>
      <c r="AK91" s="149" t="str">
        <f>'Cap Table'!$B$31&amp;" with Preferences"</f>
        <v>Share Class with Preferences</v>
      </c>
      <c r="AM91" s="192" t="s">
        <v>32</v>
      </c>
      <c r="AN91" s="193" t="s">
        <v>479</v>
      </c>
      <c r="BF91" s="149" t="str">
        <f>'Cap Table'!$B$31&amp;" with Preferences"</f>
        <v>Share Class with Preferences</v>
      </c>
      <c r="BH91" s="192" t="s">
        <v>32</v>
      </c>
      <c r="BI91" s="193" t="s">
        <v>479</v>
      </c>
      <c r="CA91" s="149" t="str">
        <f>'Cap Table'!$B$31&amp;" with Preferences"</f>
        <v>Share Class with Preferences</v>
      </c>
      <c r="CC91" s="192" t="s">
        <v>32</v>
      </c>
      <c r="CD91" s="193" t="s">
        <v>479</v>
      </c>
      <c r="CV91" s="149" t="str">
        <f>'Cap Table'!$B$31&amp;" with Preferences"</f>
        <v>Share Class with Preferences</v>
      </c>
      <c r="CX91" s="192" t="s">
        <v>32</v>
      </c>
      <c r="CY91" s="193" t="s">
        <v>479</v>
      </c>
      <c r="DQ91" s="149" t="str">
        <f>'Cap Table'!DP31&amp;" with Preferences"</f>
        <v xml:space="preserve"> with Preferences</v>
      </c>
      <c r="DS91" s="192" t="s">
        <v>32</v>
      </c>
      <c r="DT91" s="193" t="s">
        <v>479</v>
      </c>
    </row>
    <row r="92" spans="7:124">
      <c r="G92" s="175" t="s">
        <v>480</v>
      </c>
      <c r="H92" s="175"/>
      <c r="I92" s="187" t="s">
        <v>27</v>
      </c>
      <c r="J92" s="193" t="s">
        <v>481</v>
      </c>
      <c r="P92" s="175" t="s">
        <v>480</v>
      </c>
      <c r="R92" s="202">
        <v>1</v>
      </c>
      <c r="S92" s="193" t="s">
        <v>481</v>
      </c>
      <c r="AK92" s="175" t="s">
        <v>480</v>
      </c>
      <c r="AM92" s="202">
        <v>1</v>
      </c>
      <c r="AN92" s="193" t="s">
        <v>481</v>
      </c>
      <c r="BF92" s="175" t="s">
        <v>480</v>
      </c>
      <c r="BH92" s="202">
        <v>1</v>
      </c>
      <c r="BI92" s="193" t="s">
        <v>481</v>
      </c>
      <c r="CA92" s="175" t="s">
        <v>480</v>
      </c>
      <c r="CC92" s="202">
        <v>1</v>
      </c>
      <c r="CD92" s="193" t="s">
        <v>481</v>
      </c>
      <c r="CV92" s="175" t="s">
        <v>480</v>
      </c>
      <c r="CX92" s="202">
        <v>1</v>
      </c>
      <c r="CY92" s="193" t="s">
        <v>481</v>
      </c>
      <c r="DQ92" s="175" t="s">
        <v>480</v>
      </c>
      <c r="DS92" s="202">
        <v>1</v>
      </c>
      <c r="DT92" s="193" t="s">
        <v>481</v>
      </c>
    </row>
    <row r="93" spans="7:124">
      <c r="G93" s="175" t="s">
        <v>167</v>
      </c>
      <c r="H93" s="175"/>
      <c r="I93" s="187" t="s">
        <v>27</v>
      </c>
      <c r="J93" s="193" t="s">
        <v>482</v>
      </c>
      <c r="P93" s="175" t="s">
        <v>167</v>
      </c>
      <c r="R93" s="203" t="s">
        <v>424</v>
      </c>
      <c r="S93" s="193" t="s">
        <v>482</v>
      </c>
      <c r="AK93" s="175" t="s">
        <v>167</v>
      </c>
      <c r="AM93" s="203" t="s">
        <v>424</v>
      </c>
      <c r="AN93" s="193" t="s">
        <v>482</v>
      </c>
      <c r="BF93" s="175" t="s">
        <v>167</v>
      </c>
      <c r="BH93" s="203" t="s">
        <v>424</v>
      </c>
      <c r="BI93" s="193" t="s">
        <v>482</v>
      </c>
      <c r="CA93" s="175" t="s">
        <v>167</v>
      </c>
      <c r="CC93" s="203" t="s">
        <v>424</v>
      </c>
      <c r="CD93" s="193" t="s">
        <v>482</v>
      </c>
      <c r="CV93" s="175" t="s">
        <v>167</v>
      </c>
      <c r="CX93" s="203" t="s">
        <v>424</v>
      </c>
      <c r="CY93" s="193" t="s">
        <v>482</v>
      </c>
      <c r="DQ93" s="175" t="s">
        <v>167</v>
      </c>
      <c r="DS93" s="203" t="s">
        <v>424</v>
      </c>
      <c r="DT93" s="193" t="s">
        <v>482</v>
      </c>
    </row>
    <row r="94" spans="7:124">
      <c r="G94" s="175" t="s">
        <v>168</v>
      </c>
      <c r="H94" s="175"/>
      <c r="I94" s="187" t="s">
        <v>27</v>
      </c>
      <c r="J94" s="193" t="s">
        <v>483</v>
      </c>
      <c r="P94" s="175" t="s">
        <v>168</v>
      </c>
      <c r="R94" s="204">
        <v>2</v>
      </c>
      <c r="S94" s="193" t="s">
        <v>483</v>
      </c>
      <c r="AK94" s="175" t="s">
        <v>168</v>
      </c>
      <c r="AM94" s="204">
        <v>2</v>
      </c>
      <c r="AN94" s="193" t="s">
        <v>483</v>
      </c>
      <c r="BF94" s="175" t="s">
        <v>168</v>
      </c>
      <c r="BH94" s="204">
        <v>2</v>
      </c>
      <c r="BI94" s="193" t="s">
        <v>483</v>
      </c>
      <c r="CA94" s="175" t="s">
        <v>168</v>
      </c>
      <c r="CC94" s="204">
        <v>1.5</v>
      </c>
      <c r="CD94" s="193" t="s">
        <v>483</v>
      </c>
      <c r="CV94" s="175" t="s">
        <v>168</v>
      </c>
      <c r="CX94" s="204">
        <v>2</v>
      </c>
      <c r="CY94" s="193" t="s">
        <v>483</v>
      </c>
      <c r="DQ94" s="175" t="s">
        <v>168</v>
      </c>
      <c r="DS94" s="204">
        <v>3</v>
      </c>
      <c r="DT94" s="193" t="s">
        <v>483</v>
      </c>
    </row>
    <row r="95" spans="7:124">
      <c r="G95" s="205" t="s">
        <v>484</v>
      </c>
      <c r="H95" s="205"/>
      <c r="I95" s="187"/>
      <c r="J95" s="193" t="s">
        <v>485</v>
      </c>
      <c r="P95" s="205" t="s">
        <v>484</v>
      </c>
      <c r="R95" s="204">
        <v>1</v>
      </c>
      <c r="S95" s="193" t="s">
        <v>485</v>
      </c>
      <c r="AK95" s="205" t="s">
        <v>484</v>
      </c>
      <c r="AM95" s="204">
        <v>1</v>
      </c>
      <c r="AN95" s="193" t="s">
        <v>485</v>
      </c>
      <c r="BF95" s="205" t="s">
        <v>484</v>
      </c>
      <c r="BH95" s="204">
        <v>1</v>
      </c>
      <c r="BI95" s="193" t="s">
        <v>485</v>
      </c>
      <c r="CA95" s="205" t="s">
        <v>484</v>
      </c>
      <c r="CC95" s="204">
        <v>1</v>
      </c>
      <c r="CD95" s="193" t="s">
        <v>485</v>
      </c>
      <c r="CV95" s="205" t="s">
        <v>484</v>
      </c>
      <c r="CX95" s="204">
        <v>1</v>
      </c>
      <c r="CY95" s="193" t="s">
        <v>485</v>
      </c>
      <c r="DQ95" s="205" t="s">
        <v>484</v>
      </c>
      <c r="DS95" s="204">
        <v>1</v>
      </c>
      <c r="DT95" s="193" t="s">
        <v>485</v>
      </c>
    </row>
    <row r="96" spans="7:124">
      <c r="G96" s="149"/>
      <c r="H96" s="149"/>
      <c r="J96" s="193"/>
      <c r="P96" s="149"/>
      <c r="R96" s="155"/>
      <c r="S96" s="193"/>
      <c r="AK96" s="149"/>
      <c r="AM96" s="155"/>
      <c r="AN96" s="193"/>
      <c r="BH96" s="155"/>
      <c r="BI96" s="193"/>
      <c r="CC96" s="155"/>
      <c r="CD96" s="193"/>
      <c r="CX96" s="155"/>
      <c r="CY96" s="193"/>
      <c r="DS96" s="155"/>
      <c r="DT96" s="193"/>
    </row>
    <row r="97" spans="2:124">
      <c r="G97" s="206" t="str">
        <f>'Cap Table'!$D$61&amp;"s Detail"</f>
        <v>Shares Detail</v>
      </c>
      <c r="H97" s="206"/>
      <c r="J97" s="193"/>
      <c r="P97" s="206" t="str">
        <f>'Cap Table'!$D$61&amp;"s Detail"</f>
        <v>Shares Detail</v>
      </c>
      <c r="R97" s="155"/>
      <c r="S97" s="193"/>
      <c r="AK97" s="206" t="str">
        <f>'Cap Table'!$D$61&amp;"s Detail"</f>
        <v>Shares Detail</v>
      </c>
      <c r="AM97" s="155"/>
      <c r="AN97" s="193"/>
      <c r="BF97" s="206" t="str">
        <f>'Cap Table'!$D$61&amp;"s Detail"</f>
        <v>Shares Detail</v>
      </c>
      <c r="BH97" s="155"/>
      <c r="BI97" s="193"/>
      <c r="CA97" s="206" t="str">
        <f>'Cap Table'!$D$61&amp;"s Detail"</f>
        <v>Shares Detail</v>
      </c>
      <c r="CC97" s="155"/>
      <c r="CD97" s="193"/>
      <c r="CV97" s="206" t="str">
        <f>'Cap Table'!$D$61&amp;"s Detail"</f>
        <v>Shares Detail</v>
      </c>
      <c r="CX97" s="155"/>
      <c r="CY97" s="193"/>
      <c r="DQ97" s="206" t="str">
        <f>'Cap Table'!$D$61&amp;"s Detail"</f>
        <v>Shares Detail</v>
      </c>
      <c r="DS97" s="155"/>
      <c r="DT97" s="193"/>
    </row>
    <row r="98" spans="2:124">
      <c r="G98" s="175" t="str">
        <f>"# "&amp;'Cap Table'!$D$61&amp;"s created in round"</f>
        <v># Shares created in round</v>
      </c>
      <c r="H98" s="175"/>
      <c r="I98" s="186">
        <f>'Cap Table'!I29</f>
        <v>0</v>
      </c>
      <c r="J98" s="193" t="s">
        <v>486</v>
      </c>
      <c r="P98" s="175" t="str">
        <f>"# "&amp;'Cap Table'!$D$61&amp;"s sold in round"</f>
        <v># Shares sold in round</v>
      </c>
      <c r="R98" s="186">
        <f ca="1">'Cap Table'!AA29</f>
        <v>0</v>
      </c>
      <c r="S98" s="193" t="s">
        <v>486</v>
      </c>
      <c r="AK98" s="175" t="str">
        <f>"# "&amp;'Cap Table'!$D$61&amp;"s sold in round"</f>
        <v># Shares sold in round</v>
      </c>
      <c r="AM98" s="186">
        <f ca="1">'Cap Table'!AV29</f>
        <v>0</v>
      </c>
      <c r="AN98" s="193" t="s">
        <v>486</v>
      </c>
      <c r="BF98" s="175" t="str">
        <f>"# "&amp;'Cap Table'!$D$61&amp;"s sold in round"</f>
        <v># Shares sold in round</v>
      </c>
      <c r="BH98" s="186">
        <f ca="1">'Cap Table'!BQ29</f>
        <v>0</v>
      </c>
      <c r="BI98" s="193" t="s">
        <v>486</v>
      </c>
      <c r="CA98" s="175" t="str">
        <f>"# "&amp;'Cap Table'!$D$61&amp;"s sold in round"</f>
        <v># Shares sold in round</v>
      </c>
      <c r="CC98" s="186">
        <f ca="1">'Cap Table'!CL29</f>
        <v>0</v>
      </c>
      <c r="CD98" s="193" t="s">
        <v>486</v>
      </c>
      <c r="CV98" s="175" t="str">
        <f>"# "&amp;'Cap Table'!$D$61&amp;"s sold in round"</f>
        <v># Shares sold in round</v>
      </c>
      <c r="CX98" s="186">
        <f ca="1">'Cap Table'!DG29</f>
        <v>0</v>
      </c>
      <c r="CY98" s="193" t="s">
        <v>486</v>
      </c>
      <c r="DQ98" s="175" t="str">
        <f>"# "&amp;'Cap Table'!$D$61&amp;"s sold in round"</f>
        <v># Shares sold in round</v>
      </c>
      <c r="DS98" s="186">
        <f ca="1">'Cap Table'!EB29</f>
        <v>0</v>
      </c>
      <c r="DT98" s="193" t="s">
        <v>486</v>
      </c>
    </row>
    <row r="99" spans="2:124">
      <c r="G99" s="175" t="s">
        <v>487</v>
      </c>
      <c r="H99" s="175"/>
      <c r="I99" s="186">
        <f>'Cap Table'!J29</f>
        <v>0</v>
      </c>
      <c r="J99" s="193" t="s">
        <v>488</v>
      </c>
      <c r="P99" s="175" t="s">
        <v>487</v>
      </c>
      <c r="R99" s="186">
        <f ca="1">R86+R85</f>
        <v>0</v>
      </c>
      <c r="S99" s="193" t="s">
        <v>488</v>
      </c>
      <c r="AK99" s="175" t="s">
        <v>487</v>
      </c>
      <c r="AM99" s="186">
        <f ca="1">AM86+AM85</f>
        <v>0</v>
      </c>
      <c r="AN99" s="193" t="s">
        <v>488</v>
      </c>
      <c r="BF99" s="175" t="s">
        <v>487</v>
      </c>
      <c r="BH99" s="186">
        <f ca="1">BH86+BH85</f>
        <v>0</v>
      </c>
      <c r="BI99" s="193" t="s">
        <v>488</v>
      </c>
      <c r="CA99" s="175" t="s">
        <v>487</v>
      </c>
      <c r="CC99" s="186">
        <f ca="1">CC86+CC85</f>
        <v>0</v>
      </c>
      <c r="CD99" s="193" t="s">
        <v>488</v>
      </c>
      <c r="CV99" s="175" t="s">
        <v>487</v>
      </c>
      <c r="CX99" s="186">
        <f ca="1">CX86+CX85</f>
        <v>0</v>
      </c>
      <c r="CY99" s="193" t="s">
        <v>488</v>
      </c>
      <c r="DQ99" s="175" t="s">
        <v>487</v>
      </c>
      <c r="DS99" s="186">
        <f ca="1">DS86+DS85</f>
        <v>0</v>
      </c>
      <c r="DT99" s="193" t="s">
        <v>488</v>
      </c>
    </row>
    <row r="100" spans="2:124">
      <c r="G100" s="175" t="str">
        <f>"# Fully-Diluted "&amp;'Cap Table'!$D$61&amp;"s and Options, after round"</f>
        <v># Fully-Diluted Shares and Options, after round</v>
      </c>
      <c r="H100" s="175"/>
      <c r="I100" s="186">
        <f>'Cap Table'!K29</f>
        <v>0</v>
      </c>
      <c r="J100" s="193" t="s">
        <v>489</v>
      </c>
      <c r="P100" s="175" t="str">
        <f>"# Fully-Diluted "&amp;'Cap Table'!$D$61&amp;"s and Options, after round"</f>
        <v># Fully-Diluted Shares and Options, after round</v>
      </c>
      <c r="R100" s="186">
        <f ca="1">'Cap Table'!AE29</f>
        <v>0</v>
      </c>
      <c r="S100" s="193" t="s">
        <v>489</v>
      </c>
      <c r="AK100" s="175" t="str">
        <f>"# Fully-Diluted "&amp;'Cap Table'!$D$61&amp;"s and Options, after round"</f>
        <v># Fully-Diluted Shares and Options, after round</v>
      </c>
      <c r="AM100" s="186">
        <f ca="1">'Cap Table'!AZ29</f>
        <v>0</v>
      </c>
      <c r="AN100" s="193" t="s">
        <v>489</v>
      </c>
      <c r="BF100" s="175" t="str">
        <f>"# Fully-Diluted "&amp;'Cap Table'!$D$61&amp;"s and Options, after round"</f>
        <v># Fully-Diluted Shares and Options, after round</v>
      </c>
      <c r="BH100" s="186">
        <f ca="1">'Cap Table'!BU29</f>
        <v>0</v>
      </c>
      <c r="BI100" s="193" t="s">
        <v>489</v>
      </c>
      <c r="CA100" s="175" t="str">
        <f>"# Fully-Diluted "&amp;'Cap Table'!$D$61&amp;"s and Options, after round"</f>
        <v># Fully-Diluted Shares and Options, after round</v>
      </c>
      <c r="CC100" s="186">
        <f ca="1">'Cap Table'!CP29</f>
        <v>0</v>
      </c>
      <c r="CD100" s="193" t="s">
        <v>489</v>
      </c>
      <c r="CV100" s="175" t="str">
        <f>"# Fully-Diluted "&amp;'Cap Table'!$D$61&amp;"s and Options, after round"</f>
        <v># Fully-Diluted Shares and Options, after round</v>
      </c>
      <c r="CX100" s="186">
        <f ca="1">'Cap Table'!DK29</f>
        <v>0</v>
      </c>
      <c r="CY100" s="193" t="s">
        <v>489</v>
      </c>
      <c r="DQ100" s="175" t="str">
        <f>"# Fully-Diluted "&amp;'Cap Table'!$D$61&amp;"s and Options, after round"</f>
        <v># Fully-Diluted Shares and Options, after round</v>
      </c>
      <c r="DS100" s="186">
        <f ca="1">'Cap Table'!EF29</f>
        <v>0</v>
      </c>
      <c r="DT100" s="193" t="s">
        <v>489</v>
      </c>
    </row>
    <row r="101" spans="2:124">
      <c r="G101" s="175" t="str">
        <f>"# of Ungranted Options"</f>
        <v># of Ungranted Options</v>
      </c>
      <c r="H101" s="175"/>
      <c r="I101" s="186">
        <f>'Cap Table'!K28</f>
        <v>0</v>
      </c>
      <c r="J101" s="193" t="s">
        <v>490</v>
      </c>
      <c r="P101" s="175" t="str">
        <f>"# of Ungranted Options"</f>
        <v># of Ungranted Options</v>
      </c>
      <c r="R101" s="186">
        <f ca="1">'Cap Table'!AE28</f>
        <v>0</v>
      </c>
      <c r="S101" s="193" t="s">
        <v>490</v>
      </c>
      <c r="AK101" s="175" t="str">
        <f>"# of Ungranted Options"</f>
        <v># of Ungranted Options</v>
      </c>
      <c r="AM101" s="186">
        <f ca="1">'Cap Table'!AZ28</f>
        <v>0</v>
      </c>
      <c r="AN101" s="193" t="s">
        <v>490</v>
      </c>
      <c r="BF101" s="175" t="str">
        <f>"# of Ungranted Options"</f>
        <v># of Ungranted Options</v>
      </c>
      <c r="BH101" s="186">
        <f ca="1">'Cap Table'!BU28</f>
        <v>0</v>
      </c>
      <c r="BI101" s="193" t="s">
        <v>490</v>
      </c>
      <c r="CA101" s="175" t="str">
        <f>"# of Ungranted Options"</f>
        <v># of Ungranted Options</v>
      </c>
      <c r="CC101" s="186">
        <f ca="1">'Cap Table'!CP28</f>
        <v>0</v>
      </c>
      <c r="CD101" s="193" t="s">
        <v>490</v>
      </c>
      <c r="CV101" s="175" t="str">
        <f>"# of Ungranted Options"</f>
        <v># of Ungranted Options</v>
      </c>
      <c r="CX101" s="186">
        <f ca="1">'Cap Table'!DK28</f>
        <v>0</v>
      </c>
      <c r="CY101" s="193" t="s">
        <v>490</v>
      </c>
      <c r="DQ101" s="175" t="str">
        <f>"# of Ungranted Options"</f>
        <v># of Ungranted Options</v>
      </c>
      <c r="DS101" s="186">
        <f ca="1">'Cap Table'!EF28</f>
        <v>0</v>
      </c>
      <c r="DT101" s="193" t="s">
        <v>490</v>
      </c>
    </row>
    <row r="102" spans="2:124">
      <c r="G102" s="175" t="str">
        <f>"# of "&amp;'Cap Table'!$D$61&amp;"s and Granted Options, after round"</f>
        <v># of Shares and Granted Options, after round</v>
      </c>
      <c r="H102" s="175"/>
      <c r="I102" s="186">
        <f>I100-I101</f>
        <v>0</v>
      </c>
      <c r="J102" s="193" t="s">
        <v>491</v>
      </c>
      <c r="P102" s="175" t="str">
        <f>"# of "&amp;'Cap Table'!$D$61&amp;"s and Granted Options, after round"</f>
        <v># of Shares and Granted Options, after round</v>
      </c>
      <c r="R102" s="186">
        <f ca="1">R100-R101</f>
        <v>0</v>
      </c>
      <c r="S102" s="193" t="s">
        <v>491</v>
      </c>
      <c r="AK102" s="175" t="str">
        <f>"# of "&amp;'Cap Table'!$D$61&amp;"s and Granted Options, after round"</f>
        <v># of Shares and Granted Options, after round</v>
      </c>
      <c r="AM102" s="186">
        <f ca="1">AM100-AM101</f>
        <v>0</v>
      </c>
      <c r="AN102" s="193" t="s">
        <v>491</v>
      </c>
      <c r="BF102" s="175" t="str">
        <f>"# of "&amp;'Cap Table'!$D$61&amp;"s and Granted Options, after round"</f>
        <v># of Shares and Granted Options, after round</v>
      </c>
      <c r="BH102" s="186">
        <f ca="1">BH100-BH101</f>
        <v>0</v>
      </c>
      <c r="BI102" s="193" t="s">
        <v>491</v>
      </c>
      <c r="CA102" s="175" t="str">
        <f>"# of "&amp;'Cap Table'!$D$61&amp;"s and Granted Options, after round"</f>
        <v># of Shares and Granted Options, after round</v>
      </c>
      <c r="CC102" s="186">
        <f ca="1">CC100-CC101</f>
        <v>0</v>
      </c>
      <c r="CD102" s="193" t="s">
        <v>491</v>
      </c>
      <c r="CV102" s="175" t="str">
        <f>"# of "&amp;'Cap Table'!$D$61&amp;"s and Granted Options, after round"</f>
        <v># of Shares and Granted Options, after round</v>
      </c>
      <c r="CX102" s="186">
        <f ca="1">CX100-CX101</f>
        <v>0</v>
      </c>
      <c r="CY102" s="193" t="s">
        <v>491</v>
      </c>
      <c r="DQ102" s="175" t="str">
        <f>"# of "&amp;'Cap Table'!$D$61&amp;"s and Granted Options, after round"</f>
        <v># of Shares and Granted Options, after round</v>
      </c>
      <c r="DS102" s="186">
        <f ca="1">DS100-DS101</f>
        <v>0</v>
      </c>
      <c r="DT102" s="193" t="s">
        <v>491</v>
      </c>
    </row>
    <row r="103" spans="2:124">
      <c r="BF103" s="155"/>
      <c r="BG103" s="155"/>
      <c r="CA103" s="155"/>
      <c r="CB103" s="155"/>
      <c r="CV103" s="155"/>
      <c r="CW103" s="155"/>
      <c r="DQ103" s="155"/>
      <c r="DR103" s="155"/>
    </row>
    <row r="104" spans="2:124">
      <c r="BF104" s="155"/>
      <c r="BG104" s="155"/>
      <c r="CA104" s="155"/>
      <c r="CB104" s="155"/>
      <c r="CV104" s="155"/>
      <c r="CW104" s="155"/>
      <c r="DQ104" s="155"/>
      <c r="DR104" s="155"/>
    </row>
    <row r="105" spans="2:124">
      <c r="BF105" s="155"/>
      <c r="BG105" s="155"/>
      <c r="CA105" s="155"/>
      <c r="CB105" s="155"/>
      <c r="CV105" s="155"/>
      <c r="CW105" s="155"/>
      <c r="DQ105" s="155"/>
      <c r="DR105" s="155"/>
    </row>
    <row r="106" spans="2:124">
      <c r="B106" s="207" t="s">
        <v>54</v>
      </c>
      <c r="C106" s="207"/>
      <c r="D106" s="207"/>
      <c r="BF106" s="155"/>
      <c r="BG106" s="155"/>
      <c r="CA106" s="155"/>
      <c r="CB106" s="155"/>
      <c r="CV106" s="155"/>
      <c r="CW106" s="155"/>
      <c r="DQ106" s="155"/>
      <c r="DR106" s="155"/>
    </row>
    <row r="107" spans="2:124">
      <c r="B107" s="149" t="s">
        <v>492</v>
      </c>
      <c r="C107" s="207"/>
      <c r="D107" s="207"/>
      <c r="BF107" s="155"/>
      <c r="BG107" s="155"/>
      <c r="CA107" s="155"/>
      <c r="CB107" s="155"/>
      <c r="CV107" s="155"/>
      <c r="CW107" s="155"/>
      <c r="DQ107" s="155"/>
      <c r="DR107" s="155"/>
    </row>
    <row r="108" spans="2:124">
      <c r="B108" s="208" t="s">
        <v>493</v>
      </c>
      <c r="C108" s="207"/>
      <c r="D108" s="207"/>
      <c r="BF108" s="155"/>
      <c r="BG108" s="155"/>
      <c r="CA108" s="155"/>
      <c r="CB108" s="155"/>
      <c r="CV108" s="155"/>
      <c r="CW108" s="155"/>
      <c r="DQ108" s="155"/>
      <c r="DR108" s="155"/>
    </row>
    <row r="109" spans="2:124">
      <c r="B109" s="209" t="s">
        <v>494</v>
      </c>
      <c r="C109" s="207"/>
      <c r="D109" s="207"/>
      <c r="BF109" s="155"/>
      <c r="BG109" s="155"/>
      <c r="CA109" s="155"/>
      <c r="CB109" s="155"/>
      <c r="CV109" s="155"/>
      <c r="CW109" s="155"/>
      <c r="DQ109" s="155"/>
      <c r="DR109" s="155"/>
    </row>
    <row r="110" spans="2:124">
      <c r="B110" s="209" t="s">
        <v>495</v>
      </c>
      <c r="C110" s="207"/>
      <c r="D110" s="207"/>
      <c r="BF110" s="155"/>
      <c r="BG110" s="155"/>
      <c r="CA110" s="155"/>
      <c r="CB110" s="155"/>
      <c r="CV110" s="155"/>
      <c r="CW110" s="155"/>
      <c r="DQ110" s="155"/>
      <c r="DR110" s="155"/>
    </row>
    <row r="111" spans="2:124">
      <c r="B111" s="210" t="s">
        <v>496</v>
      </c>
      <c r="C111" s="210"/>
      <c r="D111" s="210"/>
      <c r="BF111" s="155"/>
      <c r="BG111" s="155"/>
      <c r="CA111" s="155"/>
      <c r="CB111" s="155"/>
      <c r="CV111" s="155"/>
      <c r="CW111" s="155"/>
      <c r="DQ111" s="155"/>
      <c r="DR111" s="155"/>
    </row>
    <row r="112" spans="2:124">
      <c r="B112" s="210" t="s">
        <v>497</v>
      </c>
      <c r="C112" s="210"/>
      <c r="D112" s="210"/>
      <c r="BF112" s="155"/>
      <c r="BG112" s="155"/>
      <c r="CA112" s="155"/>
      <c r="CB112" s="155"/>
      <c r="CV112" s="155"/>
      <c r="CW112" s="155"/>
      <c r="DQ112" s="155"/>
      <c r="DR112" s="155"/>
    </row>
    <row r="113" spans="2:122">
      <c r="B113" s="149" t="s">
        <v>498</v>
      </c>
      <c r="C113" s="210"/>
      <c r="D113" s="210"/>
      <c r="BF113" s="155"/>
      <c r="BG113" s="155"/>
      <c r="CA113" s="155"/>
      <c r="CB113" s="155"/>
      <c r="CV113" s="155"/>
      <c r="CW113" s="155"/>
      <c r="DQ113" s="155"/>
      <c r="DR113" s="155"/>
    </row>
    <row r="114" spans="2:122">
      <c r="B114" s="149" t="s">
        <v>499</v>
      </c>
      <c r="C114" s="210"/>
      <c r="D114" s="210"/>
      <c r="BF114" s="155"/>
      <c r="BG114" s="155"/>
      <c r="CA114" s="155"/>
      <c r="CB114" s="155"/>
      <c r="CV114" s="155"/>
      <c r="CW114" s="155"/>
      <c r="DQ114" s="155"/>
      <c r="DR114" s="155"/>
    </row>
    <row r="115" spans="2:122">
      <c r="B115" s="149" t="s">
        <v>500</v>
      </c>
      <c r="C115" s="210"/>
      <c r="D115" s="210"/>
      <c r="BF115" s="155"/>
      <c r="BG115" s="155"/>
      <c r="CA115" s="155"/>
      <c r="CB115" s="155"/>
      <c r="CV115" s="155"/>
      <c r="CW115" s="155"/>
      <c r="DQ115" s="155"/>
      <c r="DR115" s="155"/>
    </row>
    <row r="116" spans="2:122">
      <c r="B116" s="149" t="s">
        <v>501</v>
      </c>
      <c r="C116" s="210"/>
      <c r="D116" s="210"/>
      <c r="BF116" s="155"/>
      <c r="BG116" s="155"/>
      <c r="CA116" s="155"/>
      <c r="CB116" s="155"/>
      <c r="CV116" s="155"/>
      <c r="CW116" s="155"/>
      <c r="DQ116" s="155"/>
      <c r="DR116" s="155"/>
    </row>
    <row r="117" spans="2:122">
      <c r="B117" s="193" t="s">
        <v>502</v>
      </c>
      <c r="BF117" s="155"/>
      <c r="BG117" s="155"/>
      <c r="CA117" s="155"/>
      <c r="CB117" s="155"/>
      <c r="CV117" s="155"/>
      <c r="CW117" s="155"/>
      <c r="DQ117" s="155"/>
      <c r="DR117" s="155"/>
    </row>
    <row r="118" spans="2:122">
      <c r="B118" s="193" t="s">
        <v>503</v>
      </c>
      <c r="BF118" s="155"/>
      <c r="BG118" s="155"/>
      <c r="CA118" s="155"/>
      <c r="CB118" s="155"/>
      <c r="CV118" s="155"/>
      <c r="CW118" s="155"/>
      <c r="DQ118" s="155"/>
      <c r="DR118" s="155"/>
    </row>
    <row r="119" spans="2:122">
      <c r="B119" s="193" t="s">
        <v>504</v>
      </c>
      <c r="BF119" s="155"/>
      <c r="BG119" s="155"/>
      <c r="CA119" s="155"/>
      <c r="CB119" s="155"/>
      <c r="CV119" s="155"/>
      <c r="CW119" s="155"/>
      <c r="DQ119" s="155"/>
      <c r="DR119" s="155"/>
    </row>
    <row r="120" spans="2:122">
      <c r="B120" s="193" t="s">
        <v>505</v>
      </c>
      <c r="BF120" s="155"/>
      <c r="BG120" s="155"/>
      <c r="CA120" s="155"/>
      <c r="CB120" s="155"/>
      <c r="CV120" s="155"/>
      <c r="CW120" s="155"/>
      <c r="DQ120" s="155"/>
      <c r="DR120" s="155"/>
    </row>
    <row r="121" spans="2:122">
      <c r="B121" s="193" t="s">
        <v>506</v>
      </c>
      <c r="BF121" s="155"/>
      <c r="BG121" s="155"/>
      <c r="CA121" s="155"/>
      <c r="CB121" s="155"/>
      <c r="CV121" s="155"/>
      <c r="CW121" s="155"/>
      <c r="DQ121" s="155"/>
      <c r="DR121" s="155"/>
    </row>
    <row r="122" spans="2:122">
      <c r="B122" s="211" t="s">
        <v>674</v>
      </c>
      <c r="BF122" s="155"/>
      <c r="BG122" s="155"/>
      <c r="CA122" s="155"/>
      <c r="CB122" s="155"/>
      <c r="CV122" s="155"/>
      <c r="CW122" s="155"/>
      <c r="DQ122" s="155"/>
      <c r="DR122" s="155"/>
    </row>
    <row r="123" spans="2:122">
      <c r="B123" s="193" t="s">
        <v>507</v>
      </c>
      <c r="BF123" s="155"/>
      <c r="BG123" s="155"/>
      <c r="CA123" s="155"/>
      <c r="CB123" s="155"/>
      <c r="CV123" s="155"/>
      <c r="CW123" s="155"/>
      <c r="DQ123" s="155"/>
      <c r="DR123" s="155"/>
    </row>
    <row r="124" spans="2:122">
      <c r="B124" s="193" t="s">
        <v>508</v>
      </c>
      <c r="BF124" s="155"/>
      <c r="BG124" s="155"/>
      <c r="CA124" s="155"/>
      <c r="CB124" s="155"/>
      <c r="CV124" s="155"/>
      <c r="CW124" s="155"/>
      <c r="DQ124" s="155"/>
      <c r="DR124" s="155"/>
    </row>
    <row r="125" spans="2:122">
      <c r="B125" s="193" t="s">
        <v>509</v>
      </c>
      <c r="BF125" s="155"/>
      <c r="BG125" s="155"/>
      <c r="CA125" s="155"/>
      <c r="CB125" s="155"/>
      <c r="CV125" s="155"/>
      <c r="CW125" s="155"/>
      <c r="DQ125" s="155"/>
      <c r="DR125" s="155"/>
    </row>
    <row r="126" spans="2:122">
      <c r="B126" s="193" t="s">
        <v>510</v>
      </c>
      <c r="BF126" s="155"/>
      <c r="BG126" s="155"/>
      <c r="CA126" s="155"/>
      <c r="CB126" s="155"/>
      <c r="CV126" s="155"/>
      <c r="CW126" s="155"/>
      <c r="DQ126" s="155"/>
      <c r="DR126" s="155"/>
    </row>
    <row r="127" spans="2:122">
      <c r="B127" s="211" t="s">
        <v>511</v>
      </c>
      <c r="BF127" s="155"/>
      <c r="BG127" s="155"/>
      <c r="CA127" s="155"/>
      <c r="CB127" s="155"/>
      <c r="CV127" s="155"/>
      <c r="CW127" s="155"/>
      <c r="DQ127" s="155"/>
      <c r="DR127" s="155"/>
    </row>
    <row r="128" spans="2:122">
      <c r="B128" s="2" t="s">
        <v>512</v>
      </c>
      <c r="BF128" s="155"/>
      <c r="BG128" s="155"/>
      <c r="CA128" s="155"/>
      <c r="CB128" s="155"/>
      <c r="CV128" s="155"/>
      <c r="CW128" s="155"/>
      <c r="DQ128" s="155"/>
      <c r="DR128" s="155"/>
    </row>
    <row r="129" spans="2:122">
      <c r="B129" s="149" t="s">
        <v>513</v>
      </c>
      <c r="BF129" s="155"/>
      <c r="BG129" s="155"/>
      <c r="CA129" s="155"/>
      <c r="CB129" s="155"/>
      <c r="CV129" s="155"/>
      <c r="CW129" s="155"/>
      <c r="DQ129" s="155"/>
      <c r="DR129" s="155"/>
    </row>
    <row r="130" spans="2:122">
      <c r="B130" s="149" t="s">
        <v>514</v>
      </c>
      <c r="BF130" s="155"/>
      <c r="BG130" s="155"/>
      <c r="CA130" s="155"/>
      <c r="CB130" s="155"/>
      <c r="CV130" s="155"/>
      <c r="CW130" s="155"/>
      <c r="DQ130" s="155"/>
      <c r="DR130" s="155"/>
    </row>
    <row r="131" spans="2:122">
      <c r="B131" s="149" t="s">
        <v>515</v>
      </c>
      <c r="BF131" s="155"/>
      <c r="BG131" s="155"/>
      <c r="CA131" s="155"/>
      <c r="CB131" s="155"/>
      <c r="CV131" s="155"/>
      <c r="CW131" s="155"/>
      <c r="DQ131" s="155"/>
      <c r="DR131" s="155"/>
    </row>
    <row r="132" spans="2:122">
      <c r="B132" s="149" t="s">
        <v>516</v>
      </c>
      <c r="BF132" s="155"/>
      <c r="BG132" s="155"/>
      <c r="CA132" s="155"/>
      <c r="CB132" s="155"/>
      <c r="CV132" s="155"/>
      <c r="CW132" s="155"/>
      <c r="DQ132" s="155"/>
      <c r="DR132" s="155"/>
    </row>
    <row r="133" spans="2:122">
      <c r="B133" s="149" t="s">
        <v>517</v>
      </c>
      <c r="BF133" s="155"/>
      <c r="BG133" s="155"/>
      <c r="CA133" s="155"/>
      <c r="CB133" s="155"/>
      <c r="CV133" s="155"/>
      <c r="CW133" s="155"/>
      <c r="DQ133" s="155"/>
      <c r="DR133" s="155"/>
    </row>
    <row r="134" spans="2:122">
      <c r="B134" s="149" t="s">
        <v>518</v>
      </c>
      <c r="S134" s="189"/>
      <c r="BF134" s="155"/>
      <c r="BG134" s="155"/>
      <c r="CA134" s="155"/>
      <c r="CB134" s="155"/>
      <c r="CV134" s="155"/>
      <c r="CW134" s="155"/>
      <c r="DQ134" s="155"/>
      <c r="DR134" s="155"/>
    </row>
    <row r="135" spans="2:122">
      <c r="B135" s="193" t="s">
        <v>519</v>
      </c>
      <c r="S135" s="189"/>
      <c r="BF135" s="155"/>
      <c r="BG135" s="155"/>
      <c r="CA135" s="155"/>
      <c r="CB135" s="155"/>
      <c r="CV135" s="155"/>
      <c r="CW135" s="155"/>
      <c r="DQ135" s="155"/>
      <c r="DR135" s="155"/>
    </row>
    <row r="136" spans="2:122">
      <c r="B136" s="193" t="s">
        <v>520</v>
      </c>
      <c r="BF136" s="155"/>
      <c r="BG136" s="155"/>
      <c r="CA136" s="155"/>
      <c r="CB136" s="155"/>
      <c r="CV136" s="155"/>
      <c r="CW136" s="155"/>
      <c r="DQ136" s="155"/>
      <c r="DR136" s="155"/>
    </row>
    <row r="137" spans="2:122">
      <c r="B137" s="175" t="s">
        <v>521</v>
      </c>
      <c r="BF137" s="155"/>
      <c r="BG137" s="155"/>
      <c r="CA137" s="155"/>
      <c r="CB137" s="155"/>
      <c r="CV137" s="155"/>
      <c r="CW137" s="155"/>
      <c r="DQ137" s="155"/>
      <c r="DR137" s="155"/>
    </row>
    <row r="138" spans="2:122">
      <c r="B138" s="149" t="s">
        <v>522</v>
      </c>
      <c r="BF138" s="155"/>
      <c r="BG138" s="155"/>
      <c r="CA138" s="155"/>
      <c r="CB138" s="155"/>
      <c r="CV138" s="155"/>
      <c r="CW138" s="155"/>
      <c r="DQ138" s="155"/>
      <c r="DR138" s="155"/>
    </row>
    <row r="139" spans="2:122">
      <c r="B139" s="149" t="s">
        <v>523</v>
      </c>
      <c r="BF139" s="155"/>
      <c r="BG139" s="155"/>
      <c r="CA139" s="155"/>
      <c r="CB139" s="155"/>
      <c r="CV139" s="155"/>
      <c r="CW139" s="155"/>
      <c r="DQ139" s="155"/>
      <c r="DR139" s="155"/>
    </row>
    <row r="140" spans="2:122">
      <c r="B140" s="149" t="s">
        <v>524</v>
      </c>
    </row>
    <row r="141" spans="2:122">
      <c r="B141" s="149" t="s">
        <v>525</v>
      </c>
    </row>
    <row r="142" spans="2:122">
      <c r="B142" s="149" t="s">
        <v>526</v>
      </c>
    </row>
    <row r="143" spans="2:122">
      <c r="B143" s="193" t="s">
        <v>527</v>
      </c>
    </row>
    <row r="144" spans="2:122">
      <c r="B144" s="193" t="s">
        <v>528</v>
      </c>
    </row>
    <row r="145" spans="2:2">
      <c r="B145" s="149" t="s">
        <v>529</v>
      </c>
    </row>
    <row r="146" spans="2:2">
      <c r="B146" s="149" t="s">
        <v>530</v>
      </c>
    </row>
    <row r="147" spans="2:2">
      <c r="B147" s="149" t="s">
        <v>677</v>
      </c>
    </row>
    <row r="148" spans="2:2">
      <c r="B148" s="149" t="s">
        <v>600</v>
      </c>
    </row>
    <row r="246" spans="22:25">
      <c r="V246" s="186">
        <f>IF('Cap Table'!$DS$93="non participating",MAX(V183,V173),IF('Cap Table'!$DS$93="participating preferred with a cap",MAX(V173,V203),MAX(V193,V173)))</f>
        <v>0</v>
      </c>
      <c r="W246" s="186">
        <f>IF('Cap Table'!$DS$93="non participating",MAX(W183,W173),IF('Cap Table'!$DS$93="participating preferred with a cap",MAX(W173,W203),MAX(W193,W173)))</f>
        <v>0</v>
      </c>
      <c r="X246" s="186">
        <f>IF('Cap Table'!$DS$93="non participating",MAX(X183,X173),IF('Cap Table'!$DS$93="participating preferred with a cap",MAX(X173,X203),MAX(X193,X173)))</f>
        <v>0</v>
      </c>
    </row>
    <row r="247" spans="22:25">
      <c r="V247" s="186">
        <f>IF('Cap Table'!$CX$93="non participating",MIN(V$155-SUM(V$246:V246),MAX(V184,V174)),IF('Cap Table'!$CX$93="participating preferred with a cap",MIN(V$155-SUM(V$246:V246),MAX(V174,V204)),MIN(V$155-SUM(V$246:V246),MAX(V194,V174))))</f>
        <v>0</v>
      </c>
      <c r="W247" s="186">
        <f>IF('Cap Table'!$CX$93="non participating",MIN(W$155-SUM(W$246:W246),MAX(W184,W174)),IF('Cap Table'!$CX$93="participating preferred with a cap",MIN(W$155-SUM(W$246:W246),MAX(W174,W204)),MIN(W$155-SUM(W$246:W246),MAX(W194,W174))))</f>
        <v>0</v>
      </c>
      <c r="X247" s="186">
        <f>IF('Cap Table'!$CX$93="non participating",MIN(X$155-SUM(X$246:X246),MAX(X184,X174)),IF('Cap Table'!$CX$93="participating preferred with a cap",MIN(X$155-SUM(X$246:X246),MAX(X174,X204)),MIN(X$155-SUM(X$246:X246),MAX(X194,X174))))</f>
        <v>0</v>
      </c>
    </row>
    <row r="248" spans="22:25">
      <c r="Y248" s="212" t="s">
        <v>531</v>
      </c>
    </row>
    <row r="249" spans="22:25">
      <c r="Y249" s="212" t="s">
        <v>532</v>
      </c>
    </row>
    <row r="250" spans="22:25">
      <c r="Y250" s="212" t="s">
        <v>533</v>
      </c>
    </row>
    <row r="251" spans="22:25">
      <c r="Y251" s="212" t="s">
        <v>534</v>
      </c>
    </row>
  </sheetData>
  <conditionalFormatting sqref="R73">
    <cfRule type="expression" dxfId="6" priority="6">
      <formula>AND(T$24&lt;&gt;"premoney",T$24&lt;&gt;"dollars invested",T$24&lt;&gt;"na")</formula>
    </cfRule>
  </conditionalFormatting>
  <conditionalFormatting sqref="AM73">
    <cfRule type="expression" dxfId="5" priority="5">
      <formula>AND(U$24&lt;&gt;"premoney",U$24&lt;&gt;"dollars invested",U$24&lt;&gt;"na")</formula>
    </cfRule>
  </conditionalFormatting>
  <conditionalFormatting sqref="BH73">
    <cfRule type="expression" dxfId="4" priority="4">
      <formula>AND(V$24&lt;&gt;"premoney",V$24&lt;&gt;"dollars invested",V$24&lt;&gt;"na")</formula>
    </cfRule>
  </conditionalFormatting>
  <conditionalFormatting sqref="CC73">
    <cfRule type="expression" dxfId="3" priority="3">
      <formula>AND(X$24&lt;&gt;"premoney",X$24&lt;&gt;"dollars invested",X$24&lt;&gt;"na")</formula>
    </cfRule>
  </conditionalFormatting>
  <conditionalFormatting sqref="CX73">
    <cfRule type="expression" dxfId="2" priority="2">
      <formula>AND(X$24&lt;&gt;"premoney",X$24&lt;&gt;"dollars invested",X$24&lt;&gt;"na")</formula>
    </cfRule>
  </conditionalFormatting>
  <conditionalFormatting sqref="DS73">
    <cfRule type="expression" dxfId="1" priority="1">
      <formula>AND(Y$24&lt;&gt;"premoney",Y$24&lt;&gt;"dollars invested",Y$24&lt;&gt;"na")</formula>
    </cfRule>
  </conditionalFormatting>
  <dataValidations count="6">
    <dataValidation type="list" allowBlank="1" showInputMessage="1" showErrorMessage="1" sqref="CW6:CW28 DR6:DR28 H6:H28 BG6:BG28 AL6:AL28 CB6:CB28 Q6:Q28">
      <formula1>$B$39:$B$43</formula1>
    </dataValidation>
    <dataValidation type="list" allowBlank="1" showInputMessage="1" showErrorMessage="1" sqref="D6:D26">
      <formula1>$B$47:$B$54</formula1>
    </dataValidation>
    <dataValidation type="list" allowBlank="1" showInputMessage="1" showErrorMessage="1" sqref="R91 CC91 CX91 BH91 AM91 DS91 I91 E6:E28">
      <formula1>$B$32:$B$35</formula1>
    </dataValidation>
    <dataValidation type="list" allowBlank="1" showInputMessage="1" showErrorMessage="1" sqref="R80 AM80 BH80 CC80 DS80 CX80">
      <formula1>"no,yes"</formula1>
    </dataValidation>
    <dataValidation type="list" allowBlank="1" showInputMessage="1" showErrorMessage="1" sqref="R79 AM79 BH79 CC79 DS79 CX79">
      <formula1>"Premoney,Percentage Ownership,Dollars Invested,na"</formula1>
    </dataValidation>
    <dataValidation type="list" allowBlank="1" showInputMessage="1" showErrorMessage="1" sqref="AM93 BH93 CC93 CX93 DS93 R93">
      <formula1>"Non Participating Preferred,Full Participating Preferred,Participating Preferred with a Cap"</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R300"/>
  <sheetViews>
    <sheetView showGridLines="0" workbookViewId="0">
      <selection activeCell="B276" sqref="B276"/>
    </sheetView>
  </sheetViews>
  <sheetFormatPr baseColWidth="10" defaultRowHeight="17" x14ac:dyDescent="0"/>
  <cols>
    <col min="1" max="1" width="4.6640625" style="2" customWidth="1"/>
    <col min="2" max="2" width="39.33203125" style="2" customWidth="1"/>
    <col min="3" max="3" width="5.6640625" style="43" customWidth="1"/>
    <col min="4" max="4" width="17" style="2" customWidth="1"/>
    <col min="5" max="12" width="17.1640625" style="2" customWidth="1"/>
    <col min="13" max="13" width="17.1640625" style="61" customWidth="1"/>
    <col min="14" max="16" width="17.1640625" style="2" customWidth="1"/>
    <col min="17" max="16384" width="10.83203125" style="2"/>
  </cols>
  <sheetData>
    <row r="2" spans="2:18">
      <c r="B2" s="213" t="s">
        <v>535</v>
      </c>
      <c r="C2" s="214"/>
      <c r="D2" s="214"/>
      <c r="E2" s="214"/>
      <c r="F2" s="214"/>
      <c r="G2" s="214"/>
      <c r="H2" s="214"/>
      <c r="I2" s="214"/>
      <c r="J2" s="214"/>
      <c r="K2" s="214"/>
      <c r="L2" s="214"/>
      <c r="M2" s="215"/>
      <c r="N2" s="214"/>
      <c r="O2" s="216"/>
      <c r="P2" s="216"/>
      <c r="Q2" s="216"/>
      <c r="R2" s="216"/>
    </row>
    <row r="3" spans="2:18">
      <c r="B3" s="216" t="s">
        <v>536</v>
      </c>
      <c r="C3" s="214"/>
      <c r="D3" s="214"/>
      <c r="E3" s="214"/>
      <c r="F3" s="214"/>
      <c r="G3" s="214"/>
      <c r="H3" s="214"/>
      <c r="I3" s="214"/>
      <c r="J3" s="214"/>
      <c r="K3" s="214"/>
      <c r="L3" s="214"/>
      <c r="M3" s="215"/>
      <c r="N3" s="214"/>
      <c r="O3" s="216"/>
      <c r="P3" s="216"/>
      <c r="Q3" s="216"/>
      <c r="R3" s="216"/>
    </row>
    <row r="4" spans="2:18">
      <c r="B4" s="216" t="s">
        <v>537</v>
      </c>
      <c r="C4" s="214"/>
      <c r="D4" s="214"/>
      <c r="E4" s="214"/>
      <c r="F4" s="214"/>
      <c r="G4" s="214"/>
      <c r="H4" s="214"/>
      <c r="I4" s="214"/>
      <c r="J4" s="214"/>
      <c r="K4" s="214"/>
      <c r="L4" s="214"/>
      <c r="M4" s="215"/>
      <c r="N4" s="214"/>
      <c r="O4" s="216"/>
      <c r="P4" s="216"/>
      <c r="Q4" s="216"/>
      <c r="R4" s="216"/>
    </row>
    <row r="5" spans="2:18">
      <c r="B5" s="216"/>
      <c r="C5" s="214"/>
      <c r="D5" s="214"/>
      <c r="E5" s="214"/>
      <c r="F5" s="214"/>
      <c r="G5" s="214"/>
      <c r="H5" s="214"/>
      <c r="I5" s="214"/>
      <c r="J5" s="214"/>
      <c r="K5" s="214"/>
      <c r="L5" s="214"/>
      <c r="M5" s="215"/>
      <c r="N5" s="214"/>
      <c r="O5" s="216"/>
      <c r="P5" s="216"/>
      <c r="Q5" s="216"/>
      <c r="R5" s="216"/>
    </row>
    <row r="6" spans="2:18">
      <c r="B6" s="216" t="s">
        <v>166</v>
      </c>
      <c r="C6" s="217" t="str">
        <f>'Cap Table'!$D$60</f>
        <v>$</v>
      </c>
      <c r="D6" s="218">
        <v>0</v>
      </c>
      <c r="E6" s="215" t="s">
        <v>538</v>
      </c>
      <c r="F6" s="214"/>
      <c r="G6" s="214"/>
      <c r="H6" s="214"/>
      <c r="J6" s="214"/>
      <c r="K6" s="214"/>
      <c r="L6" s="214"/>
      <c r="M6" s="215"/>
      <c r="N6" s="214"/>
      <c r="O6" s="216"/>
      <c r="P6" s="216"/>
      <c r="Q6" s="216"/>
      <c r="R6" s="216"/>
    </row>
    <row r="7" spans="2:18">
      <c r="B7" s="219" t="str">
        <f>"# of "&amp;'Cap Table'!D61&amp;"s and Granted options, at exit"</f>
        <v># of Shares and Granted options, at exit</v>
      </c>
      <c r="C7" s="217" t="s">
        <v>170</v>
      </c>
      <c r="D7" s="220">
        <f ca="1">'Cap Table'!DS102</f>
        <v>0</v>
      </c>
      <c r="E7" s="214"/>
      <c r="F7" s="214"/>
      <c r="G7" s="214"/>
      <c r="H7" s="214"/>
      <c r="J7" s="214"/>
      <c r="K7" s="214"/>
      <c r="L7" s="214"/>
      <c r="M7" s="215"/>
      <c r="N7" s="214"/>
      <c r="O7" s="216"/>
      <c r="P7" s="216"/>
      <c r="Q7" s="216"/>
      <c r="R7" s="216"/>
    </row>
    <row r="8" spans="2:18">
      <c r="B8" s="219" t="s">
        <v>19</v>
      </c>
      <c r="C8" s="217" t="str">
        <f>'Cap Table'!$D$60</f>
        <v>$</v>
      </c>
      <c r="D8" s="219">
        <f ca="1">IFERROR(D6/D7,0)</f>
        <v>0</v>
      </c>
      <c r="E8" s="214"/>
      <c r="F8" s="214"/>
      <c r="G8" s="214"/>
      <c r="H8" s="214"/>
      <c r="J8" s="214"/>
      <c r="K8" s="214"/>
      <c r="L8" s="214"/>
      <c r="M8" s="215"/>
      <c r="N8" s="214"/>
      <c r="O8" s="216"/>
      <c r="P8" s="216"/>
      <c r="Q8" s="216"/>
      <c r="R8" s="216"/>
    </row>
    <row r="9" spans="2:18">
      <c r="B9" s="219" t="s">
        <v>165</v>
      </c>
      <c r="C9" s="217"/>
      <c r="D9" s="221">
        <f ca="1">EDATE('Cap Table'!DS60,12)</f>
        <v>46039</v>
      </c>
      <c r="E9" s="215" t="s">
        <v>539</v>
      </c>
      <c r="F9" s="214"/>
      <c r="G9" s="214"/>
      <c r="H9" s="214"/>
      <c r="J9" s="214"/>
      <c r="K9" s="214"/>
      <c r="L9" s="214"/>
      <c r="M9" s="215"/>
      <c r="N9" s="214"/>
      <c r="O9" s="216"/>
      <c r="P9" s="216"/>
      <c r="Q9" s="216"/>
      <c r="R9" s="216"/>
    </row>
    <row r="10" spans="2:18">
      <c r="B10" s="219" t="s">
        <v>163</v>
      </c>
      <c r="C10" s="217" t="s">
        <v>50</v>
      </c>
      <c r="D10" s="222">
        <v>0.5</v>
      </c>
      <c r="E10" s="215" t="s">
        <v>540</v>
      </c>
      <c r="F10" s="214"/>
      <c r="G10" s="214"/>
      <c r="H10" s="214"/>
      <c r="J10" s="214"/>
      <c r="K10" s="214"/>
      <c r="L10" s="214"/>
      <c r="M10" s="215"/>
      <c r="N10" s="214"/>
      <c r="O10" s="216"/>
      <c r="P10" s="216"/>
      <c r="Q10" s="216"/>
      <c r="R10" s="216"/>
    </row>
    <row r="11" spans="2:18">
      <c r="B11" s="216" t="s">
        <v>210</v>
      </c>
      <c r="D11" s="223" t="s">
        <v>211</v>
      </c>
      <c r="E11" s="2" t="s">
        <v>541</v>
      </c>
      <c r="F11" s="214"/>
      <c r="G11" s="214"/>
      <c r="H11" s="214"/>
      <c r="I11" s="214"/>
      <c r="J11" s="214"/>
      <c r="K11" s="214"/>
      <c r="L11" s="214"/>
      <c r="M11" s="215"/>
      <c r="N11" s="214"/>
      <c r="O11" s="216"/>
      <c r="P11" s="216"/>
      <c r="Q11" s="216"/>
      <c r="R11" s="216"/>
    </row>
    <row r="12" spans="2:18">
      <c r="B12" s="224" t="s">
        <v>250</v>
      </c>
      <c r="D12" s="46" t="e">
        <f ca="1">IF(SUM(D136:K136)=0,"Yes","No")</f>
        <v>#DIV/0!</v>
      </c>
      <c r="E12" s="225" t="s">
        <v>542</v>
      </c>
      <c r="F12" s="226"/>
      <c r="G12" s="226"/>
      <c r="H12" s="226"/>
      <c r="J12" s="214"/>
      <c r="K12" s="214"/>
      <c r="L12" s="214"/>
      <c r="M12" s="215"/>
      <c r="N12" s="214"/>
      <c r="O12" s="216"/>
      <c r="P12" s="216"/>
      <c r="Q12" s="216"/>
      <c r="R12" s="216"/>
    </row>
    <row r="13" spans="2:18">
      <c r="B13" s="216"/>
      <c r="C13" s="214"/>
      <c r="D13" s="214"/>
      <c r="E13" s="214"/>
      <c r="F13" s="214"/>
      <c r="G13" s="214"/>
      <c r="H13" s="214"/>
      <c r="I13" s="214"/>
      <c r="J13" s="214"/>
      <c r="K13" s="214"/>
      <c r="L13" s="214"/>
      <c r="M13" s="215"/>
      <c r="N13" s="214"/>
      <c r="O13" s="216"/>
      <c r="P13" s="216"/>
      <c r="Q13" s="216"/>
      <c r="R13" s="216"/>
    </row>
    <row r="14" spans="2:18">
      <c r="B14" s="227" t="s">
        <v>188</v>
      </c>
      <c r="C14" s="214"/>
      <c r="D14" s="214"/>
      <c r="E14" s="214"/>
      <c r="F14" s="214"/>
      <c r="G14" s="214"/>
      <c r="H14" s="214"/>
      <c r="I14" s="214"/>
      <c r="J14" s="214"/>
      <c r="K14" s="214"/>
      <c r="L14" s="214"/>
      <c r="M14" s="215"/>
      <c r="N14" s="214"/>
      <c r="O14" s="216"/>
      <c r="P14" s="216"/>
      <c r="Q14" s="216"/>
      <c r="R14" s="216"/>
    </row>
    <row r="15" spans="2:18">
      <c r="B15" s="216"/>
      <c r="C15" s="214"/>
      <c r="D15" s="214"/>
      <c r="E15" s="214"/>
      <c r="F15" s="214"/>
      <c r="G15" s="214"/>
      <c r="H15" s="214"/>
      <c r="I15" s="214"/>
      <c r="J15" s="214"/>
      <c r="K15" s="214"/>
      <c r="L15" s="214"/>
      <c r="M15" s="215"/>
      <c r="N15" s="214"/>
      <c r="O15" s="216"/>
      <c r="P15" s="216"/>
      <c r="Q15" s="216"/>
      <c r="R15" s="216"/>
    </row>
    <row r="16" spans="2:18">
      <c r="B16" s="216" t="s">
        <v>184</v>
      </c>
      <c r="C16" s="214"/>
      <c r="D16" s="228" t="str">
        <f>'Cap Table'!B53</f>
        <v>E</v>
      </c>
      <c r="E16" s="228" t="str">
        <f>'Cap Table'!B52</f>
        <v>D</v>
      </c>
      <c r="F16" s="228" t="str">
        <f>'Cap Table'!B51</f>
        <v>C</v>
      </c>
      <c r="G16" s="228" t="str">
        <f>'Cap Table'!B50</f>
        <v>B</v>
      </c>
      <c r="H16" s="228" t="str">
        <f>'Cap Table'!B49</f>
        <v>A</v>
      </c>
      <c r="I16" s="228" t="str">
        <f>'Cap Table'!B48</f>
        <v>Seed</v>
      </c>
      <c r="J16" s="228" t="s">
        <v>21</v>
      </c>
      <c r="K16" s="228" t="s">
        <v>22</v>
      </c>
      <c r="L16" s="229" t="s">
        <v>20</v>
      </c>
      <c r="M16" s="230" t="s">
        <v>543</v>
      </c>
      <c r="N16" s="214"/>
      <c r="O16" s="216"/>
      <c r="P16" s="216"/>
      <c r="Q16" s="216"/>
      <c r="R16" s="216"/>
    </row>
    <row r="17" spans="2:18">
      <c r="B17" s="218" t="str">
        <f>'Cap Table'!B53</f>
        <v>E</v>
      </c>
      <c r="C17" s="217" t="s">
        <v>170</v>
      </c>
      <c r="D17" s="218">
        <f ca="1">INDIRECT("'Cap Table'!EB"&amp;ROW('Cap Table'!EB$53)-(ROW(D$17)-ROW(D17)))</f>
        <v>0</v>
      </c>
      <c r="E17" s="218">
        <v>0</v>
      </c>
      <c r="F17" s="218">
        <v>0</v>
      </c>
      <c r="G17" s="218">
        <v>0</v>
      </c>
      <c r="H17" s="218">
        <v>0</v>
      </c>
      <c r="I17" s="218">
        <v>0</v>
      </c>
      <c r="J17" s="218">
        <v>0</v>
      </c>
      <c r="K17" s="218">
        <f>'Cap Table'!EX53</f>
        <v>0</v>
      </c>
      <c r="L17" s="231">
        <f t="shared" ref="L17:L25" ca="1" si="0">SUM(D17:K17)</f>
        <v>0</v>
      </c>
      <c r="M17" s="215"/>
      <c r="N17" s="214"/>
      <c r="O17" s="216"/>
      <c r="P17" s="216"/>
      <c r="Q17" s="216"/>
      <c r="R17" s="216"/>
    </row>
    <row r="18" spans="2:18">
      <c r="B18" s="218" t="str">
        <f>'Cap Table'!B52</f>
        <v>D</v>
      </c>
      <c r="C18" s="217" t="s">
        <v>170</v>
      </c>
      <c r="D18" s="218">
        <f ca="1">INDIRECT("'Cap Table'!EB"&amp;ROW('Cap Table'!EB$53)-(ROW(D$17)-ROW(D18)))</f>
        <v>0</v>
      </c>
      <c r="E18" s="218">
        <f ca="1">'Cap Table'!CX98</f>
        <v>0</v>
      </c>
      <c r="F18" s="218">
        <v>0</v>
      </c>
      <c r="G18" s="218">
        <v>0</v>
      </c>
      <c r="H18" s="218">
        <v>0</v>
      </c>
      <c r="I18" s="218">
        <v>0</v>
      </c>
      <c r="J18" s="218">
        <v>0</v>
      </c>
      <c r="K18" s="218">
        <f>'Cap Table'!EX52</f>
        <v>0</v>
      </c>
      <c r="L18" s="231">
        <f t="shared" ca="1" si="0"/>
        <v>0</v>
      </c>
      <c r="M18" s="215"/>
      <c r="N18" s="214"/>
      <c r="O18" s="216"/>
      <c r="P18" s="216"/>
      <c r="Q18" s="216"/>
      <c r="R18" s="216"/>
    </row>
    <row r="19" spans="2:18">
      <c r="B19" s="218" t="str">
        <f>'Cap Table'!B51</f>
        <v>C</v>
      </c>
      <c r="C19" s="217" t="s">
        <v>170</v>
      </c>
      <c r="D19" s="218">
        <f ca="1">INDIRECT("'Cap Table'!EB"&amp;ROW('Cap Table'!EB$53)-(ROW(D$17)-ROW(D19)))</f>
        <v>0</v>
      </c>
      <c r="E19" s="218">
        <v>0</v>
      </c>
      <c r="F19" s="218">
        <f ca="1">'Cap Table'!CC98</f>
        <v>0</v>
      </c>
      <c r="G19" s="218">
        <v>0</v>
      </c>
      <c r="H19" s="218">
        <v>0</v>
      </c>
      <c r="I19" s="218">
        <v>0</v>
      </c>
      <c r="J19" s="218">
        <v>0</v>
      </c>
      <c r="K19" s="218">
        <f>'Cap Table'!EX51</f>
        <v>0</v>
      </c>
      <c r="L19" s="231">
        <f t="shared" ca="1" si="0"/>
        <v>0</v>
      </c>
      <c r="M19" s="215"/>
      <c r="N19" s="214"/>
      <c r="O19" s="216"/>
      <c r="P19" s="216"/>
      <c r="Q19" s="216"/>
      <c r="R19" s="216"/>
    </row>
    <row r="20" spans="2:18">
      <c r="B20" s="218" t="str">
        <f>'Cap Table'!B50</f>
        <v>B</v>
      </c>
      <c r="C20" s="217" t="s">
        <v>170</v>
      </c>
      <c r="D20" s="218">
        <f ca="1">INDIRECT("'Cap Table'!EB"&amp;ROW('Cap Table'!EB$53)-(ROW(D$17)-ROW(D20)))</f>
        <v>0</v>
      </c>
      <c r="E20" s="218">
        <v>0</v>
      </c>
      <c r="F20" s="218">
        <v>0</v>
      </c>
      <c r="G20" s="218">
        <f ca="1">'Cap Table'!BH98</f>
        <v>0</v>
      </c>
      <c r="H20" s="218">
        <v>0</v>
      </c>
      <c r="I20" s="218">
        <v>0</v>
      </c>
      <c r="J20" s="218">
        <v>0</v>
      </c>
      <c r="K20" s="218">
        <f>'Cap Table'!EW50</f>
        <v>0</v>
      </c>
      <c r="L20" s="231">
        <f t="shared" ca="1" si="0"/>
        <v>0</v>
      </c>
      <c r="M20" s="215"/>
      <c r="N20" s="214"/>
      <c r="O20" s="216"/>
      <c r="P20" s="216"/>
      <c r="Q20" s="216"/>
      <c r="R20" s="216"/>
    </row>
    <row r="21" spans="2:18">
      <c r="B21" s="218" t="str">
        <f>'Cap Table'!B49</f>
        <v>A</v>
      </c>
      <c r="C21" s="217" t="s">
        <v>170</v>
      </c>
      <c r="D21" s="218">
        <f ca="1">INDIRECT("'Cap Table'!EB"&amp;ROW('Cap Table'!EB$53)-(ROW(D$17)-ROW(D21)))</f>
        <v>0</v>
      </c>
      <c r="E21" s="218">
        <v>0</v>
      </c>
      <c r="F21" s="218">
        <v>0</v>
      </c>
      <c r="G21" s="218">
        <v>0</v>
      </c>
      <c r="H21" s="218">
        <f ca="1">'Cap Table'!AM98</f>
        <v>0</v>
      </c>
      <c r="I21" s="218">
        <v>0</v>
      </c>
      <c r="J21" s="218">
        <v>0</v>
      </c>
      <c r="K21" s="218">
        <f>'Cap Table'!EX49</f>
        <v>0</v>
      </c>
      <c r="L21" s="231">
        <f t="shared" ca="1" si="0"/>
        <v>0</v>
      </c>
      <c r="M21" s="215"/>
      <c r="N21" s="214"/>
      <c r="O21" s="216"/>
      <c r="P21" s="216"/>
      <c r="Q21" s="216"/>
      <c r="R21" s="216"/>
    </row>
    <row r="22" spans="2:18">
      <c r="B22" s="218" t="str">
        <f>'Cap Table'!B48</f>
        <v>Seed</v>
      </c>
      <c r="C22" s="217" t="s">
        <v>170</v>
      </c>
      <c r="D22" s="218">
        <f ca="1">INDIRECT("'Cap Table'!EB"&amp;ROW('Cap Table'!EB$53)-(ROW(D$17)-ROW(D22)))</f>
        <v>0</v>
      </c>
      <c r="E22" s="218">
        <v>0</v>
      </c>
      <c r="F22" s="218">
        <v>0</v>
      </c>
      <c r="G22" s="218">
        <v>0</v>
      </c>
      <c r="H22" s="218">
        <v>0</v>
      </c>
      <c r="I22" s="218">
        <f ca="1">'Cap Table'!R98</f>
        <v>0</v>
      </c>
      <c r="J22" s="218">
        <v>0</v>
      </c>
      <c r="K22" s="218">
        <f>'Cap Table'!EX48</f>
        <v>0</v>
      </c>
      <c r="L22" s="231">
        <f t="shared" ca="1" si="0"/>
        <v>0</v>
      </c>
      <c r="M22" s="215"/>
      <c r="N22" s="214"/>
      <c r="O22" s="216"/>
      <c r="P22" s="216"/>
      <c r="Q22" s="216"/>
      <c r="R22" s="216"/>
    </row>
    <row r="23" spans="2:18">
      <c r="B23" s="218" t="s">
        <v>544</v>
      </c>
      <c r="C23" s="217" t="s">
        <v>170</v>
      </c>
      <c r="D23" s="218">
        <v>0</v>
      </c>
      <c r="E23" s="218">
        <v>0</v>
      </c>
      <c r="F23" s="218">
        <v>0</v>
      </c>
      <c r="G23" s="218">
        <v>0</v>
      </c>
      <c r="H23" s="218">
        <v>0</v>
      </c>
      <c r="I23" s="218">
        <v>0</v>
      </c>
      <c r="J23" s="218">
        <f>SUMIF('Cap Table'!E6:E22,'Cap Table'!B32,'Cap Table'!I6:I22)</f>
        <v>0</v>
      </c>
      <c r="K23" s="218">
        <v>0</v>
      </c>
      <c r="L23" s="231">
        <f t="shared" si="0"/>
        <v>0</v>
      </c>
      <c r="M23" s="215"/>
      <c r="N23" s="214"/>
      <c r="O23" s="216"/>
      <c r="P23" s="216"/>
      <c r="Q23" s="216"/>
      <c r="R23" s="216"/>
    </row>
    <row r="24" spans="2:18">
      <c r="B24" s="218" t="s">
        <v>190</v>
      </c>
      <c r="C24" s="217" t="s">
        <v>170</v>
      </c>
      <c r="D24" s="231">
        <v>0</v>
      </c>
      <c r="E24" s="231">
        <v>0</v>
      </c>
      <c r="F24" s="231">
        <v>0</v>
      </c>
      <c r="G24" s="231">
        <v>0</v>
      </c>
      <c r="H24" s="231">
        <v>0</v>
      </c>
      <c r="I24" s="231">
        <v>0</v>
      </c>
      <c r="J24" s="231">
        <v>0</v>
      </c>
      <c r="K24" s="218">
        <f ca="1">SUM('Cap Table'!I99:BJ99)-'Cap Table'!DS101</f>
        <v>0</v>
      </c>
      <c r="L24" s="231">
        <f t="shared" ca="1" si="0"/>
        <v>0</v>
      </c>
      <c r="M24" s="215" t="s">
        <v>545</v>
      </c>
      <c r="N24" s="214"/>
      <c r="O24" s="216"/>
      <c r="P24" s="216"/>
      <c r="Q24" s="216"/>
      <c r="R24" s="216"/>
    </row>
    <row r="25" spans="2:18">
      <c r="B25" s="218" t="s">
        <v>29</v>
      </c>
      <c r="C25" s="217" t="s">
        <v>170</v>
      </c>
      <c r="D25" s="231">
        <v>0</v>
      </c>
      <c r="E25" s="231">
        <v>0</v>
      </c>
      <c r="F25" s="231">
        <v>0</v>
      </c>
      <c r="G25" s="231">
        <v>0</v>
      </c>
      <c r="H25" s="231">
        <v>0</v>
      </c>
      <c r="I25" s="231">
        <v>0</v>
      </c>
      <c r="J25" s="231">
        <v>0</v>
      </c>
      <c r="K25" s="218">
        <v>0</v>
      </c>
      <c r="L25" s="231">
        <f t="shared" si="0"/>
        <v>0</v>
      </c>
      <c r="M25" s="215" t="s">
        <v>546</v>
      </c>
      <c r="N25" s="214"/>
      <c r="O25" s="216"/>
      <c r="P25" s="216"/>
      <c r="Q25" s="216"/>
      <c r="R25" s="216"/>
    </row>
    <row r="26" spans="2:18">
      <c r="B26" s="216"/>
      <c r="C26" s="214"/>
      <c r="D26" s="231"/>
      <c r="E26" s="231"/>
      <c r="F26" s="231"/>
      <c r="G26" s="231"/>
      <c r="H26" s="231"/>
      <c r="I26" s="231"/>
      <c r="J26" s="231"/>
      <c r="K26" s="231"/>
      <c r="L26" s="231"/>
      <c r="M26" s="215"/>
      <c r="N26" s="214"/>
      <c r="O26" s="216"/>
      <c r="P26" s="216"/>
      <c r="Q26" s="216"/>
      <c r="R26" s="216"/>
    </row>
    <row r="27" spans="2:18">
      <c r="B27" s="216" t="s">
        <v>189</v>
      </c>
      <c r="C27" s="217" t="s">
        <v>170</v>
      </c>
      <c r="D27" s="232">
        <f t="shared" ref="D27:L27" ca="1" si="1">SUM(D17:D25)</f>
        <v>0</v>
      </c>
      <c r="E27" s="232">
        <f t="shared" ca="1" si="1"/>
        <v>0</v>
      </c>
      <c r="F27" s="232">
        <f t="shared" ca="1" si="1"/>
        <v>0</v>
      </c>
      <c r="G27" s="232">
        <f t="shared" ca="1" si="1"/>
        <v>0</v>
      </c>
      <c r="H27" s="232">
        <f t="shared" ca="1" si="1"/>
        <v>0</v>
      </c>
      <c r="I27" s="232">
        <f t="shared" ca="1" si="1"/>
        <v>0</v>
      </c>
      <c r="J27" s="232">
        <f t="shared" si="1"/>
        <v>0</v>
      </c>
      <c r="K27" s="232">
        <f t="shared" ca="1" si="1"/>
        <v>0</v>
      </c>
      <c r="L27" s="232">
        <f t="shared" ca="1" si="1"/>
        <v>0</v>
      </c>
      <c r="M27" s="215"/>
      <c r="N27" s="214"/>
      <c r="O27" s="216"/>
      <c r="P27" s="216"/>
      <c r="Q27" s="216"/>
      <c r="R27" s="216"/>
    </row>
    <row r="28" spans="2:18">
      <c r="B28" s="216" t="s">
        <v>194</v>
      </c>
      <c r="C28" s="217" t="s">
        <v>50</v>
      </c>
      <c r="D28" s="233" t="e">
        <f t="shared" ref="D28:L28" ca="1" si="2">D27/$L27</f>
        <v>#DIV/0!</v>
      </c>
      <c r="E28" s="233" t="e">
        <f t="shared" ca="1" si="2"/>
        <v>#DIV/0!</v>
      </c>
      <c r="F28" s="233" t="e">
        <f t="shared" ca="1" si="2"/>
        <v>#DIV/0!</v>
      </c>
      <c r="G28" s="233" t="e">
        <f t="shared" ca="1" si="2"/>
        <v>#DIV/0!</v>
      </c>
      <c r="H28" s="233" t="e">
        <f t="shared" ca="1" si="2"/>
        <v>#DIV/0!</v>
      </c>
      <c r="I28" s="233" t="e">
        <f t="shared" ca="1" si="2"/>
        <v>#DIV/0!</v>
      </c>
      <c r="J28" s="233" t="e">
        <f t="shared" ca="1" si="2"/>
        <v>#DIV/0!</v>
      </c>
      <c r="K28" s="233" t="e">
        <f t="shared" ca="1" si="2"/>
        <v>#DIV/0!</v>
      </c>
      <c r="L28" s="233" t="e">
        <f t="shared" ca="1" si="2"/>
        <v>#DIV/0!</v>
      </c>
      <c r="M28" s="215"/>
      <c r="N28" s="214"/>
      <c r="O28" s="216"/>
      <c r="P28" s="216"/>
      <c r="Q28" s="216"/>
      <c r="R28" s="216"/>
    </row>
    <row r="29" spans="2:18">
      <c r="B29" s="216"/>
      <c r="C29" s="214"/>
      <c r="D29" s="214"/>
      <c r="E29" s="214"/>
      <c r="F29" s="214"/>
      <c r="G29" s="214"/>
      <c r="H29" s="214"/>
      <c r="I29" s="214"/>
      <c r="J29" s="214"/>
      <c r="K29" s="214"/>
      <c r="L29" s="214"/>
      <c r="M29" s="215"/>
      <c r="N29" s="214"/>
      <c r="O29" s="216"/>
      <c r="P29" s="216"/>
      <c r="Q29" s="216"/>
      <c r="R29" s="216"/>
    </row>
    <row r="30" spans="2:18">
      <c r="B30" s="216" t="s">
        <v>185</v>
      </c>
      <c r="C30" s="217" t="str">
        <f>'Cap Table'!$D$60</f>
        <v>$</v>
      </c>
      <c r="D30" s="234">
        <f ca="1">IF('Cap Table'!DS62=0,'Cap Table'!DS76,'Cap Table'!DS62)</f>
        <v>0</v>
      </c>
      <c r="E30" s="234">
        <f ca="1">IF('Cap Table'!CX62=0,'Cap Table'!CX76,'Cap Table'!CX62)</f>
        <v>0</v>
      </c>
      <c r="F30" s="234">
        <f ca="1">IF('Cap Table'!CC62=0,'Cap Table'!CC76,'Cap Table'!CC62)</f>
        <v>0</v>
      </c>
      <c r="G30" s="234">
        <f ca="1">IF('Cap Table'!BH62=0,'Cap Table'!BH76,'Cap Table'!BH62)</f>
        <v>0</v>
      </c>
      <c r="H30" s="234">
        <f ca="1">IF('Cap Table'!AM62=0,'Cap Table'!AM76,'Cap Table'!AM62)</f>
        <v>0</v>
      </c>
      <c r="I30" s="235">
        <f ca="1">IF('Cap Table'!R62=0,'Cap Table'!R76,'Cap Table'!R62)</f>
        <v>0</v>
      </c>
      <c r="J30" s="235">
        <f>'Cap Table'!I62</f>
        <v>0</v>
      </c>
      <c r="K30" s="235">
        <v>0</v>
      </c>
      <c r="L30" s="235">
        <f ca="1">IFERROR(SUMPRODUCT(D30:K30,D31:K31)/L31,0)</f>
        <v>0</v>
      </c>
      <c r="M30" s="215" t="s">
        <v>547</v>
      </c>
      <c r="N30" s="214"/>
      <c r="O30" s="216"/>
      <c r="P30" s="216"/>
      <c r="Q30" s="216"/>
      <c r="R30" s="216"/>
    </row>
    <row r="31" spans="2:18">
      <c r="B31" s="216" t="s">
        <v>191</v>
      </c>
      <c r="C31" s="217" t="str">
        <f>'Cap Table'!$D$60</f>
        <v>$</v>
      </c>
      <c r="D31" s="236">
        <f ca="1">IF(D30&lt;&gt;0,'Cap Table'!DS65+'Cap Table'!DS68-'Cap Table'!DS66,0)</f>
        <v>0</v>
      </c>
      <c r="E31" s="236">
        <f ca="1">IF(E30&lt;&gt;0,'Cap Table'!CX65+'Cap Table'!CX68-'Cap Table'!CX66,0)</f>
        <v>0</v>
      </c>
      <c r="F31" s="236">
        <f ca="1">IF(F30&lt;&gt;0,'Cap Table'!CC65+'Cap Table'!CC68-'Cap Table'!CC66,0)</f>
        <v>0</v>
      </c>
      <c r="G31" s="236">
        <f ca="1">IF(G30&lt;&gt;0,'Cap Table'!BH65+'Cap Table'!BH68-'Cap Table'!BH66,0)</f>
        <v>0</v>
      </c>
      <c r="H31" s="236">
        <f ca="1">IF(H30&lt;&gt;0,'Cap Table'!AM65+'Cap Table'!AM68-'Cap Table'!AM66,0)</f>
        <v>0</v>
      </c>
      <c r="I31" s="236">
        <f ca="1">IF(I30&lt;&gt;0,'Cap Table'!R65+'Cap Table'!R68-'Cap Table'!R66,0)</f>
        <v>0</v>
      </c>
      <c r="J31" s="236">
        <f>IF(J30&lt;&gt;0,'Cap Table'!I65+'Cap Table'!I68-'Cap Table'!I66,0)</f>
        <v>0</v>
      </c>
      <c r="K31" s="236">
        <f t="shared" ref="K31" ca="1" si="3">IFERROR(K30*K27,0)</f>
        <v>0</v>
      </c>
      <c r="L31" s="237">
        <f ca="1">SUM(D31:K31)</f>
        <v>0</v>
      </c>
      <c r="M31" s="215" t="s">
        <v>547</v>
      </c>
      <c r="N31" s="214"/>
      <c r="O31" s="216"/>
      <c r="P31" s="216"/>
      <c r="Q31" s="216"/>
      <c r="R31" s="216"/>
    </row>
    <row r="32" spans="2:18">
      <c r="B32" s="227"/>
      <c r="C32" s="214"/>
      <c r="D32" s="214"/>
      <c r="E32" s="214"/>
      <c r="F32" s="214"/>
      <c r="G32" s="214"/>
      <c r="I32" s="214"/>
      <c r="J32" s="214"/>
      <c r="K32" s="214"/>
      <c r="L32" s="231"/>
      <c r="M32" s="215"/>
      <c r="N32" s="214"/>
      <c r="O32" s="216"/>
      <c r="P32" s="216"/>
      <c r="Q32" s="216"/>
      <c r="R32" s="216"/>
    </row>
    <row r="33" spans="2:18">
      <c r="B33" s="227" t="s">
        <v>28</v>
      </c>
      <c r="C33" s="227"/>
      <c r="D33" s="214"/>
      <c r="E33" s="214"/>
      <c r="F33" s="214"/>
      <c r="G33" s="214"/>
      <c r="H33" s="214"/>
      <c r="I33" s="238"/>
      <c r="J33" s="216"/>
      <c r="K33" s="216"/>
      <c r="L33" s="216"/>
      <c r="M33" s="215" t="s">
        <v>548</v>
      </c>
      <c r="N33" s="216"/>
      <c r="O33" s="216"/>
      <c r="P33" s="216"/>
    </row>
    <row r="34" spans="2:18">
      <c r="B34" s="216" t="s">
        <v>28</v>
      </c>
      <c r="C34" s="217" t="str">
        <f>'Cap Table'!$D$60</f>
        <v>$</v>
      </c>
      <c r="D34" s="236">
        <f ca="1">(D31+'Cap Table'!DS66)*'Cap Table'!DS92</f>
        <v>0</v>
      </c>
      <c r="E34" s="236">
        <f ca="1">(E31+'Cap Table'!CX66)*'Cap Table'!CX92</f>
        <v>0</v>
      </c>
      <c r="F34" s="236">
        <f ca="1">(F31+'Cap Table'!CC66)*'Cap Table'!CC92</f>
        <v>0</v>
      </c>
      <c r="G34" s="236">
        <f ca="1">(G31+'Cap Table'!BH66)*'Cap Table'!BH92</f>
        <v>0</v>
      </c>
      <c r="H34" s="236">
        <f ca="1">(H31+'Cap Table'!AM66)*'Cap Table'!AM92</f>
        <v>0</v>
      </c>
      <c r="I34" s="236">
        <f ca="1">(I31+'Cap Table'!R66)*'Cap Table'!R92</f>
        <v>0</v>
      </c>
      <c r="J34" s="236">
        <f t="shared" ref="J34:K34" si="4">J31</f>
        <v>0</v>
      </c>
      <c r="K34" s="236">
        <f t="shared" ca="1" si="4"/>
        <v>0</v>
      </c>
      <c r="L34" s="237">
        <f ca="1">SUM(D34:G34)</f>
        <v>0</v>
      </c>
      <c r="M34" s="215" t="s">
        <v>549</v>
      </c>
      <c r="N34" s="216"/>
      <c r="O34" s="216"/>
      <c r="P34" s="216"/>
    </row>
    <row r="35" spans="2:18">
      <c r="B35" s="219" t="s">
        <v>167</v>
      </c>
      <c r="C35" s="217" t="s">
        <v>301</v>
      </c>
      <c r="D35" s="239" t="str">
        <f>'Cap Table'!DS93</f>
        <v>Non Participating Preferred</v>
      </c>
      <c r="E35" s="239" t="str">
        <f>'Cap Table'!CX93</f>
        <v>Non Participating Preferred</v>
      </c>
      <c r="F35" s="239" t="str">
        <f>'Cap Table'!CC93</f>
        <v>Non Participating Preferred</v>
      </c>
      <c r="G35" s="239" t="str">
        <f>'Cap Table'!BH93</f>
        <v>Non Participating Preferred</v>
      </c>
      <c r="H35" s="239" t="str">
        <f>'Cap Table'!AM93</f>
        <v>Non Participating Preferred</v>
      </c>
      <c r="I35" s="239" t="str">
        <f>'Cap Table'!R93</f>
        <v>Non Participating Preferred</v>
      </c>
      <c r="J35" s="240" t="s">
        <v>27</v>
      </c>
      <c r="K35" s="240" t="s">
        <v>27</v>
      </c>
      <c r="M35" s="230" t="s">
        <v>550</v>
      </c>
    </row>
    <row r="36" spans="2:18">
      <c r="B36" s="219" t="s">
        <v>168</v>
      </c>
      <c r="C36" s="217" t="s">
        <v>170</v>
      </c>
      <c r="D36" s="241">
        <f>'Cap Table'!DS94</f>
        <v>3</v>
      </c>
      <c r="E36" s="241">
        <f>'Cap Table'!CX94</f>
        <v>2</v>
      </c>
      <c r="F36" s="241">
        <f>'Cap Table'!CC94</f>
        <v>1.5</v>
      </c>
      <c r="G36" s="241">
        <f>'Cap Table'!BH94</f>
        <v>2</v>
      </c>
      <c r="H36" s="241">
        <f>'Cap Table'!AM94</f>
        <v>2</v>
      </c>
      <c r="I36" s="241">
        <f>'Cap Table'!R94</f>
        <v>2</v>
      </c>
      <c r="J36" s="240" t="s">
        <v>27</v>
      </c>
      <c r="K36" s="242" t="s">
        <v>27</v>
      </c>
      <c r="M36" s="215" t="s">
        <v>551</v>
      </c>
    </row>
    <row r="37" spans="2:18">
      <c r="B37" s="216"/>
      <c r="C37" s="214"/>
      <c r="D37" s="214"/>
      <c r="E37" s="214"/>
      <c r="F37" s="214"/>
      <c r="G37" s="214"/>
      <c r="H37" s="214"/>
      <c r="I37" s="214"/>
      <c r="J37" s="214"/>
      <c r="K37" s="214"/>
      <c r="L37" s="214"/>
      <c r="N37" s="214"/>
      <c r="O37" s="214"/>
      <c r="P37" s="214"/>
      <c r="Q37" s="216"/>
      <c r="R37" s="216"/>
    </row>
    <row r="38" spans="2:18">
      <c r="B38" s="216"/>
      <c r="C38" s="214"/>
      <c r="D38" s="214"/>
      <c r="E38" s="214"/>
      <c r="F38" s="214"/>
      <c r="G38" s="214"/>
      <c r="H38" s="214"/>
      <c r="I38" s="214"/>
      <c r="J38" s="214"/>
      <c r="K38" s="214"/>
      <c r="L38" s="214"/>
      <c r="M38" s="214"/>
      <c r="N38" s="214"/>
      <c r="O38" s="214"/>
      <c r="P38" s="214"/>
      <c r="Q38" s="216"/>
      <c r="R38" s="216"/>
    </row>
    <row r="39" spans="2:18" s="11" customFormat="1">
      <c r="B39" s="243" t="s">
        <v>195</v>
      </c>
      <c r="C39" s="244"/>
      <c r="D39" s="244"/>
      <c r="E39" s="244"/>
      <c r="F39" s="244"/>
      <c r="G39" s="244"/>
      <c r="H39" s="244"/>
      <c r="I39" s="244"/>
      <c r="J39" s="244"/>
      <c r="K39" s="244"/>
      <c r="L39" s="244"/>
      <c r="M39" s="244"/>
      <c r="N39" s="244"/>
      <c r="O39" s="244"/>
      <c r="P39" s="245"/>
      <c r="Q39" s="245"/>
      <c r="R39" s="245"/>
    </row>
    <row r="40" spans="2:18">
      <c r="D40" s="43"/>
      <c r="E40" s="43"/>
      <c r="F40" s="43"/>
      <c r="G40" s="43"/>
      <c r="H40" s="43"/>
      <c r="I40" s="43"/>
      <c r="J40" s="43"/>
      <c r="K40" s="43"/>
      <c r="L40" s="43"/>
      <c r="M40" s="43"/>
      <c r="N40" s="43"/>
      <c r="O40" s="43"/>
      <c r="P40" s="216"/>
    </row>
    <row r="41" spans="2:18">
      <c r="B41" s="216" t="s">
        <v>166</v>
      </c>
      <c r="C41" s="217" t="str">
        <f>'Cap Table'!$D$60</f>
        <v>$</v>
      </c>
      <c r="D41" s="218">
        <f>E41*(1-$D10)</f>
        <v>0</v>
      </c>
      <c r="E41" s="218">
        <f t="shared" ref="E41:G41" si="5">F41*(1-$D10)</f>
        <v>0</v>
      </c>
      <c r="F41" s="218">
        <f t="shared" si="5"/>
        <v>0</v>
      </c>
      <c r="G41" s="218">
        <f t="shared" si="5"/>
        <v>0</v>
      </c>
      <c r="H41" s="218">
        <f>D6</f>
        <v>0</v>
      </c>
      <c r="I41" s="218">
        <f>H41*(1+$D10)</f>
        <v>0</v>
      </c>
      <c r="J41" s="218">
        <f>I41*(1+$D10)</f>
        <v>0</v>
      </c>
      <c r="K41" s="218">
        <f>J41*(1+$D10)</f>
        <v>0</v>
      </c>
      <c r="L41" s="218">
        <f>K41*(1+$D10)</f>
        <v>0</v>
      </c>
      <c r="M41" s="230" t="s">
        <v>552</v>
      </c>
      <c r="N41" s="214"/>
      <c r="O41" s="216"/>
      <c r="P41" s="216"/>
    </row>
    <row r="42" spans="2:18">
      <c r="B42" s="216" t="s">
        <v>189</v>
      </c>
      <c r="C42" s="43" t="s">
        <v>170</v>
      </c>
      <c r="D42" s="6">
        <f t="shared" ref="D42:L42" ca="1" si="6">$D7</f>
        <v>0</v>
      </c>
      <c r="E42" s="6">
        <f t="shared" ca="1" si="6"/>
        <v>0</v>
      </c>
      <c r="F42" s="6">
        <f t="shared" ca="1" si="6"/>
        <v>0</v>
      </c>
      <c r="G42" s="6">
        <f t="shared" ca="1" si="6"/>
        <v>0</v>
      </c>
      <c r="H42" s="6">
        <f t="shared" ca="1" si="6"/>
        <v>0</v>
      </c>
      <c r="I42" s="6">
        <f t="shared" ca="1" si="6"/>
        <v>0</v>
      </c>
      <c r="J42" s="6">
        <f t="shared" ca="1" si="6"/>
        <v>0</v>
      </c>
      <c r="K42" s="6">
        <f t="shared" ca="1" si="6"/>
        <v>0</v>
      </c>
      <c r="L42" s="6">
        <f t="shared" ca="1" si="6"/>
        <v>0</v>
      </c>
      <c r="M42" s="215" t="s">
        <v>553</v>
      </c>
      <c r="N42" s="214"/>
      <c r="O42" s="216"/>
    </row>
    <row r="43" spans="2:18">
      <c r="B43" s="216" t="s">
        <v>164</v>
      </c>
      <c r="C43" s="214" t="s">
        <v>170</v>
      </c>
      <c r="D43" s="214">
        <f ca="1">IFERROR(D41/$L31,0)</f>
        <v>0</v>
      </c>
      <c r="E43" s="214">
        <f t="shared" ref="E43:L43" ca="1" si="7">IFERROR(E41/$L31,0)</f>
        <v>0</v>
      </c>
      <c r="F43" s="214">
        <f t="shared" ca="1" si="7"/>
        <v>0</v>
      </c>
      <c r="G43" s="214">
        <f t="shared" ca="1" si="7"/>
        <v>0</v>
      </c>
      <c r="H43" s="214">
        <f t="shared" ca="1" si="7"/>
        <v>0</v>
      </c>
      <c r="I43" s="214">
        <f t="shared" ca="1" si="7"/>
        <v>0</v>
      </c>
      <c r="J43" s="214">
        <f t="shared" ca="1" si="7"/>
        <v>0</v>
      </c>
      <c r="K43" s="214">
        <f t="shared" ca="1" si="7"/>
        <v>0</v>
      </c>
      <c r="L43" s="214">
        <f t="shared" ca="1" si="7"/>
        <v>0</v>
      </c>
      <c r="M43" s="215" t="s">
        <v>554</v>
      </c>
      <c r="N43" s="214"/>
      <c r="O43" s="216"/>
    </row>
    <row r="44" spans="2:18">
      <c r="B44" s="216" t="s">
        <v>19</v>
      </c>
      <c r="C44" s="217" t="str">
        <f>'Cap Table'!$D$60</f>
        <v>$</v>
      </c>
      <c r="D44" s="246">
        <f t="shared" ref="D44:L44" ca="1" si="8">IFERROR(D41/D42,0)</f>
        <v>0</v>
      </c>
      <c r="E44" s="246">
        <f t="shared" ca="1" si="8"/>
        <v>0</v>
      </c>
      <c r="F44" s="246">
        <f t="shared" ca="1" si="8"/>
        <v>0</v>
      </c>
      <c r="G44" s="246">
        <f t="shared" ca="1" si="8"/>
        <v>0</v>
      </c>
      <c r="H44" s="246">
        <f t="shared" ca="1" si="8"/>
        <v>0</v>
      </c>
      <c r="I44" s="246">
        <f t="shared" ca="1" si="8"/>
        <v>0</v>
      </c>
      <c r="J44" s="246">
        <f t="shared" ca="1" si="8"/>
        <v>0</v>
      </c>
      <c r="K44" s="246">
        <f t="shared" ca="1" si="8"/>
        <v>0</v>
      </c>
      <c r="L44" s="246">
        <f t="shared" ca="1" si="8"/>
        <v>0</v>
      </c>
      <c r="M44" s="215" t="s">
        <v>555</v>
      </c>
      <c r="N44" s="214"/>
      <c r="O44" s="216"/>
    </row>
    <row r="45" spans="2:18">
      <c r="B45" s="216"/>
      <c r="M45" s="215"/>
      <c r="N45" s="214"/>
      <c r="O45" s="216"/>
    </row>
    <row r="46" spans="2:18" s="11" customFormat="1">
      <c r="B46" s="247" t="str">
        <f>D$16&amp;" Round Shareholders"</f>
        <v>E Round Shareholders</v>
      </c>
      <c r="C46" s="93"/>
      <c r="D46" s="248"/>
      <c r="E46" s="248"/>
      <c r="F46" s="248"/>
      <c r="G46" s="248"/>
      <c r="H46" s="248"/>
      <c r="I46" s="248"/>
      <c r="J46" s="248"/>
      <c r="K46" s="248"/>
      <c r="L46" s="248"/>
      <c r="M46" s="248"/>
      <c r="N46" s="244"/>
      <c r="O46" s="245"/>
    </row>
    <row r="47" spans="2:18" s="11" customFormat="1">
      <c r="B47" s="245" t="s">
        <v>199</v>
      </c>
      <c r="C47" s="249" t="str">
        <f>'Cap Table'!$D$60</f>
        <v>$</v>
      </c>
      <c r="D47" s="6">
        <f>D41</f>
        <v>0</v>
      </c>
      <c r="E47" s="6">
        <f t="shared" ref="E47:L47" si="9">E41</f>
        <v>0</v>
      </c>
      <c r="F47" s="6">
        <f t="shared" si="9"/>
        <v>0</v>
      </c>
      <c r="G47" s="6">
        <f t="shared" si="9"/>
        <v>0</v>
      </c>
      <c r="H47" s="6">
        <f t="shared" si="9"/>
        <v>0</v>
      </c>
      <c r="I47" s="6">
        <f t="shared" si="9"/>
        <v>0</v>
      </c>
      <c r="J47" s="6">
        <f t="shared" si="9"/>
        <v>0</v>
      </c>
      <c r="K47" s="6">
        <f t="shared" si="9"/>
        <v>0</v>
      </c>
      <c r="L47" s="6">
        <f t="shared" si="9"/>
        <v>0</v>
      </c>
      <c r="M47" s="215" t="s">
        <v>556</v>
      </c>
    </row>
    <row r="48" spans="2:18" s="11" customFormat="1">
      <c r="B48" s="245" t="s">
        <v>204</v>
      </c>
      <c r="C48" s="93" t="s">
        <v>170</v>
      </c>
      <c r="D48" s="6">
        <f t="shared" ref="D48:L48" ca="1" si="10">D42</f>
        <v>0</v>
      </c>
      <c r="E48" s="6">
        <f t="shared" ca="1" si="10"/>
        <v>0</v>
      </c>
      <c r="F48" s="6">
        <f t="shared" ca="1" si="10"/>
        <v>0</v>
      </c>
      <c r="G48" s="6">
        <f t="shared" ca="1" si="10"/>
        <v>0</v>
      </c>
      <c r="H48" s="6">
        <f t="shared" ca="1" si="10"/>
        <v>0</v>
      </c>
      <c r="I48" s="6">
        <f t="shared" ca="1" si="10"/>
        <v>0</v>
      </c>
      <c r="J48" s="6">
        <f t="shared" ca="1" si="10"/>
        <v>0</v>
      </c>
      <c r="K48" s="6">
        <f t="shared" ca="1" si="10"/>
        <v>0</v>
      </c>
      <c r="L48" s="6">
        <f t="shared" ca="1" si="10"/>
        <v>0</v>
      </c>
      <c r="M48" s="215" t="s">
        <v>557</v>
      </c>
    </row>
    <row r="49" spans="2:13" s="11" customFormat="1">
      <c r="B49" s="245" t="s">
        <v>197</v>
      </c>
      <c r="C49" s="249" t="str">
        <f>'Cap Table'!$D$60</f>
        <v>$</v>
      </c>
      <c r="D49" s="250" t="e">
        <f ca="1">IF($D$11="no",MAX(0,D$41)/D$42*D52,IF($D$34="full participating preferred",MAX(0,D$41-D$156)/D$42*D52,MAX(0,D$41)/D$42*D52))</f>
        <v>#DIV/0!</v>
      </c>
      <c r="E49" s="250" t="e">
        <f t="shared" ref="E49:L49" ca="1" si="11">IF($D$11="no",MAX(0,E$41)/E$42*E52,IF($D$34="full participating preferred",MAX(0,E$41-E$156)/E$42*E52,MAX(0,E$41)/E$42*E52))</f>
        <v>#DIV/0!</v>
      </c>
      <c r="F49" s="250" t="e">
        <f t="shared" ca="1" si="11"/>
        <v>#DIV/0!</v>
      </c>
      <c r="G49" s="250" t="e">
        <f t="shared" ca="1" si="11"/>
        <v>#DIV/0!</v>
      </c>
      <c r="H49" s="250" t="e">
        <f t="shared" ca="1" si="11"/>
        <v>#DIV/0!</v>
      </c>
      <c r="I49" s="250" t="e">
        <f t="shared" ca="1" si="11"/>
        <v>#DIV/0!</v>
      </c>
      <c r="J49" s="250" t="e">
        <f t="shared" ca="1" si="11"/>
        <v>#DIV/0!</v>
      </c>
      <c r="K49" s="250" t="e">
        <f t="shared" ca="1" si="11"/>
        <v>#DIV/0!</v>
      </c>
      <c r="L49" s="250" t="e">
        <f t="shared" ca="1" si="11"/>
        <v>#DIV/0!</v>
      </c>
      <c r="M49" s="248" t="s">
        <v>558</v>
      </c>
    </row>
    <row r="50" spans="2:13" s="11" customFormat="1">
      <c r="B50" s="245" t="s">
        <v>196</v>
      </c>
      <c r="C50" s="249" t="str">
        <f>'Cap Table'!$D$60</f>
        <v>$</v>
      </c>
      <c r="D50" s="68">
        <f ca="1">$D34</f>
        <v>0</v>
      </c>
      <c r="E50" s="68">
        <f t="shared" ref="E50:L50" ca="1" si="12">$D34</f>
        <v>0</v>
      </c>
      <c r="F50" s="68">
        <f t="shared" ca="1" si="12"/>
        <v>0</v>
      </c>
      <c r="G50" s="68">
        <f t="shared" ca="1" si="12"/>
        <v>0</v>
      </c>
      <c r="H50" s="68">
        <f t="shared" ca="1" si="12"/>
        <v>0</v>
      </c>
      <c r="I50" s="68">
        <f t="shared" ca="1" si="12"/>
        <v>0</v>
      </c>
      <c r="J50" s="68">
        <f t="shared" ca="1" si="12"/>
        <v>0</v>
      </c>
      <c r="K50" s="68">
        <f t="shared" ca="1" si="12"/>
        <v>0</v>
      </c>
      <c r="L50" s="68">
        <f t="shared" ca="1" si="12"/>
        <v>0</v>
      </c>
      <c r="M50" s="248" t="s">
        <v>559</v>
      </c>
    </row>
    <row r="51" spans="2:13" s="11" customFormat="1">
      <c r="B51" s="245" t="s">
        <v>560</v>
      </c>
      <c r="C51" s="249" t="str">
        <f>'Cap Table'!$D$60</f>
        <v>$</v>
      </c>
      <c r="D51" s="251" t="str">
        <f>IF($D$35="participating preferred with a cap",$D34*$D36,IF($D$35="full participating preferred",0,"na"))</f>
        <v>na</v>
      </c>
      <c r="E51" s="251" t="str">
        <f t="shared" ref="E51:L51" si="13">IF($D$35="participating preferred with a cap",$D34*$D36,IF($D$35="full participating preferred",0,"na"))</f>
        <v>na</v>
      </c>
      <c r="F51" s="251" t="str">
        <f t="shared" si="13"/>
        <v>na</v>
      </c>
      <c r="G51" s="251" t="str">
        <f t="shared" si="13"/>
        <v>na</v>
      </c>
      <c r="H51" s="251" t="str">
        <f t="shared" si="13"/>
        <v>na</v>
      </c>
      <c r="I51" s="251" t="str">
        <f t="shared" si="13"/>
        <v>na</v>
      </c>
      <c r="J51" s="251" t="str">
        <f t="shared" si="13"/>
        <v>na</v>
      </c>
      <c r="K51" s="251" t="str">
        <f t="shared" si="13"/>
        <v>na</v>
      </c>
      <c r="L51" s="251" t="str">
        <f t="shared" si="13"/>
        <v>na</v>
      </c>
      <c r="M51" s="252" t="s">
        <v>561</v>
      </c>
    </row>
    <row r="52" spans="2:13" s="11" customFormat="1">
      <c r="B52" s="245" t="str">
        <f>"Shares, "&amp;B46</f>
        <v>Shares, E Round Shareholders</v>
      </c>
      <c r="C52" s="249" t="s">
        <v>170</v>
      </c>
      <c r="D52" s="68">
        <f ca="1">$D27</f>
        <v>0</v>
      </c>
      <c r="E52" s="68">
        <f t="shared" ref="E52:L52" ca="1" si="14">$D27</f>
        <v>0</v>
      </c>
      <c r="F52" s="68">
        <f t="shared" ca="1" si="14"/>
        <v>0</v>
      </c>
      <c r="G52" s="68">
        <f t="shared" ca="1" si="14"/>
        <v>0</v>
      </c>
      <c r="H52" s="68">
        <f t="shared" ca="1" si="14"/>
        <v>0</v>
      </c>
      <c r="I52" s="68">
        <f t="shared" ca="1" si="14"/>
        <v>0</v>
      </c>
      <c r="J52" s="68">
        <f t="shared" ca="1" si="14"/>
        <v>0</v>
      </c>
      <c r="K52" s="68">
        <f t="shared" ca="1" si="14"/>
        <v>0</v>
      </c>
      <c r="L52" s="68">
        <f t="shared" ca="1" si="14"/>
        <v>0</v>
      </c>
      <c r="M52" s="248" t="s">
        <v>562</v>
      </c>
    </row>
    <row r="53" spans="2:13" s="11" customFormat="1">
      <c r="B53" s="245" t="s">
        <v>203</v>
      </c>
      <c r="C53" s="249" t="s">
        <v>420</v>
      </c>
      <c r="D53" s="77" t="e">
        <f ca="1">IF(OR($D$35="full participating preferred",AND($D$35="non participating preferred",D49&gt;D50),IF($D$11="no",AND($D$35="participating preferred with a cap",D47&lt;&gt;0,D47&gt;D50,D52&lt;&gt;0),AND($D$35="participating preferred with a cap",D47&lt;&gt;0,D$41&gt;D$156,D52&lt;&gt;0))),"yes","no")</f>
        <v>#DIV/0!</v>
      </c>
      <c r="E53" s="77" t="e">
        <f t="shared" ref="E53:L53" ca="1" si="15">IF(OR($D$35="full participating preferred",AND($D$35="non participating preferred",E49&gt;E50),IF($D$11="no",AND($D$35="participating preferred with a cap",E47&lt;&gt;0,E47&gt;E50,E52&lt;&gt;0),AND($D$35="participating preferred with a cap",E47&lt;&gt;0,E$41&gt;E$156,E52&lt;&gt;0))),"yes","no")</f>
        <v>#DIV/0!</v>
      </c>
      <c r="F53" s="77" t="e">
        <f t="shared" ca="1" si="15"/>
        <v>#DIV/0!</v>
      </c>
      <c r="G53" s="77" t="e">
        <f t="shared" ca="1" si="15"/>
        <v>#DIV/0!</v>
      </c>
      <c r="H53" s="77" t="e">
        <f t="shared" ca="1" si="15"/>
        <v>#DIV/0!</v>
      </c>
      <c r="I53" s="77" t="e">
        <f t="shared" ca="1" si="15"/>
        <v>#DIV/0!</v>
      </c>
      <c r="J53" s="77" t="e">
        <f t="shared" ca="1" si="15"/>
        <v>#DIV/0!</v>
      </c>
      <c r="K53" s="77" t="e">
        <f t="shared" ca="1" si="15"/>
        <v>#DIV/0!</v>
      </c>
      <c r="L53" s="77" t="e">
        <f t="shared" ca="1" si="15"/>
        <v>#DIV/0!</v>
      </c>
      <c r="M53" s="248" t="s">
        <v>563</v>
      </c>
    </row>
    <row r="54" spans="2:13" s="11" customFormat="1">
      <c r="B54" s="245" t="s">
        <v>202</v>
      </c>
      <c r="C54" s="249" t="s">
        <v>170</v>
      </c>
      <c r="D54" s="68" t="e">
        <f ca="1">IF(D53="yes",D52,0)</f>
        <v>#DIV/0!</v>
      </c>
      <c r="E54" s="68" t="e">
        <f t="shared" ref="E54:L54" ca="1" si="16">IF(E53="yes",E52,0)</f>
        <v>#DIV/0!</v>
      </c>
      <c r="F54" s="68" t="e">
        <f t="shared" ca="1" si="16"/>
        <v>#DIV/0!</v>
      </c>
      <c r="G54" s="68" t="e">
        <f t="shared" ca="1" si="16"/>
        <v>#DIV/0!</v>
      </c>
      <c r="H54" s="68" t="e">
        <f t="shared" ca="1" si="16"/>
        <v>#DIV/0!</v>
      </c>
      <c r="I54" s="68" t="e">
        <f t="shared" ca="1" si="16"/>
        <v>#DIV/0!</v>
      </c>
      <c r="J54" s="68" t="e">
        <f t="shared" ca="1" si="16"/>
        <v>#DIV/0!</v>
      </c>
      <c r="K54" s="68" t="e">
        <f t="shared" ca="1" si="16"/>
        <v>#DIV/0!</v>
      </c>
      <c r="L54" s="68" t="e">
        <f t="shared" ca="1" si="16"/>
        <v>#DIV/0!</v>
      </c>
      <c r="M54" s="252" t="s">
        <v>564</v>
      </c>
    </row>
    <row r="55" spans="2:13" s="11" customFormat="1">
      <c r="B55" s="245" t="s">
        <v>200</v>
      </c>
      <c r="C55" s="249" t="str">
        <f>'Cap Table'!$D$60</f>
        <v>$</v>
      </c>
      <c r="D55" s="250">
        <f>IF($D$35="full participating preferred",IF($D$11="no",D54/$L$27*MAX(0,IF(D$41&lt;=D91,0,D$41-D$156)),D54*D$133),IF($D$35="participating preferred with a cap",IF($D$11="no",MIN(MAX(0,D49-D50),D51),IF(D49&gt;D51,0,MAX(0,IF($D$11="no",D54/$L$27*MAX(0,IF(D$41&lt;=D$156,0,D$41-D$156))),D54*D$133))),0))</f>
        <v>0</v>
      </c>
      <c r="E55" s="250">
        <f t="shared" ref="E55:L55" si="17">IF($D$35="full participating preferred",IF($D$11="no",E54/$L$27*MAX(0,IF(E$41&lt;=E91,0,E$41-E$156)),E54*E$133),IF($D$35="participating preferred with a cap",IF($D$11="no",MIN(MAX(0,E49-E50),E51),IF(E49&gt;E51,0,MAX(0,IF($D$11="no",E54/$L$27*MAX(0,IF(E$41&lt;=E$156,0,E$41-E$156))),E54*E$133))),0))</f>
        <v>0</v>
      </c>
      <c r="F55" s="250">
        <f t="shared" si="17"/>
        <v>0</v>
      </c>
      <c r="G55" s="250">
        <f t="shared" si="17"/>
        <v>0</v>
      </c>
      <c r="H55" s="250">
        <f t="shared" si="17"/>
        <v>0</v>
      </c>
      <c r="I55" s="250">
        <f t="shared" si="17"/>
        <v>0</v>
      </c>
      <c r="J55" s="250">
        <f t="shared" si="17"/>
        <v>0</v>
      </c>
      <c r="K55" s="250">
        <f t="shared" si="17"/>
        <v>0</v>
      </c>
      <c r="L55" s="250">
        <f t="shared" si="17"/>
        <v>0</v>
      </c>
      <c r="M55" s="248" t="s">
        <v>565</v>
      </c>
    </row>
    <row r="56" spans="2:13" s="11" customFormat="1">
      <c r="B56" s="245" t="s">
        <v>23</v>
      </c>
      <c r="C56" s="249" t="str">
        <f>'Cap Table'!$D$60</f>
        <v>$</v>
      </c>
      <c r="D56" s="68" t="e">
        <f t="shared" ref="D56:L56" ca="1" si="18">MIN(D47,MAX(D54*D$133,D50+D55))</f>
        <v>#DIV/0!</v>
      </c>
      <c r="E56" s="68" t="e">
        <f t="shared" ca="1" si="18"/>
        <v>#DIV/0!</v>
      </c>
      <c r="F56" s="68" t="e">
        <f t="shared" ca="1" si="18"/>
        <v>#DIV/0!</v>
      </c>
      <c r="G56" s="68" t="e">
        <f t="shared" ca="1" si="18"/>
        <v>#DIV/0!</v>
      </c>
      <c r="H56" s="68" t="e">
        <f t="shared" ca="1" si="18"/>
        <v>#DIV/0!</v>
      </c>
      <c r="I56" s="68" t="e">
        <f t="shared" ca="1" si="18"/>
        <v>#DIV/0!</v>
      </c>
      <c r="J56" s="68" t="e">
        <f t="shared" ca="1" si="18"/>
        <v>#DIV/0!</v>
      </c>
      <c r="K56" s="68" t="e">
        <f t="shared" ca="1" si="18"/>
        <v>#DIV/0!</v>
      </c>
      <c r="L56" s="68" t="e">
        <f t="shared" ca="1" si="18"/>
        <v>#DIV/0!</v>
      </c>
      <c r="M56" s="248" t="s">
        <v>566</v>
      </c>
    </row>
    <row r="57" spans="2:13" s="11" customFormat="1">
      <c r="B57" s="245" t="s">
        <v>19</v>
      </c>
      <c r="C57" s="249" t="str">
        <f>'Cap Table'!$D$60</f>
        <v>$</v>
      </c>
      <c r="D57" s="253">
        <f ca="1">IFERROR(D56/D52,0)</f>
        <v>0</v>
      </c>
      <c r="E57" s="253">
        <f t="shared" ref="E57:L57" ca="1" si="19">IFERROR(E56/E52,0)</f>
        <v>0</v>
      </c>
      <c r="F57" s="253">
        <f t="shared" ca="1" si="19"/>
        <v>0</v>
      </c>
      <c r="G57" s="253">
        <f t="shared" ca="1" si="19"/>
        <v>0</v>
      </c>
      <c r="H57" s="253">
        <f t="shared" ca="1" si="19"/>
        <v>0</v>
      </c>
      <c r="I57" s="253">
        <f t="shared" ca="1" si="19"/>
        <v>0</v>
      </c>
      <c r="J57" s="253">
        <f t="shared" ca="1" si="19"/>
        <v>0</v>
      </c>
      <c r="K57" s="253">
        <f t="shared" ca="1" si="19"/>
        <v>0</v>
      </c>
      <c r="L57" s="253">
        <f t="shared" ca="1" si="19"/>
        <v>0</v>
      </c>
      <c r="M57" s="248" t="s">
        <v>567</v>
      </c>
    </row>
    <row r="58" spans="2:13" s="11" customFormat="1">
      <c r="B58" s="245"/>
      <c r="C58" s="93"/>
      <c r="I58" s="68"/>
      <c r="M58" s="254"/>
    </row>
    <row r="59" spans="2:13" s="11" customFormat="1">
      <c r="B59" s="247" t="str">
        <f>E$16&amp;" Round Shareholders"</f>
        <v>D Round Shareholders</v>
      </c>
      <c r="C59" s="93"/>
    </row>
    <row r="60" spans="2:13" s="11" customFormat="1">
      <c r="B60" s="245" t="s">
        <v>199</v>
      </c>
      <c r="C60" s="249" t="str">
        <f>'Cap Table'!$D$60</f>
        <v>$</v>
      </c>
      <c r="D60" s="68" t="e">
        <f ca="1">IF(D53="no",MAX(0,D47-D50),IF($D35="full participating preferred",MAX(0,D47-D50),IF(AND($D35="participating preferred with a cap",D55&lt;&gt;0),MAX(0,D47-D50),D47)))</f>
        <v>#DIV/0!</v>
      </c>
      <c r="E60" s="68" t="e">
        <f t="shared" ref="E60:L60" ca="1" si="20">IF(E53="no",MAX(0,E47-E50),IF($D35="full participating preferred",MAX(0,E47-E50),IF(AND($D35="participating preferred with a cap",E55&lt;&gt;0),MAX(0,E47-E50),E47)))</f>
        <v>#DIV/0!</v>
      </c>
      <c r="F60" s="68" t="e">
        <f t="shared" ca="1" si="20"/>
        <v>#DIV/0!</v>
      </c>
      <c r="G60" s="68" t="e">
        <f t="shared" ca="1" si="20"/>
        <v>#DIV/0!</v>
      </c>
      <c r="H60" s="68" t="e">
        <f t="shared" ca="1" si="20"/>
        <v>#DIV/0!</v>
      </c>
      <c r="I60" s="68" t="e">
        <f t="shared" ca="1" si="20"/>
        <v>#DIV/0!</v>
      </c>
      <c r="J60" s="68" t="e">
        <f t="shared" ca="1" si="20"/>
        <v>#DIV/0!</v>
      </c>
      <c r="K60" s="68" t="e">
        <f t="shared" ca="1" si="20"/>
        <v>#DIV/0!</v>
      </c>
      <c r="L60" s="68" t="e">
        <f t="shared" ca="1" si="20"/>
        <v>#DIV/0!</v>
      </c>
      <c r="M60" s="248" t="s">
        <v>568</v>
      </c>
    </row>
    <row r="61" spans="2:13" s="11" customFormat="1">
      <c r="B61" s="245" t="s">
        <v>204</v>
      </c>
      <c r="C61" s="93" t="s">
        <v>170</v>
      </c>
      <c r="D61" s="68" t="e">
        <f ca="1">D48-D54</f>
        <v>#DIV/0!</v>
      </c>
      <c r="E61" s="68" t="e">
        <f t="shared" ref="E61:L61" ca="1" si="21">E48-E54</f>
        <v>#DIV/0!</v>
      </c>
      <c r="F61" s="68" t="e">
        <f t="shared" ca="1" si="21"/>
        <v>#DIV/0!</v>
      </c>
      <c r="G61" s="68" t="e">
        <f t="shared" ca="1" si="21"/>
        <v>#DIV/0!</v>
      </c>
      <c r="H61" s="68" t="e">
        <f t="shared" ca="1" si="21"/>
        <v>#DIV/0!</v>
      </c>
      <c r="I61" s="68" t="e">
        <f t="shared" ca="1" si="21"/>
        <v>#DIV/0!</v>
      </c>
      <c r="J61" s="68" t="e">
        <f t="shared" ca="1" si="21"/>
        <v>#DIV/0!</v>
      </c>
      <c r="K61" s="68" t="e">
        <f t="shared" ca="1" si="21"/>
        <v>#DIV/0!</v>
      </c>
      <c r="L61" s="68" t="e">
        <f t="shared" ca="1" si="21"/>
        <v>#DIV/0!</v>
      </c>
      <c r="M61" s="62"/>
    </row>
    <row r="62" spans="2:13" s="11" customFormat="1">
      <c r="B62" s="245" t="s">
        <v>197</v>
      </c>
      <c r="C62" s="249" t="str">
        <f>'Cap Table'!$D$60</f>
        <v>$</v>
      </c>
      <c r="D62" s="250" t="e">
        <f ca="1">IF($D$11="no",MAX(0,D60)/D61*D65,IF($E$34="full participating preferred",MAX(0,D60-D$156)/D61*D65,MAX(0,D60)/D61*D65))</f>
        <v>#DIV/0!</v>
      </c>
      <c r="E62" s="250" t="e">
        <f t="shared" ref="E62:L62" ca="1" si="22">IF($D$11="no",MAX(0,E60)/E61*E65,IF($E$34="full participating preferred",MAX(0,E60-E$156)/E61*E65,MAX(0,E60)/E61*E65))</f>
        <v>#DIV/0!</v>
      </c>
      <c r="F62" s="250" t="e">
        <f t="shared" ca="1" si="22"/>
        <v>#DIV/0!</v>
      </c>
      <c r="G62" s="250" t="e">
        <f t="shared" ca="1" si="22"/>
        <v>#DIV/0!</v>
      </c>
      <c r="H62" s="250" t="e">
        <f t="shared" ca="1" si="22"/>
        <v>#DIV/0!</v>
      </c>
      <c r="I62" s="250" t="e">
        <f t="shared" ca="1" si="22"/>
        <v>#DIV/0!</v>
      </c>
      <c r="J62" s="250" t="e">
        <f t="shared" ca="1" si="22"/>
        <v>#DIV/0!</v>
      </c>
      <c r="K62" s="250" t="e">
        <f t="shared" ca="1" si="22"/>
        <v>#DIV/0!</v>
      </c>
      <c r="L62" s="250" t="e">
        <f t="shared" ca="1" si="22"/>
        <v>#DIV/0!</v>
      </c>
      <c r="M62" s="62"/>
    </row>
    <row r="63" spans="2:13" s="11" customFormat="1">
      <c r="B63" s="245" t="s">
        <v>196</v>
      </c>
      <c r="C63" s="249" t="str">
        <f>'Cap Table'!$D$60</f>
        <v>$</v>
      </c>
      <c r="D63" s="251">
        <f ca="1">$E34</f>
        <v>0</v>
      </c>
      <c r="E63" s="251">
        <f t="shared" ref="E63:L63" ca="1" si="23">$E34</f>
        <v>0</v>
      </c>
      <c r="F63" s="251">
        <f t="shared" ca="1" si="23"/>
        <v>0</v>
      </c>
      <c r="G63" s="251">
        <f t="shared" ca="1" si="23"/>
        <v>0</v>
      </c>
      <c r="H63" s="251">
        <f t="shared" ca="1" si="23"/>
        <v>0</v>
      </c>
      <c r="I63" s="251">
        <f t="shared" ca="1" si="23"/>
        <v>0</v>
      </c>
      <c r="J63" s="251">
        <f t="shared" ca="1" si="23"/>
        <v>0</v>
      </c>
      <c r="K63" s="251">
        <f t="shared" ca="1" si="23"/>
        <v>0</v>
      </c>
      <c r="L63" s="251">
        <f t="shared" ca="1" si="23"/>
        <v>0</v>
      </c>
      <c r="M63" s="62"/>
    </row>
    <row r="64" spans="2:13" s="11" customFormat="1">
      <c r="B64" s="245" t="s">
        <v>560</v>
      </c>
      <c r="C64" s="249" t="str">
        <f>'Cap Table'!$D$60</f>
        <v>$</v>
      </c>
      <c r="D64" s="251" t="str">
        <f>IF($E$35="participating preferred with a cap",$E34*$E36,IF($E$35="full participating preferred",0,"na"))</f>
        <v>na</v>
      </c>
      <c r="E64" s="251" t="str">
        <f t="shared" ref="E64:L64" si="24">IF($E$35="participating preferred with a cap",$E34*$E36,IF($E$35="full participating preferred",0,"na"))</f>
        <v>na</v>
      </c>
      <c r="F64" s="251" t="str">
        <f t="shared" si="24"/>
        <v>na</v>
      </c>
      <c r="G64" s="251" t="str">
        <f t="shared" si="24"/>
        <v>na</v>
      </c>
      <c r="H64" s="251" t="str">
        <f t="shared" si="24"/>
        <v>na</v>
      </c>
      <c r="I64" s="251" t="str">
        <f t="shared" si="24"/>
        <v>na</v>
      </c>
      <c r="J64" s="251" t="str">
        <f t="shared" si="24"/>
        <v>na</v>
      </c>
      <c r="K64" s="251" t="str">
        <f t="shared" si="24"/>
        <v>na</v>
      </c>
      <c r="L64" s="251" t="str">
        <f t="shared" si="24"/>
        <v>na</v>
      </c>
      <c r="M64" s="62"/>
    </row>
    <row r="65" spans="2:13" s="11" customFormat="1">
      <c r="B65" s="245" t="str">
        <f>"Shares, "&amp;B59</f>
        <v>Shares, D Round Shareholders</v>
      </c>
      <c r="C65" s="249" t="s">
        <v>170</v>
      </c>
      <c r="D65" s="68">
        <f ca="1">$E27</f>
        <v>0</v>
      </c>
      <c r="E65" s="68">
        <f t="shared" ref="E65:L65" ca="1" si="25">$E27</f>
        <v>0</v>
      </c>
      <c r="F65" s="68">
        <f t="shared" ca="1" si="25"/>
        <v>0</v>
      </c>
      <c r="G65" s="68">
        <f t="shared" ca="1" si="25"/>
        <v>0</v>
      </c>
      <c r="H65" s="68">
        <f t="shared" ca="1" si="25"/>
        <v>0</v>
      </c>
      <c r="I65" s="68">
        <f t="shared" ca="1" si="25"/>
        <v>0</v>
      </c>
      <c r="J65" s="68">
        <f t="shared" ca="1" si="25"/>
        <v>0</v>
      </c>
      <c r="K65" s="68">
        <f t="shared" ca="1" si="25"/>
        <v>0</v>
      </c>
      <c r="L65" s="68">
        <f t="shared" ca="1" si="25"/>
        <v>0</v>
      </c>
      <c r="M65" s="62"/>
    </row>
    <row r="66" spans="2:13" s="11" customFormat="1">
      <c r="B66" s="245" t="s">
        <v>203</v>
      </c>
      <c r="C66" s="249" t="s">
        <v>420</v>
      </c>
      <c r="D66" s="77" t="e">
        <f ca="1">IF(OR($E$35="full participating preferred",AND($E$35="non participating preferred",D62&gt;D63),IF($D$11="no",AND($E$35="participating preferred with a cap",D60&lt;&gt;0,D60&gt;D63,D65&lt;&gt;0),AND($E$35="participating preferred with a cap",D60&lt;&gt;0,D$41&gt;D$156,D65&lt;&gt;0))),"yes","no")</f>
        <v>#DIV/0!</v>
      </c>
      <c r="E66" s="77" t="e">
        <f t="shared" ref="E66:L66" ca="1" si="26">IF(OR($E$35="full participating preferred",AND($E$35="non participating preferred",E62&gt;E63),IF($D$11="no",AND($E$35="participating preferred with a cap",E60&lt;&gt;0,E60&gt;E63,E65&lt;&gt;0),AND($E$35="participating preferred with a cap",E60&lt;&gt;0,E$41&gt;E$156,E65&lt;&gt;0))),"yes","no")</f>
        <v>#DIV/0!</v>
      </c>
      <c r="F66" s="77" t="e">
        <f t="shared" ca="1" si="26"/>
        <v>#DIV/0!</v>
      </c>
      <c r="G66" s="77" t="e">
        <f t="shared" ca="1" si="26"/>
        <v>#DIV/0!</v>
      </c>
      <c r="H66" s="77" t="e">
        <f t="shared" ca="1" si="26"/>
        <v>#DIV/0!</v>
      </c>
      <c r="I66" s="77" t="e">
        <f t="shared" ca="1" si="26"/>
        <v>#DIV/0!</v>
      </c>
      <c r="J66" s="77" t="e">
        <f t="shared" ca="1" si="26"/>
        <v>#DIV/0!</v>
      </c>
      <c r="K66" s="77" t="e">
        <f t="shared" ca="1" si="26"/>
        <v>#DIV/0!</v>
      </c>
      <c r="L66" s="77" t="e">
        <f t="shared" ca="1" si="26"/>
        <v>#DIV/0!</v>
      </c>
      <c r="M66" s="62"/>
    </row>
    <row r="67" spans="2:13" s="11" customFormat="1">
      <c r="B67" s="245" t="s">
        <v>202</v>
      </c>
      <c r="C67" s="249" t="s">
        <v>170</v>
      </c>
      <c r="D67" s="68" t="e">
        <f ca="1">IF(D66="yes",D65,0)</f>
        <v>#DIV/0!</v>
      </c>
      <c r="E67" s="68" t="e">
        <f t="shared" ref="E67:L67" ca="1" si="27">IF(E66="yes",E65,0)</f>
        <v>#DIV/0!</v>
      </c>
      <c r="F67" s="68" t="e">
        <f t="shared" ca="1" si="27"/>
        <v>#DIV/0!</v>
      </c>
      <c r="G67" s="68" t="e">
        <f t="shared" ca="1" si="27"/>
        <v>#DIV/0!</v>
      </c>
      <c r="H67" s="68" t="e">
        <f t="shared" ca="1" si="27"/>
        <v>#DIV/0!</v>
      </c>
      <c r="I67" s="68" t="e">
        <f t="shared" ca="1" si="27"/>
        <v>#DIV/0!</v>
      </c>
      <c r="J67" s="68" t="e">
        <f t="shared" ca="1" si="27"/>
        <v>#DIV/0!</v>
      </c>
      <c r="K67" s="68" t="e">
        <f t="shared" ca="1" si="27"/>
        <v>#DIV/0!</v>
      </c>
      <c r="L67" s="68" t="e">
        <f t="shared" ca="1" si="27"/>
        <v>#DIV/0!</v>
      </c>
      <c r="M67" s="62"/>
    </row>
    <row r="68" spans="2:13" s="11" customFormat="1">
      <c r="B68" s="245" t="s">
        <v>200</v>
      </c>
      <c r="C68" s="249" t="str">
        <f>'Cap Table'!$D$60</f>
        <v>$</v>
      </c>
      <c r="D68" s="250">
        <f>IF($E$35="full participating preferred",IF($D$11="no",D67/$L$27*MAX(0,IF(D$41&lt;=D104,0,D$41-D$156)),D67*D$133),IF($E$35="participating preferred with a cap",IF($D$11="no",MIN(MAX(0,D62-D63),D64),IF(D62&gt;D64,0,MAX(0,IF($D$11="no",D67/$L$27*MAX(0,IF(D$41&lt;=D$156,0,D$41-D$156))),D67*D$133))),0))</f>
        <v>0</v>
      </c>
      <c r="E68" s="250">
        <f t="shared" ref="E68:L68" si="28">IF($E$35="full participating preferred",IF($D$11="no",E67/$L$27*MAX(0,IF(E$41&lt;=E104,0,E$41-E$156)),E67*E$133),IF($E$35="participating preferred with a cap",IF($D$11="no",MIN(MAX(0,E62-E63),E64),IF(E62&gt;E64,0,MAX(0,IF($D$11="no",E67/$L$27*MAX(0,IF(E$41&lt;=E$156,0,E$41-E$156))),E67*E$133))),0))</f>
        <v>0</v>
      </c>
      <c r="F68" s="250">
        <f t="shared" si="28"/>
        <v>0</v>
      </c>
      <c r="G68" s="250">
        <f t="shared" si="28"/>
        <v>0</v>
      </c>
      <c r="H68" s="250">
        <f t="shared" si="28"/>
        <v>0</v>
      </c>
      <c r="I68" s="250">
        <f t="shared" si="28"/>
        <v>0</v>
      </c>
      <c r="J68" s="250">
        <f t="shared" si="28"/>
        <v>0</v>
      </c>
      <c r="K68" s="250">
        <f t="shared" si="28"/>
        <v>0</v>
      </c>
      <c r="L68" s="250">
        <f t="shared" si="28"/>
        <v>0</v>
      </c>
      <c r="M68" s="62"/>
    </row>
    <row r="69" spans="2:13" s="11" customFormat="1">
      <c r="B69" s="245" t="s">
        <v>23</v>
      </c>
      <c r="C69" s="249" t="str">
        <f>'Cap Table'!$D$60</f>
        <v>$</v>
      </c>
      <c r="D69" s="68" t="e">
        <f t="shared" ref="D69:L69" ca="1" si="29">MIN(D60,MAX(D67*D$133,D63+D68))</f>
        <v>#DIV/0!</v>
      </c>
      <c r="E69" s="68" t="e">
        <f t="shared" ca="1" si="29"/>
        <v>#DIV/0!</v>
      </c>
      <c r="F69" s="68" t="e">
        <f t="shared" ca="1" si="29"/>
        <v>#DIV/0!</v>
      </c>
      <c r="G69" s="68" t="e">
        <f t="shared" ca="1" si="29"/>
        <v>#DIV/0!</v>
      </c>
      <c r="H69" s="68" t="e">
        <f t="shared" ca="1" si="29"/>
        <v>#DIV/0!</v>
      </c>
      <c r="I69" s="68" t="e">
        <f t="shared" ca="1" si="29"/>
        <v>#DIV/0!</v>
      </c>
      <c r="J69" s="68" t="e">
        <f t="shared" ca="1" si="29"/>
        <v>#DIV/0!</v>
      </c>
      <c r="K69" s="68" t="e">
        <f t="shared" ca="1" si="29"/>
        <v>#DIV/0!</v>
      </c>
      <c r="L69" s="68" t="e">
        <f t="shared" ca="1" si="29"/>
        <v>#DIV/0!</v>
      </c>
      <c r="M69" s="62"/>
    </row>
    <row r="70" spans="2:13" s="11" customFormat="1">
      <c r="B70" s="245" t="s">
        <v>19</v>
      </c>
      <c r="C70" s="249" t="str">
        <f>'Cap Table'!$D$60</f>
        <v>$</v>
      </c>
      <c r="D70" s="253">
        <f ca="1">IFERROR(D69/D65,0)</f>
        <v>0</v>
      </c>
      <c r="E70" s="253">
        <f t="shared" ref="E70:L70" ca="1" si="30">IFERROR(E69/E65,0)</f>
        <v>0</v>
      </c>
      <c r="F70" s="253">
        <f t="shared" ca="1" si="30"/>
        <v>0</v>
      </c>
      <c r="G70" s="253">
        <f t="shared" ca="1" si="30"/>
        <v>0</v>
      </c>
      <c r="H70" s="253">
        <f t="shared" ca="1" si="30"/>
        <v>0</v>
      </c>
      <c r="I70" s="253">
        <f t="shared" ca="1" si="30"/>
        <v>0</v>
      </c>
      <c r="J70" s="253">
        <f t="shared" ca="1" si="30"/>
        <v>0</v>
      </c>
      <c r="K70" s="253">
        <f t="shared" ca="1" si="30"/>
        <v>0</v>
      </c>
      <c r="L70" s="253">
        <f t="shared" ca="1" si="30"/>
        <v>0</v>
      </c>
      <c r="M70" s="62"/>
    </row>
    <row r="71" spans="2:13" s="11" customFormat="1">
      <c r="C71" s="93"/>
      <c r="M71" s="62"/>
    </row>
    <row r="72" spans="2:13" s="11" customFormat="1">
      <c r="B72" s="247" t="str">
        <f>F$16&amp;" Round Shareholders"</f>
        <v>C Round Shareholders</v>
      </c>
      <c r="C72" s="93"/>
      <c r="D72" s="68"/>
      <c r="E72" s="68"/>
      <c r="F72" s="68"/>
      <c r="G72" s="68"/>
      <c r="H72" s="68"/>
      <c r="I72" s="68"/>
      <c r="J72" s="68"/>
      <c r="K72" s="68"/>
      <c r="L72" s="68"/>
      <c r="M72" s="62"/>
    </row>
    <row r="73" spans="2:13" s="11" customFormat="1">
      <c r="B73" s="245" t="s">
        <v>199</v>
      </c>
      <c r="C73" s="249" t="str">
        <f>'Cap Table'!$D$60</f>
        <v>$</v>
      </c>
      <c r="D73" s="68" t="e">
        <f ca="1">IF(D66="no",MAX(0,D60-D63),IF($E$35="full participating preferred",MAX(0,D60-D63),IF(AND($E$35="participating preferred with a cap",D68&lt;&gt;0),MAX(0,D60-D63),D60)))</f>
        <v>#DIV/0!</v>
      </c>
      <c r="E73" s="68" t="e">
        <f t="shared" ref="E73:L73" ca="1" si="31">IF(E66="no",MAX(0,E60-E63),IF($E$35="full participating preferred",MAX(0,E60-E63),IF(AND($E$35="participating preferred with a cap",E68&lt;&gt;0),MAX(0,E60-E63),E60)))</f>
        <v>#DIV/0!</v>
      </c>
      <c r="F73" s="68" t="e">
        <f t="shared" ca="1" si="31"/>
        <v>#DIV/0!</v>
      </c>
      <c r="G73" s="68" t="e">
        <f t="shared" ca="1" si="31"/>
        <v>#DIV/0!</v>
      </c>
      <c r="H73" s="68" t="e">
        <f t="shared" ca="1" si="31"/>
        <v>#DIV/0!</v>
      </c>
      <c r="I73" s="68" t="e">
        <f t="shared" ca="1" si="31"/>
        <v>#DIV/0!</v>
      </c>
      <c r="J73" s="68" t="e">
        <f t="shared" ca="1" si="31"/>
        <v>#DIV/0!</v>
      </c>
      <c r="K73" s="68" t="e">
        <f t="shared" ca="1" si="31"/>
        <v>#DIV/0!</v>
      </c>
      <c r="L73" s="68" t="e">
        <f t="shared" ca="1" si="31"/>
        <v>#DIV/0!</v>
      </c>
      <c r="M73" s="248" t="s">
        <v>568</v>
      </c>
    </row>
    <row r="74" spans="2:13" s="11" customFormat="1">
      <c r="B74" s="245" t="s">
        <v>204</v>
      </c>
      <c r="C74" s="93" t="s">
        <v>170</v>
      </c>
      <c r="D74" s="68" t="e">
        <f ca="1">D61-D67</f>
        <v>#DIV/0!</v>
      </c>
      <c r="E74" s="68" t="e">
        <f t="shared" ref="E74:L74" ca="1" si="32">E61-E67</f>
        <v>#DIV/0!</v>
      </c>
      <c r="F74" s="68" t="e">
        <f t="shared" ca="1" si="32"/>
        <v>#DIV/0!</v>
      </c>
      <c r="G74" s="68" t="e">
        <f t="shared" ca="1" si="32"/>
        <v>#DIV/0!</v>
      </c>
      <c r="H74" s="68" t="e">
        <f t="shared" ca="1" si="32"/>
        <v>#DIV/0!</v>
      </c>
      <c r="I74" s="68" t="e">
        <f t="shared" ca="1" si="32"/>
        <v>#DIV/0!</v>
      </c>
      <c r="J74" s="68" t="e">
        <f t="shared" ca="1" si="32"/>
        <v>#DIV/0!</v>
      </c>
      <c r="K74" s="68" t="e">
        <f t="shared" ca="1" si="32"/>
        <v>#DIV/0!</v>
      </c>
      <c r="L74" s="68" t="e">
        <f t="shared" ca="1" si="32"/>
        <v>#DIV/0!</v>
      </c>
      <c r="M74" s="62"/>
    </row>
    <row r="75" spans="2:13" s="11" customFormat="1">
      <c r="B75" s="245" t="s">
        <v>197</v>
      </c>
      <c r="C75" s="249" t="str">
        <f>'Cap Table'!$D$60</f>
        <v>$</v>
      </c>
      <c r="D75" s="250" t="e">
        <f ca="1">IF($D$11="no",MAX(0,D73)/D74*D78,IF($F$34="full participating preferred",MAX(0,D73-D$156)/D74*D78,MAX(0,D73)/D74*D78))</f>
        <v>#DIV/0!</v>
      </c>
      <c r="E75" s="250" t="e">
        <f t="shared" ref="E75:L75" ca="1" si="33">IF($D$11="no",MAX(0,E73)/E74*E78,IF($F$34="full participating preferred",MAX(0,E73-E$156)/E74*E78,MAX(0,E73)/E74*E78))</f>
        <v>#DIV/0!</v>
      </c>
      <c r="F75" s="250" t="e">
        <f t="shared" ca="1" si="33"/>
        <v>#DIV/0!</v>
      </c>
      <c r="G75" s="250" t="e">
        <f t="shared" ca="1" si="33"/>
        <v>#DIV/0!</v>
      </c>
      <c r="H75" s="250" t="e">
        <f t="shared" ca="1" si="33"/>
        <v>#DIV/0!</v>
      </c>
      <c r="I75" s="250" t="e">
        <f t="shared" ca="1" si="33"/>
        <v>#DIV/0!</v>
      </c>
      <c r="J75" s="250" t="e">
        <f t="shared" ca="1" si="33"/>
        <v>#DIV/0!</v>
      </c>
      <c r="K75" s="250" t="e">
        <f t="shared" ca="1" si="33"/>
        <v>#DIV/0!</v>
      </c>
      <c r="L75" s="250" t="e">
        <f t="shared" ca="1" si="33"/>
        <v>#DIV/0!</v>
      </c>
      <c r="M75" s="62"/>
    </row>
    <row r="76" spans="2:13" s="11" customFormat="1">
      <c r="B76" s="245" t="s">
        <v>196</v>
      </c>
      <c r="C76" s="249" t="str">
        <f>'Cap Table'!$D$60</f>
        <v>$</v>
      </c>
      <c r="D76" s="251">
        <f ca="1">$F$34</f>
        <v>0</v>
      </c>
      <c r="E76" s="251">
        <f t="shared" ref="E76:L76" ca="1" si="34">$F$34</f>
        <v>0</v>
      </c>
      <c r="F76" s="251">
        <f t="shared" ca="1" si="34"/>
        <v>0</v>
      </c>
      <c r="G76" s="251">
        <f t="shared" ca="1" si="34"/>
        <v>0</v>
      </c>
      <c r="H76" s="251">
        <f t="shared" ca="1" si="34"/>
        <v>0</v>
      </c>
      <c r="I76" s="251">
        <f t="shared" ca="1" si="34"/>
        <v>0</v>
      </c>
      <c r="J76" s="251">
        <f t="shared" ca="1" si="34"/>
        <v>0</v>
      </c>
      <c r="K76" s="251">
        <f t="shared" ca="1" si="34"/>
        <v>0</v>
      </c>
      <c r="L76" s="251">
        <f t="shared" ca="1" si="34"/>
        <v>0</v>
      </c>
      <c r="M76" s="62"/>
    </row>
    <row r="77" spans="2:13" s="11" customFormat="1">
      <c r="B77" s="245" t="s">
        <v>560</v>
      </c>
      <c r="C77" s="249" t="str">
        <f>'Cap Table'!$D$60</f>
        <v>$</v>
      </c>
      <c r="D77" s="251" t="str">
        <f>IF($F$35="participating preferred with a cap",$F$34*$F$36,IF($F$35="full participating preferred",0,"na"))</f>
        <v>na</v>
      </c>
      <c r="E77" s="251" t="str">
        <f t="shared" ref="E77:L77" si="35">IF($F$35="participating preferred with a cap",$F$34*$F$36,IF($F$35="full participating preferred",0,"na"))</f>
        <v>na</v>
      </c>
      <c r="F77" s="251" t="str">
        <f t="shared" si="35"/>
        <v>na</v>
      </c>
      <c r="G77" s="251" t="str">
        <f t="shared" si="35"/>
        <v>na</v>
      </c>
      <c r="H77" s="251" t="str">
        <f t="shared" si="35"/>
        <v>na</v>
      </c>
      <c r="I77" s="251" t="str">
        <f t="shared" si="35"/>
        <v>na</v>
      </c>
      <c r="J77" s="251" t="str">
        <f t="shared" si="35"/>
        <v>na</v>
      </c>
      <c r="K77" s="251" t="str">
        <f t="shared" si="35"/>
        <v>na</v>
      </c>
      <c r="L77" s="251" t="str">
        <f t="shared" si="35"/>
        <v>na</v>
      </c>
      <c r="M77" s="62"/>
    </row>
    <row r="78" spans="2:13" s="11" customFormat="1">
      <c r="B78" s="245" t="str">
        <f>"Shares, "&amp;B72</f>
        <v>Shares, C Round Shareholders</v>
      </c>
      <c r="C78" s="249" t="s">
        <v>170</v>
      </c>
      <c r="D78" s="68">
        <f ca="1">$F$27</f>
        <v>0</v>
      </c>
      <c r="E78" s="68">
        <f t="shared" ref="E78:L78" ca="1" si="36">$F$27</f>
        <v>0</v>
      </c>
      <c r="F78" s="68">
        <f t="shared" ca="1" si="36"/>
        <v>0</v>
      </c>
      <c r="G78" s="68">
        <f t="shared" ca="1" si="36"/>
        <v>0</v>
      </c>
      <c r="H78" s="68">
        <f t="shared" ca="1" si="36"/>
        <v>0</v>
      </c>
      <c r="I78" s="68">
        <f t="shared" ca="1" si="36"/>
        <v>0</v>
      </c>
      <c r="J78" s="68">
        <f t="shared" ca="1" si="36"/>
        <v>0</v>
      </c>
      <c r="K78" s="68">
        <f t="shared" ca="1" si="36"/>
        <v>0</v>
      </c>
      <c r="L78" s="68">
        <f t="shared" ca="1" si="36"/>
        <v>0</v>
      </c>
      <c r="M78" s="62"/>
    </row>
    <row r="79" spans="2:13" s="11" customFormat="1">
      <c r="B79" s="245" t="s">
        <v>203</v>
      </c>
      <c r="C79" s="249" t="s">
        <v>301</v>
      </c>
      <c r="D79" s="77" t="e">
        <f ca="1">IF(OR($F$35="full participating preferred",AND($F$35="non participating preferred",D75&gt;D76),IF($D$11="no",AND($F$35="participating preferred with a cap",D73&lt;&gt;0,D73&gt;D76,D78&lt;&gt;0),AND($F$35="participating preferred with a cap",D73&lt;&gt;0,D$41&gt;D$156,D78&lt;&gt;0))),"yes","no")</f>
        <v>#DIV/0!</v>
      </c>
      <c r="E79" s="77" t="e">
        <f t="shared" ref="E79:L79" ca="1" si="37">IF(OR($F$35="full participating preferred",AND($F$35="non participating preferred",E75&gt;E76),IF($D$11="no",AND($F$35="participating preferred with a cap",E73&lt;&gt;0,E73&gt;E76,E78&lt;&gt;0),AND($F$35="participating preferred with a cap",E73&lt;&gt;0,E$41&gt;E$156,E78&lt;&gt;0))),"yes","no")</f>
        <v>#DIV/0!</v>
      </c>
      <c r="F79" s="77" t="e">
        <f t="shared" ca="1" si="37"/>
        <v>#DIV/0!</v>
      </c>
      <c r="G79" s="77" t="e">
        <f t="shared" ca="1" si="37"/>
        <v>#DIV/0!</v>
      </c>
      <c r="H79" s="77" t="e">
        <f t="shared" ca="1" si="37"/>
        <v>#DIV/0!</v>
      </c>
      <c r="I79" s="77" t="e">
        <f t="shared" ca="1" si="37"/>
        <v>#DIV/0!</v>
      </c>
      <c r="J79" s="77" t="e">
        <f t="shared" ca="1" si="37"/>
        <v>#DIV/0!</v>
      </c>
      <c r="K79" s="77" t="e">
        <f t="shared" ca="1" si="37"/>
        <v>#DIV/0!</v>
      </c>
      <c r="L79" s="77" t="e">
        <f t="shared" ca="1" si="37"/>
        <v>#DIV/0!</v>
      </c>
      <c r="M79" s="62"/>
    </row>
    <row r="80" spans="2:13" s="11" customFormat="1">
      <c r="B80" s="245" t="s">
        <v>202</v>
      </c>
      <c r="C80" s="249" t="s">
        <v>170</v>
      </c>
      <c r="D80" s="68" t="e">
        <f ca="1">IF(D79="yes",D78,0)</f>
        <v>#DIV/0!</v>
      </c>
      <c r="E80" s="68" t="e">
        <f t="shared" ref="E80:L80" ca="1" si="38">IF(E79="yes",E78,0)</f>
        <v>#DIV/0!</v>
      </c>
      <c r="F80" s="68" t="e">
        <f t="shared" ca="1" si="38"/>
        <v>#DIV/0!</v>
      </c>
      <c r="G80" s="68" t="e">
        <f t="shared" ca="1" si="38"/>
        <v>#DIV/0!</v>
      </c>
      <c r="H80" s="68" t="e">
        <f t="shared" ca="1" si="38"/>
        <v>#DIV/0!</v>
      </c>
      <c r="I80" s="68" t="e">
        <f t="shared" ca="1" si="38"/>
        <v>#DIV/0!</v>
      </c>
      <c r="J80" s="68" t="e">
        <f t="shared" ca="1" si="38"/>
        <v>#DIV/0!</v>
      </c>
      <c r="K80" s="68" t="e">
        <f t="shared" ca="1" si="38"/>
        <v>#DIV/0!</v>
      </c>
      <c r="L80" s="68" t="e">
        <f t="shared" ca="1" si="38"/>
        <v>#DIV/0!</v>
      </c>
      <c r="M80" s="62"/>
    </row>
    <row r="81" spans="2:13" s="11" customFormat="1">
      <c r="B81" s="245" t="s">
        <v>200</v>
      </c>
      <c r="C81" s="249" t="str">
        <f>'Cap Table'!$D$60</f>
        <v>$</v>
      </c>
      <c r="D81" s="250">
        <f>IF($F$35="full participating preferred",IF($D$11="no",D80/$L$27*MAX(0,IF(D$41&lt;=D117,0,D$41-D$156)),D80*D$133),IF($F$35="participating preferred with a cap",IF($D$11="no",MIN(MAX(0,D75-D76),D77),IF(D75&gt;D77,0,MAX(0,IF($D$11="no",D80/$L$27*MAX(0,IF(D$41&lt;=D$156,0,D$41-D$156))),D80*D$133))),0))</f>
        <v>0</v>
      </c>
      <c r="E81" s="250">
        <f t="shared" ref="E81:L81" si="39">IF($F$35="full participating preferred",IF($D$11="no",E80/$L$27*MAX(0,IF(E$41&lt;=E117,0,E$41-E$156)),E80*E$133),IF($F$35="participating preferred with a cap",IF($D$11="no",MIN(MAX(0,E75-E76),E77),IF(E75&gt;E77,0,MAX(0,IF($D$11="no",E80/$L$27*MAX(0,IF(E$41&lt;=E$156,0,E$41-E$156))),E80*E$133))),0))</f>
        <v>0</v>
      </c>
      <c r="F81" s="250">
        <f t="shared" si="39"/>
        <v>0</v>
      </c>
      <c r="G81" s="250">
        <f t="shared" si="39"/>
        <v>0</v>
      </c>
      <c r="H81" s="250">
        <f t="shared" si="39"/>
        <v>0</v>
      </c>
      <c r="I81" s="250">
        <f t="shared" si="39"/>
        <v>0</v>
      </c>
      <c r="J81" s="250">
        <f t="shared" si="39"/>
        <v>0</v>
      </c>
      <c r="K81" s="250">
        <f t="shared" si="39"/>
        <v>0</v>
      </c>
      <c r="L81" s="250">
        <f t="shared" si="39"/>
        <v>0</v>
      </c>
      <c r="M81" s="62"/>
    </row>
    <row r="82" spans="2:13" s="11" customFormat="1">
      <c r="B82" s="245" t="s">
        <v>23</v>
      </c>
      <c r="C82" s="249" t="str">
        <f>'Cap Table'!$D$60</f>
        <v>$</v>
      </c>
      <c r="D82" s="68" t="e">
        <f t="shared" ref="D82:L82" ca="1" si="40">MIN(D73,MAX(D80*D$133,D76+D81))</f>
        <v>#DIV/0!</v>
      </c>
      <c r="E82" s="68" t="e">
        <f t="shared" ca="1" si="40"/>
        <v>#DIV/0!</v>
      </c>
      <c r="F82" s="68" t="e">
        <f t="shared" ca="1" si="40"/>
        <v>#DIV/0!</v>
      </c>
      <c r="G82" s="68" t="e">
        <f t="shared" ca="1" si="40"/>
        <v>#DIV/0!</v>
      </c>
      <c r="H82" s="68" t="e">
        <f t="shared" ca="1" si="40"/>
        <v>#DIV/0!</v>
      </c>
      <c r="I82" s="68" t="e">
        <f t="shared" ca="1" si="40"/>
        <v>#DIV/0!</v>
      </c>
      <c r="J82" s="68" t="e">
        <f t="shared" ca="1" si="40"/>
        <v>#DIV/0!</v>
      </c>
      <c r="K82" s="68" t="e">
        <f t="shared" ca="1" si="40"/>
        <v>#DIV/0!</v>
      </c>
      <c r="L82" s="68" t="e">
        <f t="shared" ca="1" si="40"/>
        <v>#DIV/0!</v>
      </c>
      <c r="M82" s="62"/>
    </row>
    <row r="83" spans="2:13" s="11" customFormat="1">
      <c r="B83" s="245" t="s">
        <v>19</v>
      </c>
      <c r="C83" s="249" t="str">
        <f>'Cap Table'!$D$60</f>
        <v>$</v>
      </c>
      <c r="D83" s="253">
        <f ca="1">IFERROR(D82/D78,0)</f>
        <v>0</v>
      </c>
      <c r="E83" s="253">
        <f t="shared" ref="E83:L83" ca="1" si="41">IFERROR(E82/E78,0)</f>
        <v>0</v>
      </c>
      <c r="F83" s="253">
        <f t="shared" ca="1" si="41"/>
        <v>0</v>
      </c>
      <c r="G83" s="253">
        <f t="shared" ca="1" si="41"/>
        <v>0</v>
      </c>
      <c r="H83" s="253">
        <f t="shared" ca="1" si="41"/>
        <v>0</v>
      </c>
      <c r="I83" s="253">
        <f t="shared" ca="1" si="41"/>
        <v>0</v>
      </c>
      <c r="J83" s="253">
        <f t="shared" ca="1" si="41"/>
        <v>0</v>
      </c>
      <c r="K83" s="253">
        <f t="shared" ca="1" si="41"/>
        <v>0</v>
      </c>
      <c r="L83" s="253">
        <f t="shared" ca="1" si="41"/>
        <v>0</v>
      </c>
      <c r="M83" s="62"/>
    </row>
    <row r="84" spans="2:13" s="11" customFormat="1">
      <c r="C84" s="93"/>
      <c r="M84" s="62"/>
    </row>
    <row r="85" spans="2:13" s="11" customFormat="1">
      <c r="B85" s="247" t="str">
        <f>G$16&amp;" Round Shareholders"</f>
        <v>B Round Shareholders</v>
      </c>
      <c r="C85" s="93"/>
      <c r="M85" s="62"/>
    </row>
    <row r="86" spans="2:13" s="11" customFormat="1">
      <c r="B86" s="245" t="s">
        <v>199</v>
      </c>
      <c r="C86" s="249" t="str">
        <f>'Cap Table'!$D$60</f>
        <v>$</v>
      </c>
      <c r="D86" s="68" t="e">
        <f ca="1">IF(D79="no",MAX(0,D73-D76),IF($F$35="full participating preferred",MAX(0,D73-D76),IF(AND($F$35="participating preferred with a cap",D81&lt;&gt;0),MAX(0,D73-D76),D73)))</f>
        <v>#DIV/0!</v>
      </c>
      <c r="E86" s="68" t="e">
        <f t="shared" ref="E86:L86" ca="1" si="42">IF(E79="no",MAX(0,E73-E76),IF($F$35="full participating preferred",MAX(0,E73-E76),IF(AND($F$35="participating preferred with a cap",E81&lt;&gt;0),MAX(0,E73-E76),E73)))</f>
        <v>#DIV/0!</v>
      </c>
      <c r="F86" s="68" t="e">
        <f t="shared" ca="1" si="42"/>
        <v>#DIV/0!</v>
      </c>
      <c r="G86" s="68" t="e">
        <f t="shared" ca="1" si="42"/>
        <v>#DIV/0!</v>
      </c>
      <c r="H86" s="68" t="e">
        <f t="shared" ca="1" si="42"/>
        <v>#DIV/0!</v>
      </c>
      <c r="I86" s="68" t="e">
        <f t="shared" ca="1" si="42"/>
        <v>#DIV/0!</v>
      </c>
      <c r="J86" s="68" t="e">
        <f t="shared" ca="1" si="42"/>
        <v>#DIV/0!</v>
      </c>
      <c r="K86" s="68" t="e">
        <f t="shared" ca="1" si="42"/>
        <v>#DIV/0!</v>
      </c>
      <c r="L86" s="68" t="e">
        <f t="shared" ca="1" si="42"/>
        <v>#DIV/0!</v>
      </c>
      <c r="M86" s="248" t="s">
        <v>568</v>
      </c>
    </row>
    <row r="87" spans="2:13" s="11" customFormat="1">
      <c r="B87" s="245" t="s">
        <v>204</v>
      </c>
      <c r="C87" s="93" t="s">
        <v>170</v>
      </c>
      <c r="D87" s="68" t="e">
        <f ca="1">D74-D80</f>
        <v>#DIV/0!</v>
      </c>
      <c r="E87" s="68" t="e">
        <f t="shared" ref="E87:L87" ca="1" si="43">E74-E80</f>
        <v>#DIV/0!</v>
      </c>
      <c r="F87" s="68" t="e">
        <f t="shared" ca="1" si="43"/>
        <v>#DIV/0!</v>
      </c>
      <c r="G87" s="68" t="e">
        <f t="shared" ca="1" si="43"/>
        <v>#DIV/0!</v>
      </c>
      <c r="H87" s="68" t="e">
        <f t="shared" ca="1" si="43"/>
        <v>#DIV/0!</v>
      </c>
      <c r="I87" s="68" t="e">
        <f t="shared" ca="1" si="43"/>
        <v>#DIV/0!</v>
      </c>
      <c r="J87" s="68" t="e">
        <f t="shared" ca="1" si="43"/>
        <v>#DIV/0!</v>
      </c>
      <c r="K87" s="68" t="e">
        <f t="shared" ca="1" si="43"/>
        <v>#DIV/0!</v>
      </c>
      <c r="L87" s="68" t="e">
        <f t="shared" ca="1" si="43"/>
        <v>#DIV/0!</v>
      </c>
      <c r="M87" s="62"/>
    </row>
    <row r="88" spans="2:13" s="11" customFormat="1">
      <c r="B88" s="245" t="s">
        <v>197</v>
      </c>
      <c r="C88" s="249" t="str">
        <f>'Cap Table'!$D$60</f>
        <v>$</v>
      </c>
      <c r="D88" s="250" t="e">
        <f ca="1">IF($D$11="no",MAX(0,D86)/D87*D91,IF($G$34="full participating preferred",MAX(0,D86-D$156)/D87*D91,MAX(0,D86)/D87*D91))</f>
        <v>#DIV/0!</v>
      </c>
      <c r="E88" s="250" t="e">
        <f t="shared" ref="E88:L88" ca="1" si="44">IF($D$11="no",MAX(0,E86)/E87*E91,IF($G$34="full participating preferred",MAX(0,E86-E$156)/E87*E91,MAX(0,E86)/E87*E91))</f>
        <v>#DIV/0!</v>
      </c>
      <c r="F88" s="250" t="e">
        <f t="shared" ca="1" si="44"/>
        <v>#DIV/0!</v>
      </c>
      <c r="G88" s="250" t="e">
        <f t="shared" ca="1" si="44"/>
        <v>#DIV/0!</v>
      </c>
      <c r="H88" s="250" t="e">
        <f t="shared" ca="1" si="44"/>
        <v>#DIV/0!</v>
      </c>
      <c r="I88" s="250" t="e">
        <f t="shared" ca="1" si="44"/>
        <v>#DIV/0!</v>
      </c>
      <c r="J88" s="250" t="e">
        <f t="shared" ca="1" si="44"/>
        <v>#DIV/0!</v>
      </c>
      <c r="K88" s="250" t="e">
        <f t="shared" ca="1" si="44"/>
        <v>#DIV/0!</v>
      </c>
      <c r="L88" s="250" t="e">
        <f t="shared" ca="1" si="44"/>
        <v>#DIV/0!</v>
      </c>
      <c r="M88" s="62"/>
    </row>
    <row r="89" spans="2:13" s="11" customFormat="1">
      <c r="B89" s="245" t="s">
        <v>196</v>
      </c>
      <c r="C89" s="249" t="str">
        <f>'Cap Table'!$D$60</f>
        <v>$</v>
      </c>
      <c r="D89" s="251">
        <f ca="1">$G$34</f>
        <v>0</v>
      </c>
      <c r="E89" s="251">
        <f t="shared" ref="E89:L89" ca="1" si="45">$G$34</f>
        <v>0</v>
      </c>
      <c r="F89" s="251">
        <f t="shared" ca="1" si="45"/>
        <v>0</v>
      </c>
      <c r="G89" s="251">
        <f t="shared" ca="1" si="45"/>
        <v>0</v>
      </c>
      <c r="H89" s="251">
        <f t="shared" ca="1" si="45"/>
        <v>0</v>
      </c>
      <c r="I89" s="251">
        <f t="shared" ca="1" si="45"/>
        <v>0</v>
      </c>
      <c r="J89" s="251">
        <f t="shared" ca="1" si="45"/>
        <v>0</v>
      </c>
      <c r="K89" s="251">
        <f t="shared" ca="1" si="45"/>
        <v>0</v>
      </c>
      <c r="L89" s="251">
        <f t="shared" ca="1" si="45"/>
        <v>0</v>
      </c>
      <c r="M89" s="62"/>
    </row>
    <row r="90" spans="2:13" s="11" customFormat="1">
      <c r="B90" s="245" t="s">
        <v>560</v>
      </c>
      <c r="C90" s="249" t="str">
        <f>'Cap Table'!$D$60</f>
        <v>$</v>
      </c>
      <c r="D90" s="251" t="str">
        <f>IF($G$35="participating preferred with a cap",$G$34*$G$36,IF($G$35="full participating preferred",0,"na"))</f>
        <v>na</v>
      </c>
      <c r="E90" s="251" t="str">
        <f t="shared" ref="E90:L90" si="46">IF($G$35="participating preferred with a cap",$G$34*$G$36,IF($G$35="full participating preferred",0,"na"))</f>
        <v>na</v>
      </c>
      <c r="F90" s="251" t="str">
        <f t="shared" si="46"/>
        <v>na</v>
      </c>
      <c r="G90" s="251" t="str">
        <f t="shared" si="46"/>
        <v>na</v>
      </c>
      <c r="H90" s="251" t="str">
        <f t="shared" si="46"/>
        <v>na</v>
      </c>
      <c r="I90" s="251" t="str">
        <f t="shared" si="46"/>
        <v>na</v>
      </c>
      <c r="J90" s="251" t="str">
        <f t="shared" si="46"/>
        <v>na</v>
      </c>
      <c r="K90" s="251" t="str">
        <f t="shared" si="46"/>
        <v>na</v>
      </c>
      <c r="L90" s="251" t="str">
        <f t="shared" si="46"/>
        <v>na</v>
      </c>
      <c r="M90" s="62"/>
    </row>
    <row r="91" spans="2:13" s="11" customFormat="1">
      <c r="B91" s="245" t="str">
        <f>"Shares, "&amp;B85</f>
        <v>Shares, B Round Shareholders</v>
      </c>
      <c r="C91" s="249" t="s">
        <v>170</v>
      </c>
      <c r="D91" s="68">
        <f ca="1">$G$27</f>
        <v>0</v>
      </c>
      <c r="E91" s="68">
        <f t="shared" ref="E91:L91" ca="1" si="47">$G$27</f>
        <v>0</v>
      </c>
      <c r="F91" s="68">
        <f t="shared" ca="1" si="47"/>
        <v>0</v>
      </c>
      <c r="G91" s="68">
        <f t="shared" ca="1" si="47"/>
        <v>0</v>
      </c>
      <c r="H91" s="68">
        <f t="shared" ca="1" si="47"/>
        <v>0</v>
      </c>
      <c r="I91" s="68">
        <f t="shared" ca="1" si="47"/>
        <v>0</v>
      </c>
      <c r="J91" s="68">
        <f t="shared" ca="1" si="47"/>
        <v>0</v>
      </c>
      <c r="K91" s="68">
        <f t="shared" ca="1" si="47"/>
        <v>0</v>
      </c>
      <c r="L91" s="68">
        <f t="shared" ca="1" si="47"/>
        <v>0</v>
      </c>
      <c r="M91" s="62"/>
    </row>
    <row r="92" spans="2:13" s="11" customFormat="1">
      <c r="B92" s="245" t="s">
        <v>203</v>
      </c>
      <c r="C92" s="249" t="s">
        <v>420</v>
      </c>
      <c r="D92" s="77" t="e">
        <f ca="1">IF(OR($G$35="full participating preferred",AND($G$35="non participating preferred",D88&gt;D89),IF($D$11="no",AND($G$35="participating preferred with a cap",D86&lt;&gt;0,D86&gt;D89,D91&lt;&gt;0),AND($G$35="participating preferred with a cap",D86&lt;&gt;0,D$41&gt;D$156,D91&lt;&gt;0))),"yes","no")</f>
        <v>#DIV/0!</v>
      </c>
      <c r="E92" s="77" t="e">
        <f t="shared" ref="E92:L92" ca="1" si="48">IF(OR($G$35="full participating preferred",AND($G$35="non participating preferred",E88&gt;E89),IF($D$11="no",AND($G$35="participating preferred with a cap",E86&lt;&gt;0,E86&gt;E89,E91&lt;&gt;0),AND($G$35="participating preferred with a cap",E86&lt;&gt;0,E$41&gt;E$156,E91&lt;&gt;0))),"yes","no")</f>
        <v>#DIV/0!</v>
      </c>
      <c r="F92" s="77" t="e">
        <f t="shared" ca="1" si="48"/>
        <v>#DIV/0!</v>
      </c>
      <c r="G92" s="77" t="e">
        <f t="shared" ca="1" si="48"/>
        <v>#DIV/0!</v>
      </c>
      <c r="H92" s="77" t="e">
        <f t="shared" ca="1" si="48"/>
        <v>#DIV/0!</v>
      </c>
      <c r="I92" s="77" t="e">
        <f t="shared" ca="1" si="48"/>
        <v>#DIV/0!</v>
      </c>
      <c r="J92" s="77" t="e">
        <f t="shared" ca="1" si="48"/>
        <v>#DIV/0!</v>
      </c>
      <c r="K92" s="77" t="e">
        <f t="shared" ca="1" si="48"/>
        <v>#DIV/0!</v>
      </c>
      <c r="L92" s="77" t="e">
        <f t="shared" ca="1" si="48"/>
        <v>#DIV/0!</v>
      </c>
      <c r="M92" s="62"/>
    </row>
    <row r="93" spans="2:13" s="11" customFormat="1">
      <c r="B93" s="245" t="s">
        <v>202</v>
      </c>
      <c r="C93" s="249" t="s">
        <v>170</v>
      </c>
      <c r="D93" s="68" t="e">
        <f ca="1">IF(D92="yes",D91,0)</f>
        <v>#DIV/0!</v>
      </c>
      <c r="E93" s="68" t="e">
        <f t="shared" ref="E93:L93" ca="1" si="49">IF(E92="yes",E91,0)</f>
        <v>#DIV/0!</v>
      </c>
      <c r="F93" s="68" t="e">
        <f t="shared" ca="1" si="49"/>
        <v>#DIV/0!</v>
      </c>
      <c r="G93" s="68" t="e">
        <f t="shared" ca="1" si="49"/>
        <v>#DIV/0!</v>
      </c>
      <c r="H93" s="68" t="e">
        <f t="shared" ca="1" si="49"/>
        <v>#DIV/0!</v>
      </c>
      <c r="I93" s="68" t="e">
        <f t="shared" ca="1" si="49"/>
        <v>#DIV/0!</v>
      </c>
      <c r="J93" s="68" t="e">
        <f t="shared" ca="1" si="49"/>
        <v>#DIV/0!</v>
      </c>
      <c r="K93" s="68" t="e">
        <f t="shared" ca="1" si="49"/>
        <v>#DIV/0!</v>
      </c>
      <c r="L93" s="68" t="e">
        <f t="shared" ca="1" si="49"/>
        <v>#DIV/0!</v>
      </c>
      <c r="M93" s="62"/>
    </row>
    <row r="94" spans="2:13" s="11" customFormat="1">
      <c r="B94" s="245" t="s">
        <v>200</v>
      </c>
      <c r="C94" s="249" t="str">
        <f>'Cap Table'!$D$60</f>
        <v>$</v>
      </c>
      <c r="D94" s="250">
        <f>IF($G$35="full participating preferred",IF($D$11="no",D93/$L$27*MAX(0,IF(D$41&lt;=D130,0,D$41-D$156)),D93*D$133),IF($G$35="participating preferred with a cap",IF($D$11="no",MIN(MAX(0,D88-D89),D90),IF(D88&gt;D90,0,MAX(0,IF($D$11="no",D93/$L$27*MAX(0,IF(D$41&lt;=D$156,0,D$41-D$156))),D93*D$133))),0))</f>
        <v>0</v>
      </c>
      <c r="E94" s="250">
        <f t="shared" ref="E94:L94" si="50">IF($G$35="full participating preferred",IF($D$11="no",E93/$L$27*MAX(0,IF(E$41&lt;=E130,0,E$41-E$156)),E93*E$133),IF($G$35="participating preferred with a cap",IF($D$11="no",MIN(MAX(0,E88-E89),E90),IF(E88&gt;E90,0,MAX(0,IF($D$11="no",E93/$L$27*MAX(0,IF(E$41&lt;=E$156,0,E$41-E$156))),E93*E$133))),0))</f>
        <v>0</v>
      </c>
      <c r="F94" s="250">
        <f t="shared" si="50"/>
        <v>0</v>
      </c>
      <c r="G94" s="250">
        <f t="shared" si="50"/>
        <v>0</v>
      </c>
      <c r="H94" s="250">
        <f t="shared" si="50"/>
        <v>0</v>
      </c>
      <c r="I94" s="250">
        <f t="shared" si="50"/>
        <v>0</v>
      </c>
      <c r="J94" s="250">
        <f t="shared" si="50"/>
        <v>0</v>
      </c>
      <c r="K94" s="250">
        <f t="shared" si="50"/>
        <v>0</v>
      </c>
      <c r="L94" s="250">
        <f t="shared" si="50"/>
        <v>0</v>
      </c>
      <c r="M94" s="62"/>
    </row>
    <row r="95" spans="2:13" s="11" customFormat="1">
      <c r="B95" s="245" t="s">
        <v>23</v>
      </c>
      <c r="C95" s="249" t="str">
        <f>'Cap Table'!$D$60</f>
        <v>$</v>
      </c>
      <c r="D95" s="68" t="e">
        <f ca="1">MIN(D86,MAX(D93*D$133,D89+D94))</f>
        <v>#DIV/0!</v>
      </c>
      <c r="E95" s="68" t="e">
        <f t="shared" ref="E95:L95" ca="1" si="51">MIN(E86,MAX(E93*E$133,E89+E94))</f>
        <v>#DIV/0!</v>
      </c>
      <c r="F95" s="68" t="e">
        <f t="shared" ca="1" si="51"/>
        <v>#DIV/0!</v>
      </c>
      <c r="G95" s="68" t="e">
        <f t="shared" ca="1" si="51"/>
        <v>#DIV/0!</v>
      </c>
      <c r="H95" s="68" t="e">
        <f t="shared" ca="1" si="51"/>
        <v>#DIV/0!</v>
      </c>
      <c r="I95" s="68" t="e">
        <f t="shared" ca="1" si="51"/>
        <v>#DIV/0!</v>
      </c>
      <c r="J95" s="68" t="e">
        <f t="shared" ca="1" si="51"/>
        <v>#DIV/0!</v>
      </c>
      <c r="K95" s="68" t="e">
        <f t="shared" ca="1" si="51"/>
        <v>#DIV/0!</v>
      </c>
      <c r="L95" s="68" t="e">
        <f t="shared" ca="1" si="51"/>
        <v>#DIV/0!</v>
      </c>
      <c r="M95" s="62"/>
    </row>
    <row r="96" spans="2:13" s="11" customFormat="1">
      <c r="B96" s="245" t="s">
        <v>19</v>
      </c>
      <c r="C96" s="249" t="str">
        <f>'Cap Table'!$D$60</f>
        <v>$</v>
      </c>
      <c r="D96" s="253">
        <f ca="1">IFERROR(D95/D91,0)</f>
        <v>0</v>
      </c>
      <c r="E96" s="253">
        <f t="shared" ref="E96:L96" ca="1" si="52">IFERROR(E95/E91,0)</f>
        <v>0</v>
      </c>
      <c r="F96" s="253">
        <f t="shared" ca="1" si="52"/>
        <v>0</v>
      </c>
      <c r="G96" s="253">
        <f t="shared" ca="1" si="52"/>
        <v>0</v>
      </c>
      <c r="H96" s="253">
        <f t="shared" ca="1" si="52"/>
        <v>0</v>
      </c>
      <c r="I96" s="253">
        <f t="shared" ca="1" si="52"/>
        <v>0</v>
      </c>
      <c r="J96" s="253">
        <f t="shared" ca="1" si="52"/>
        <v>0</v>
      </c>
      <c r="K96" s="253">
        <f t="shared" ca="1" si="52"/>
        <v>0</v>
      </c>
      <c r="L96" s="253">
        <f t="shared" ca="1" si="52"/>
        <v>0</v>
      </c>
      <c r="M96" s="62"/>
    </row>
    <row r="97" spans="2:13" s="11" customFormat="1">
      <c r="C97" s="93"/>
      <c r="M97" s="62"/>
    </row>
    <row r="98" spans="2:13" s="11" customFormat="1">
      <c r="B98" s="247" t="str">
        <f>H$16&amp;" Round Shareholders"</f>
        <v>A Round Shareholders</v>
      </c>
      <c r="C98" s="93"/>
      <c r="M98" s="62"/>
    </row>
    <row r="99" spans="2:13" s="11" customFormat="1">
      <c r="B99" s="245" t="s">
        <v>199</v>
      </c>
      <c r="C99" s="249" t="str">
        <f>'Cap Table'!$D$60</f>
        <v>$</v>
      </c>
      <c r="D99" s="68" t="e">
        <f ca="1">IF(D92="no",MAX(0,D86-D89),IF($G$35="full participating preferred",MAX(0,D86-D89),IF(AND($G$35="participating preferred with a cap",D94&lt;&gt;0),MAX(0,D86-D89),D86)))</f>
        <v>#DIV/0!</v>
      </c>
      <c r="E99" s="68" t="e">
        <f t="shared" ref="E99:L99" ca="1" si="53">IF(E92="no",MAX(0,E86-E89),IF($G$35="full participating preferred",MAX(0,E86-E89),IF(AND($G$35="participating preferred with a cap",E94&lt;&gt;0),MAX(0,E86-E89),E86)))</f>
        <v>#DIV/0!</v>
      </c>
      <c r="F99" s="68" t="e">
        <f t="shared" ca="1" si="53"/>
        <v>#DIV/0!</v>
      </c>
      <c r="G99" s="68" t="e">
        <f t="shared" ca="1" si="53"/>
        <v>#DIV/0!</v>
      </c>
      <c r="H99" s="68" t="e">
        <f t="shared" ca="1" si="53"/>
        <v>#DIV/0!</v>
      </c>
      <c r="I99" s="68" t="e">
        <f t="shared" ca="1" si="53"/>
        <v>#DIV/0!</v>
      </c>
      <c r="J99" s="68" t="e">
        <f t="shared" ca="1" si="53"/>
        <v>#DIV/0!</v>
      </c>
      <c r="K99" s="68" t="e">
        <f t="shared" ca="1" si="53"/>
        <v>#DIV/0!</v>
      </c>
      <c r="L99" s="68" t="e">
        <f t="shared" ca="1" si="53"/>
        <v>#DIV/0!</v>
      </c>
      <c r="M99" s="248" t="s">
        <v>568</v>
      </c>
    </row>
    <row r="100" spans="2:13" s="11" customFormat="1">
      <c r="B100" s="245" t="s">
        <v>204</v>
      </c>
      <c r="C100" s="93" t="s">
        <v>170</v>
      </c>
      <c r="D100" s="68" t="e">
        <f ca="1">D87-D93</f>
        <v>#DIV/0!</v>
      </c>
      <c r="E100" s="68" t="e">
        <f t="shared" ref="E100:L100" ca="1" si="54">E87-E93</f>
        <v>#DIV/0!</v>
      </c>
      <c r="F100" s="68" t="e">
        <f t="shared" ca="1" si="54"/>
        <v>#DIV/0!</v>
      </c>
      <c r="G100" s="68" t="e">
        <f t="shared" ca="1" si="54"/>
        <v>#DIV/0!</v>
      </c>
      <c r="H100" s="68" t="e">
        <f t="shared" ca="1" si="54"/>
        <v>#DIV/0!</v>
      </c>
      <c r="I100" s="68" t="e">
        <f t="shared" ca="1" si="54"/>
        <v>#DIV/0!</v>
      </c>
      <c r="J100" s="68" t="e">
        <f t="shared" ca="1" si="54"/>
        <v>#DIV/0!</v>
      </c>
      <c r="K100" s="68" t="e">
        <f t="shared" ca="1" si="54"/>
        <v>#DIV/0!</v>
      </c>
      <c r="L100" s="68" t="e">
        <f t="shared" ca="1" si="54"/>
        <v>#DIV/0!</v>
      </c>
      <c r="M100" s="62"/>
    </row>
    <row r="101" spans="2:13" s="11" customFormat="1">
      <c r="B101" s="245" t="s">
        <v>197</v>
      </c>
      <c r="C101" s="249" t="str">
        <f>'Cap Table'!$D$60</f>
        <v>$</v>
      </c>
      <c r="D101" s="250" t="e">
        <f ca="1">IF($D$11="no",MAX(0,D99)/D100*D104,IF($H$34="full participating preferred",MAX(0,D99-D$156)/D100*D104,MAX(0,D99)/D100*D104))</f>
        <v>#DIV/0!</v>
      </c>
      <c r="E101" s="250" t="e">
        <f t="shared" ref="E101:L101" ca="1" si="55">IF($D$11="no",MAX(0,E99)/E100*E104,IF($H$34="full participating preferred",MAX(0,E99-E$156)/E100*E104,MAX(0,E99)/E100*E104))</f>
        <v>#DIV/0!</v>
      </c>
      <c r="F101" s="250" t="e">
        <f t="shared" ca="1" si="55"/>
        <v>#DIV/0!</v>
      </c>
      <c r="G101" s="250" t="e">
        <f t="shared" ca="1" si="55"/>
        <v>#DIV/0!</v>
      </c>
      <c r="H101" s="250" t="e">
        <f t="shared" ca="1" si="55"/>
        <v>#DIV/0!</v>
      </c>
      <c r="I101" s="250" t="e">
        <f t="shared" ca="1" si="55"/>
        <v>#DIV/0!</v>
      </c>
      <c r="J101" s="250" t="e">
        <f t="shared" ca="1" si="55"/>
        <v>#DIV/0!</v>
      </c>
      <c r="K101" s="250" t="e">
        <f t="shared" ca="1" si="55"/>
        <v>#DIV/0!</v>
      </c>
      <c r="L101" s="250" t="e">
        <f t="shared" ca="1" si="55"/>
        <v>#DIV/0!</v>
      </c>
      <c r="M101" s="62"/>
    </row>
    <row r="102" spans="2:13" s="11" customFormat="1">
      <c r="B102" s="245" t="s">
        <v>196</v>
      </c>
      <c r="C102" s="249" t="str">
        <f>'Cap Table'!$D$60</f>
        <v>$</v>
      </c>
      <c r="D102" s="251">
        <f ca="1">$H$34</f>
        <v>0</v>
      </c>
      <c r="E102" s="251">
        <f t="shared" ref="E102:L102" ca="1" si="56">$H$34</f>
        <v>0</v>
      </c>
      <c r="F102" s="251">
        <f t="shared" ca="1" si="56"/>
        <v>0</v>
      </c>
      <c r="G102" s="251">
        <f t="shared" ca="1" si="56"/>
        <v>0</v>
      </c>
      <c r="H102" s="251">
        <f t="shared" ca="1" si="56"/>
        <v>0</v>
      </c>
      <c r="I102" s="251">
        <f t="shared" ca="1" si="56"/>
        <v>0</v>
      </c>
      <c r="J102" s="251">
        <f t="shared" ca="1" si="56"/>
        <v>0</v>
      </c>
      <c r="K102" s="251">
        <f t="shared" ca="1" si="56"/>
        <v>0</v>
      </c>
      <c r="L102" s="251">
        <f t="shared" ca="1" si="56"/>
        <v>0</v>
      </c>
      <c r="M102" s="62"/>
    </row>
    <row r="103" spans="2:13" s="11" customFormat="1">
      <c r="B103" s="245" t="s">
        <v>560</v>
      </c>
      <c r="C103" s="249" t="str">
        <f>'Cap Table'!$D$60</f>
        <v>$</v>
      </c>
      <c r="D103" s="251" t="str">
        <f>IF($H$35="participating preferred with a cap",$H$34*$H$36,IF($H$35="full participating preferred",0,"na"))</f>
        <v>na</v>
      </c>
      <c r="E103" s="251" t="str">
        <f t="shared" ref="E103:L103" si="57">IF($H$35="participating preferred with a cap",$H$34*$H$36,IF($H$35="full participating preferred",0,"na"))</f>
        <v>na</v>
      </c>
      <c r="F103" s="251" t="str">
        <f t="shared" si="57"/>
        <v>na</v>
      </c>
      <c r="G103" s="251" t="str">
        <f t="shared" si="57"/>
        <v>na</v>
      </c>
      <c r="H103" s="251" t="str">
        <f t="shared" si="57"/>
        <v>na</v>
      </c>
      <c r="I103" s="251" t="str">
        <f t="shared" si="57"/>
        <v>na</v>
      </c>
      <c r="J103" s="251" t="str">
        <f t="shared" si="57"/>
        <v>na</v>
      </c>
      <c r="K103" s="251" t="str">
        <f t="shared" si="57"/>
        <v>na</v>
      </c>
      <c r="L103" s="251" t="str">
        <f t="shared" si="57"/>
        <v>na</v>
      </c>
      <c r="M103" s="62"/>
    </row>
    <row r="104" spans="2:13" s="11" customFormat="1">
      <c r="B104" s="245" t="str">
        <f>"Shares, "&amp;B98</f>
        <v>Shares, A Round Shareholders</v>
      </c>
      <c r="C104" s="249" t="s">
        <v>170</v>
      </c>
      <c r="D104" s="68">
        <f ca="1">$H$27</f>
        <v>0</v>
      </c>
      <c r="E104" s="68">
        <f t="shared" ref="E104:L104" ca="1" si="58">$H$27</f>
        <v>0</v>
      </c>
      <c r="F104" s="68">
        <f t="shared" ca="1" si="58"/>
        <v>0</v>
      </c>
      <c r="G104" s="68">
        <f t="shared" ca="1" si="58"/>
        <v>0</v>
      </c>
      <c r="H104" s="68">
        <f t="shared" ca="1" si="58"/>
        <v>0</v>
      </c>
      <c r="I104" s="68">
        <f t="shared" ca="1" si="58"/>
        <v>0</v>
      </c>
      <c r="J104" s="68">
        <f t="shared" ca="1" si="58"/>
        <v>0</v>
      </c>
      <c r="K104" s="68">
        <f t="shared" ca="1" si="58"/>
        <v>0</v>
      </c>
      <c r="L104" s="68">
        <f t="shared" ca="1" si="58"/>
        <v>0</v>
      </c>
      <c r="M104" s="62"/>
    </row>
    <row r="105" spans="2:13" s="11" customFormat="1">
      <c r="B105" s="245" t="s">
        <v>203</v>
      </c>
      <c r="C105" s="249" t="s">
        <v>420</v>
      </c>
      <c r="D105" s="77" t="e">
        <f ca="1">IF(OR($H$35="full participating preferred",AND($H$35="non participating preferred",D101&gt;D102),IF($D$11="no",AND($H$35="participating preferred with a cap",D99&lt;&gt;0,D99&gt;D102,D104&lt;&gt;0),AND($H$35="participating preferred with a cap",D99&lt;&gt;0,D$41&gt;D$156,D104&lt;&gt;0))),"yes","no")</f>
        <v>#DIV/0!</v>
      </c>
      <c r="E105" s="77" t="e">
        <f t="shared" ref="E105:L105" ca="1" si="59">IF(OR($H$35="full participating preferred",AND($H$35="non participating preferred",E101&gt;E102),IF($D$11="no",AND($H$35="participating preferred with a cap",E99&lt;&gt;0,E99&gt;E102,E104&lt;&gt;0),AND($H$35="participating preferred with a cap",E99&lt;&gt;0,E$41&gt;E$156,E104&lt;&gt;0))),"yes","no")</f>
        <v>#DIV/0!</v>
      </c>
      <c r="F105" s="77" t="e">
        <f t="shared" ca="1" si="59"/>
        <v>#DIV/0!</v>
      </c>
      <c r="G105" s="77" t="e">
        <f t="shared" ca="1" si="59"/>
        <v>#DIV/0!</v>
      </c>
      <c r="H105" s="77" t="e">
        <f t="shared" ca="1" si="59"/>
        <v>#DIV/0!</v>
      </c>
      <c r="I105" s="77" t="e">
        <f t="shared" ca="1" si="59"/>
        <v>#DIV/0!</v>
      </c>
      <c r="J105" s="77" t="e">
        <f t="shared" ca="1" si="59"/>
        <v>#DIV/0!</v>
      </c>
      <c r="K105" s="77" t="e">
        <f t="shared" ca="1" si="59"/>
        <v>#DIV/0!</v>
      </c>
      <c r="L105" s="77" t="e">
        <f t="shared" ca="1" si="59"/>
        <v>#DIV/0!</v>
      </c>
      <c r="M105" s="62"/>
    </row>
    <row r="106" spans="2:13" s="11" customFormat="1">
      <c r="B106" s="245" t="s">
        <v>202</v>
      </c>
      <c r="C106" s="249" t="s">
        <v>170</v>
      </c>
      <c r="D106" s="68" t="e">
        <f ca="1">IF(D105="yes",D104,0)</f>
        <v>#DIV/0!</v>
      </c>
      <c r="E106" s="68" t="e">
        <f t="shared" ref="E106:L106" ca="1" si="60">IF(E105="yes",E104,0)</f>
        <v>#DIV/0!</v>
      </c>
      <c r="F106" s="68" t="e">
        <f t="shared" ca="1" si="60"/>
        <v>#DIV/0!</v>
      </c>
      <c r="G106" s="68" t="e">
        <f t="shared" ca="1" si="60"/>
        <v>#DIV/0!</v>
      </c>
      <c r="H106" s="68" t="e">
        <f t="shared" ca="1" si="60"/>
        <v>#DIV/0!</v>
      </c>
      <c r="I106" s="68" t="e">
        <f t="shared" ca="1" si="60"/>
        <v>#DIV/0!</v>
      </c>
      <c r="J106" s="68" t="e">
        <f t="shared" ca="1" si="60"/>
        <v>#DIV/0!</v>
      </c>
      <c r="K106" s="68" t="e">
        <f t="shared" ca="1" si="60"/>
        <v>#DIV/0!</v>
      </c>
      <c r="L106" s="68" t="e">
        <f t="shared" ca="1" si="60"/>
        <v>#DIV/0!</v>
      </c>
      <c r="M106" s="62"/>
    </row>
    <row r="107" spans="2:13" s="11" customFormat="1">
      <c r="B107" s="245" t="s">
        <v>200</v>
      </c>
      <c r="C107" s="249" t="str">
        <f>'Cap Table'!$D$60</f>
        <v>$</v>
      </c>
      <c r="D107" s="250">
        <f>IF($H$35="full participating preferred",IF($D$11="no",D106/$L$27*MAX(0,IF(D$41&lt;=D143,0,D$41-D$156)),D106*D$133),IF($H$35="participating preferred with a cap",IF($D$11="no",MIN(MAX(0,D101-D102),D103),IF(D101&gt;D103,0,MAX(0,IF($D$11="no",D106/$L$27*MAX(0,IF(D$41&lt;=D$156,0,D$41-D$156))),D106*D$133))),0))</f>
        <v>0</v>
      </c>
      <c r="E107" s="250">
        <f t="shared" ref="E107:L107" si="61">IF($H$35="full participating preferred",IF($D$11="no",E106/$L$27*MAX(0,IF(E$41&lt;=E143,0,E$41-E$156)),E106*E$133),IF($H$35="participating preferred with a cap",IF($D$11="no",MIN(MAX(0,E101-E102),E103),IF(E101&gt;E103,0,MAX(0,IF($D$11="no",E106/$L$27*MAX(0,IF(E$41&lt;=E$156,0,E$41-E$156))),E106*E$133))),0))</f>
        <v>0</v>
      </c>
      <c r="F107" s="250">
        <f t="shared" si="61"/>
        <v>0</v>
      </c>
      <c r="G107" s="250">
        <f t="shared" si="61"/>
        <v>0</v>
      </c>
      <c r="H107" s="250">
        <f t="shared" si="61"/>
        <v>0</v>
      </c>
      <c r="I107" s="250">
        <f t="shared" si="61"/>
        <v>0</v>
      </c>
      <c r="J107" s="250">
        <f t="shared" si="61"/>
        <v>0</v>
      </c>
      <c r="K107" s="250">
        <f t="shared" si="61"/>
        <v>0</v>
      </c>
      <c r="L107" s="250">
        <f t="shared" si="61"/>
        <v>0</v>
      </c>
      <c r="M107" s="62"/>
    </row>
    <row r="108" spans="2:13" s="11" customFormat="1">
      <c r="B108" s="245" t="s">
        <v>23</v>
      </c>
      <c r="C108" s="249" t="str">
        <f>'Cap Table'!$D$60</f>
        <v>$</v>
      </c>
      <c r="D108" s="68" t="e">
        <f ca="1">MIN(D99,MAX(D106*D$133,D102+D107))</f>
        <v>#DIV/0!</v>
      </c>
      <c r="E108" s="68" t="e">
        <f t="shared" ref="E108:L108" ca="1" si="62">MIN(E99,MAX(E106*E$133,E102+E107))</f>
        <v>#DIV/0!</v>
      </c>
      <c r="F108" s="68" t="e">
        <f t="shared" ca="1" si="62"/>
        <v>#DIV/0!</v>
      </c>
      <c r="G108" s="68" t="e">
        <f t="shared" ca="1" si="62"/>
        <v>#DIV/0!</v>
      </c>
      <c r="H108" s="68" t="e">
        <f t="shared" ca="1" si="62"/>
        <v>#DIV/0!</v>
      </c>
      <c r="I108" s="68" t="e">
        <f t="shared" ca="1" si="62"/>
        <v>#DIV/0!</v>
      </c>
      <c r="J108" s="68" t="e">
        <f t="shared" ca="1" si="62"/>
        <v>#DIV/0!</v>
      </c>
      <c r="K108" s="68" t="e">
        <f t="shared" ca="1" si="62"/>
        <v>#DIV/0!</v>
      </c>
      <c r="L108" s="68" t="e">
        <f t="shared" ca="1" si="62"/>
        <v>#DIV/0!</v>
      </c>
      <c r="M108" s="62"/>
    </row>
    <row r="109" spans="2:13" s="11" customFormat="1">
      <c r="B109" s="245" t="s">
        <v>19</v>
      </c>
      <c r="C109" s="249" t="str">
        <f>'Cap Table'!$D$60</f>
        <v>$</v>
      </c>
      <c r="D109" s="253">
        <f ca="1">IFERROR(D108/D104,0)</f>
        <v>0</v>
      </c>
      <c r="E109" s="253">
        <f t="shared" ref="E109:L109" ca="1" si="63">IFERROR(E108/E104,0)</f>
        <v>0</v>
      </c>
      <c r="F109" s="253">
        <f t="shared" ca="1" si="63"/>
        <v>0</v>
      </c>
      <c r="G109" s="253">
        <f t="shared" ca="1" si="63"/>
        <v>0</v>
      </c>
      <c r="H109" s="253">
        <f t="shared" ca="1" si="63"/>
        <v>0</v>
      </c>
      <c r="I109" s="253">
        <f t="shared" ca="1" si="63"/>
        <v>0</v>
      </c>
      <c r="J109" s="253">
        <f t="shared" ca="1" si="63"/>
        <v>0</v>
      </c>
      <c r="K109" s="253">
        <f t="shared" ca="1" si="63"/>
        <v>0</v>
      </c>
      <c r="L109" s="253">
        <f t="shared" ca="1" si="63"/>
        <v>0</v>
      </c>
      <c r="M109" s="62"/>
    </row>
    <row r="110" spans="2:13" s="11" customFormat="1">
      <c r="C110" s="93"/>
      <c r="M110" s="62"/>
    </row>
    <row r="111" spans="2:13" s="11" customFormat="1">
      <c r="B111" s="247" t="str">
        <f>I$16&amp;" Round Shareholders"</f>
        <v>Seed Round Shareholders</v>
      </c>
      <c r="C111" s="93"/>
      <c r="M111" s="62"/>
    </row>
    <row r="112" spans="2:13" s="11" customFormat="1">
      <c r="B112" s="245" t="s">
        <v>199</v>
      </c>
      <c r="C112" s="249" t="str">
        <f>'Cap Table'!$D$60</f>
        <v>$</v>
      </c>
      <c r="D112" s="68" t="e">
        <f ca="1">IF(D105="no",MAX(0,D99-D102),IF($H$35="full participating preferred",MAX(0,D99-D102),IF(AND($H$35="participating preferred with a cap",D107&lt;&gt;0),MAX(0,D99-D102),D99)))</f>
        <v>#DIV/0!</v>
      </c>
      <c r="E112" s="68" t="e">
        <f t="shared" ref="E112:L112" ca="1" si="64">IF(E105="no",MAX(0,E99-E102),IF($H$35="full participating preferred",MAX(0,E99-E102),IF(AND($H$35="participating preferred with a cap",E107&lt;&gt;0),MAX(0,E99-E102),E99)))</f>
        <v>#DIV/0!</v>
      </c>
      <c r="F112" s="68" t="e">
        <f t="shared" ca="1" si="64"/>
        <v>#DIV/0!</v>
      </c>
      <c r="G112" s="68" t="e">
        <f t="shared" ca="1" si="64"/>
        <v>#DIV/0!</v>
      </c>
      <c r="H112" s="68" t="e">
        <f t="shared" ca="1" si="64"/>
        <v>#DIV/0!</v>
      </c>
      <c r="I112" s="68" t="e">
        <f t="shared" ca="1" si="64"/>
        <v>#DIV/0!</v>
      </c>
      <c r="J112" s="68" t="e">
        <f t="shared" ca="1" si="64"/>
        <v>#DIV/0!</v>
      </c>
      <c r="K112" s="68" t="e">
        <f t="shared" ca="1" si="64"/>
        <v>#DIV/0!</v>
      </c>
      <c r="L112" s="68" t="e">
        <f t="shared" ca="1" si="64"/>
        <v>#DIV/0!</v>
      </c>
      <c r="M112" s="248" t="s">
        <v>568</v>
      </c>
    </row>
    <row r="113" spans="2:13" s="11" customFormat="1">
      <c r="B113" s="245" t="s">
        <v>204</v>
      </c>
      <c r="C113" s="93" t="s">
        <v>170</v>
      </c>
      <c r="D113" s="68" t="e">
        <f ca="1">D100-D106</f>
        <v>#DIV/0!</v>
      </c>
      <c r="E113" s="68" t="e">
        <f t="shared" ref="E113:L113" ca="1" si="65">E100-E106</f>
        <v>#DIV/0!</v>
      </c>
      <c r="F113" s="68" t="e">
        <f t="shared" ca="1" si="65"/>
        <v>#DIV/0!</v>
      </c>
      <c r="G113" s="68" t="e">
        <f t="shared" ca="1" si="65"/>
        <v>#DIV/0!</v>
      </c>
      <c r="H113" s="68" t="e">
        <f t="shared" ca="1" si="65"/>
        <v>#DIV/0!</v>
      </c>
      <c r="I113" s="68" t="e">
        <f t="shared" ca="1" si="65"/>
        <v>#DIV/0!</v>
      </c>
      <c r="J113" s="68" t="e">
        <f t="shared" ca="1" si="65"/>
        <v>#DIV/0!</v>
      </c>
      <c r="K113" s="68" t="e">
        <f t="shared" ca="1" si="65"/>
        <v>#DIV/0!</v>
      </c>
      <c r="L113" s="68" t="e">
        <f t="shared" ca="1" si="65"/>
        <v>#DIV/0!</v>
      </c>
      <c r="M113" s="62"/>
    </row>
    <row r="114" spans="2:13" s="11" customFormat="1">
      <c r="B114" s="245" t="s">
        <v>197</v>
      </c>
      <c r="C114" s="249" t="str">
        <f>'Cap Table'!$D$60</f>
        <v>$</v>
      </c>
      <c r="D114" s="250" t="e">
        <f ca="1">IF($D$11="no",MAX(0,D112)/D113*D117,IF($I$34="full participating preferred",MAX(0,D112-D$156)/D113*D117,MAX(0,D112)/D113*D117))</f>
        <v>#DIV/0!</v>
      </c>
      <c r="E114" s="250" t="e">
        <f t="shared" ref="E114:L114" ca="1" si="66">IF($D$11="no",MAX(0,E112)/E113*E117,IF($I$34="full participating preferred",MAX(0,E112-E$156)/E113*E117,MAX(0,E112)/E113*E117))</f>
        <v>#DIV/0!</v>
      </c>
      <c r="F114" s="250" t="e">
        <f t="shared" ca="1" si="66"/>
        <v>#DIV/0!</v>
      </c>
      <c r="G114" s="250" t="e">
        <f t="shared" ca="1" si="66"/>
        <v>#DIV/0!</v>
      </c>
      <c r="H114" s="250" t="e">
        <f t="shared" ca="1" si="66"/>
        <v>#DIV/0!</v>
      </c>
      <c r="I114" s="250" t="e">
        <f t="shared" ca="1" si="66"/>
        <v>#DIV/0!</v>
      </c>
      <c r="J114" s="250" t="e">
        <f t="shared" ca="1" si="66"/>
        <v>#DIV/0!</v>
      </c>
      <c r="K114" s="250" t="e">
        <f t="shared" ca="1" si="66"/>
        <v>#DIV/0!</v>
      </c>
      <c r="L114" s="250" t="e">
        <f t="shared" ca="1" si="66"/>
        <v>#DIV/0!</v>
      </c>
      <c r="M114" s="62"/>
    </row>
    <row r="115" spans="2:13" s="11" customFormat="1">
      <c r="B115" s="245" t="s">
        <v>196</v>
      </c>
      <c r="C115" s="249" t="str">
        <f>'Cap Table'!$D$60</f>
        <v>$</v>
      </c>
      <c r="D115" s="251">
        <f ca="1">$I$34</f>
        <v>0</v>
      </c>
      <c r="E115" s="251">
        <f t="shared" ref="E115:L115" ca="1" si="67">$I$34</f>
        <v>0</v>
      </c>
      <c r="F115" s="251">
        <f t="shared" ca="1" si="67"/>
        <v>0</v>
      </c>
      <c r="G115" s="251">
        <f t="shared" ca="1" si="67"/>
        <v>0</v>
      </c>
      <c r="H115" s="251">
        <f t="shared" ca="1" si="67"/>
        <v>0</v>
      </c>
      <c r="I115" s="251">
        <f t="shared" ca="1" si="67"/>
        <v>0</v>
      </c>
      <c r="J115" s="251">
        <f t="shared" ca="1" si="67"/>
        <v>0</v>
      </c>
      <c r="K115" s="251">
        <f t="shared" ca="1" si="67"/>
        <v>0</v>
      </c>
      <c r="L115" s="251">
        <f t="shared" ca="1" si="67"/>
        <v>0</v>
      </c>
      <c r="M115" s="62"/>
    </row>
    <row r="116" spans="2:13" s="11" customFormat="1">
      <c r="B116" s="245" t="s">
        <v>560</v>
      </c>
      <c r="C116" s="249" t="str">
        <f>'Cap Table'!$D$60</f>
        <v>$</v>
      </c>
      <c r="D116" s="251" t="str">
        <f>IF($I$35="participating preferred with a cap",$I$34*$I$36,IF($I$35="full participating preferred",0,"na"))</f>
        <v>na</v>
      </c>
      <c r="E116" s="251" t="str">
        <f t="shared" ref="E116:L116" si="68">IF($I$35="participating preferred with a cap",$I$34*$I$36,IF($I$35="full participating preferred",0,"na"))</f>
        <v>na</v>
      </c>
      <c r="F116" s="251" t="str">
        <f t="shared" si="68"/>
        <v>na</v>
      </c>
      <c r="G116" s="251" t="str">
        <f t="shared" si="68"/>
        <v>na</v>
      </c>
      <c r="H116" s="251" t="str">
        <f t="shared" si="68"/>
        <v>na</v>
      </c>
      <c r="I116" s="251" t="str">
        <f t="shared" si="68"/>
        <v>na</v>
      </c>
      <c r="J116" s="251" t="str">
        <f t="shared" si="68"/>
        <v>na</v>
      </c>
      <c r="K116" s="251" t="str">
        <f t="shared" si="68"/>
        <v>na</v>
      </c>
      <c r="L116" s="251" t="str">
        <f t="shared" si="68"/>
        <v>na</v>
      </c>
      <c r="M116" s="62"/>
    </row>
    <row r="117" spans="2:13" s="11" customFormat="1">
      <c r="B117" s="245" t="str">
        <f>"Shares, "&amp;B111</f>
        <v>Shares, Seed Round Shareholders</v>
      </c>
      <c r="C117" s="249" t="s">
        <v>170</v>
      </c>
      <c r="D117" s="68">
        <f ca="1">$I$27</f>
        <v>0</v>
      </c>
      <c r="E117" s="68">
        <f t="shared" ref="E117:L117" ca="1" si="69">$I$27</f>
        <v>0</v>
      </c>
      <c r="F117" s="68">
        <f t="shared" ca="1" si="69"/>
        <v>0</v>
      </c>
      <c r="G117" s="68">
        <f t="shared" ca="1" si="69"/>
        <v>0</v>
      </c>
      <c r="H117" s="68">
        <f t="shared" ca="1" si="69"/>
        <v>0</v>
      </c>
      <c r="I117" s="68">
        <f t="shared" ca="1" si="69"/>
        <v>0</v>
      </c>
      <c r="J117" s="68">
        <f t="shared" ca="1" si="69"/>
        <v>0</v>
      </c>
      <c r="K117" s="68">
        <f t="shared" ca="1" si="69"/>
        <v>0</v>
      </c>
      <c r="L117" s="68">
        <f t="shared" ca="1" si="69"/>
        <v>0</v>
      </c>
      <c r="M117" s="62"/>
    </row>
    <row r="118" spans="2:13" s="11" customFormat="1">
      <c r="B118" s="245" t="s">
        <v>203</v>
      </c>
      <c r="C118" s="249" t="s">
        <v>420</v>
      </c>
      <c r="D118" s="77" t="e">
        <f ca="1">IF(OR($I$35="full participating preferred",AND($I$35="non participating preferred",D114&gt;D115),IF($D$11="no",AND($I$35="participating preferred with a cap",D112&lt;&gt;0,D112&gt;D115,D117&lt;&gt;0),AND($I$35="participating preferred with a cap",D112&lt;&gt;0,D$41&gt;D$156,D117&lt;&gt;0))),"yes","no")</f>
        <v>#DIV/0!</v>
      </c>
      <c r="E118" s="77" t="e">
        <f t="shared" ref="E118:L118" ca="1" si="70">IF(OR($I$35="full participating preferred",AND($I$35="non participating preferred",E114&gt;E115),IF($D$11="no",AND($I$35="participating preferred with a cap",E112&lt;&gt;0,E112&gt;E115,E117&lt;&gt;0),AND($I$35="participating preferred with a cap",E112&lt;&gt;0,E$41&gt;E$156,E117&lt;&gt;0))),"yes","no")</f>
        <v>#DIV/0!</v>
      </c>
      <c r="F118" s="77" t="e">
        <f t="shared" ca="1" si="70"/>
        <v>#DIV/0!</v>
      </c>
      <c r="G118" s="77" t="e">
        <f t="shared" ca="1" si="70"/>
        <v>#DIV/0!</v>
      </c>
      <c r="H118" s="77" t="e">
        <f t="shared" ca="1" si="70"/>
        <v>#DIV/0!</v>
      </c>
      <c r="I118" s="77" t="e">
        <f t="shared" ca="1" si="70"/>
        <v>#DIV/0!</v>
      </c>
      <c r="J118" s="77" t="e">
        <f t="shared" ca="1" si="70"/>
        <v>#DIV/0!</v>
      </c>
      <c r="K118" s="77" t="e">
        <f t="shared" ca="1" si="70"/>
        <v>#DIV/0!</v>
      </c>
      <c r="L118" s="77" t="e">
        <f t="shared" ca="1" si="70"/>
        <v>#DIV/0!</v>
      </c>
      <c r="M118" s="62"/>
    </row>
    <row r="119" spans="2:13" s="11" customFormat="1">
      <c r="B119" s="245" t="s">
        <v>202</v>
      </c>
      <c r="C119" s="249" t="s">
        <v>170</v>
      </c>
      <c r="D119" s="68" t="e">
        <f ca="1">IF(D118="yes",D117,0)</f>
        <v>#DIV/0!</v>
      </c>
      <c r="E119" s="68" t="e">
        <f t="shared" ref="E119:L119" ca="1" si="71">IF(E118="yes",E117,0)</f>
        <v>#DIV/0!</v>
      </c>
      <c r="F119" s="68" t="e">
        <f t="shared" ca="1" si="71"/>
        <v>#DIV/0!</v>
      </c>
      <c r="G119" s="68" t="e">
        <f t="shared" ca="1" si="71"/>
        <v>#DIV/0!</v>
      </c>
      <c r="H119" s="68" t="e">
        <f t="shared" ca="1" si="71"/>
        <v>#DIV/0!</v>
      </c>
      <c r="I119" s="68" t="e">
        <f t="shared" ca="1" si="71"/>
        <v>#DIV/0!</v>
      </c>
      <c r="J119" s="68" t="e">
        <f t="shared" ca="1" si="71"/>
        <v>#DIV/0!</v>
      </c>
      <c r="K119" s="68" t="e">
        <f t="shared" ca="1" si="71"/>
        <v>#DIV/0!</v>
      </c>
      <c r="L119" s="68" t="e">
        <f t="shared" ca="1" si="71"/>
        <v>#DIV/0!</v>
      </c>
      <c r="M119" s="62"/>
    </row>
    <row r="120" spans="2:13" s="11" customFormat="1">
      <c r="B120" s="245" t="s">
        <v>200</v>
      </c>
      <c r="C120" s="249" t="str">
        <f>'Cap Table'!$D$60</f>
        <v>$</v>
      </c>
      <c r="D120" s="250">
        <f>IF($I$35="full participating preferred",IF($D$11="no",D119/$L$27*MAX(0,IF(D$41&lt;=D156,0,D$41-D$156)),D119*D$133),IF($I$35="participating preferred with a cap",IF($D$11="no",MIN(MAX(0,D114-D115),D116),IF(D114&gt;D116,0,MAX(0,IF($D$11="no",D119/$L$27*MAX(0,IF(D$41&lt;=D$156,0,D$41-D$156))),D119*D$133))),0))</f>
        <v>0</v>
      </c>
      <c r="E120" s="250">
        <f t="shared" ref="E120:L120" si="72">IF($I$35="full participating preferred",IF($D$11="no",E119/$L$27*MAX(0,IF(E$41&lt;=E156,0,E41-E156)),E119*E$133),IF($I$35="participating preferred with a cap",IF($D$11="no",MIN(MAX(0,E114-E115),E116),IF(E114&gt;E116,0,MAX(0,IF($D$11="no",E119/$L$27*MAX(0,IF(E$41&lt;=E156,0,E41-E156))),E119*E$133))),0))</f>
        <v>0</v>
      </c>
      <c r="F120" s="250">
        <f t="shared" si="72"/>
        <v>0</v>
      </c>
      <c r="G120" s="250">
        <f t="shared" si="72"/>
        <v>0</v>
      </c>
      <c r="H120" s="250">
        <f t="shared" si="72"/>
        <v>0</v>
      </c>
      <c r="I120" s="250">
        <f t="shared" si="72"/>
        <v>0</v>
      </c>
      <c r="J120" s="250">
        <f t="shared" si="72"/>
        <v>0</v>
      </c>
      <c r="K120" s="250">
        <f t="shared" si="72"/>
        <v>0</v>
      </c>
      <c r="L120" s="250">
        <f t="shared" si="72"/>
        <v>0</v>
      </c>
      <c r="M120" s="62"/>
    </row>
    <row r="121" spans="2:13" s="11" customFormat="1">
      <c r="B121" s="245" t="s">
        <v>23</v>
      </c>
      <c r="C121" s="249" t="str">
        <f>'Cap Table'!$D$60</f>
        <v>$</v>
      </c>
      <c r="D121" s="68" t="e">
        <f ca="1">MIN(D112,MAX(D119*D$133,D115+D120))</f>
        <v>#DIV/0!</v>
      </c>
      <c r="E121" s="68" t="e">
        <f t="shared" ref="E121:L121" ca="1" si="73">MIN(E112,MAX(E119*E$133,E115+E120))</f>
        <v>#DIV/0!</v>
      </c>
      <c r="F121" s="68" t="e">
        <f t="shared" ca="1" si="73"/>
        <v>#DIV/0!</v>
      </c>
      <c r="G121" s="68" t="e">
        <f t="shared" ca="1" si="73"/>
        <v>#DIV/0!</v>
      </c>
      <c r="H121" s="68" t="e">
        <f t="shared" ca="1" si="73"/>
        <v>#DIV/0!</v>
      </c>
      <c r="I121" s="68" t="e">
        <f t="shared" ca="1" si="73"/>
        <v>#DIV/0!</v>
      </c>
      <c r="J121" s="68" t="e">
        <f t="shared" ca="1" si="73"/>
        <v>#DIV/0!</v>
      </c>
      <c r="K121" s="68" t="e">
        <f t="shared" ca="1" si="73"/>
        <v>#DIV/0!</v>
      </c>
      <c r="L121" s="68" t="e">
        <f t="shared" ca="1" si="73"/>
        <v>#DIV/0!</v>
      </c>
      <c r="M121" s="62"/>
    </row>
    <row r="122" spans="2:13" s="11" customFormat="1">
      <c r="B122" s="245" t="s">
        <v>19</v>
      </c>
      <c r="C122" s="249" t="str">
        <f>'Cap Table'!$D$60</f>
        <v>$</v>
      </c>
      <c r="D122" s="253">
        <f ca="1">IFERROR(D121/D117,0)</f>
        <v>0</v>
      </c>
      <c r="E122" s="253">
        <f t="shared" ref="E122:L122" ca="1" si="74">IFERROR(E121/E117,0)</f>
        <v>0</v>
      </c>
      <c r="F122" s="253">
        <f t="shared" ca="1" si="74"/>
        <v>0</v>
      </c>
      <c r="G122" s="253">
        <f t="shared" ca="1" si="74"/>
        <v>0</v>
      </c>
      <c r="H122" s="253">
        <f t="shared" ca="1" si="74"/>
        <v>0</v>
      </c>
      <c r="I122" s="253">
        <f t="shared" ca="1" si="74"/>
        <v>0</v>
      </c>
      <c r="J122" s="253">
        <f t="shared" ca="1" si="74"/>
        <v>0</v>
      </c>
      <c r="K122" s="253">
        <f t="shared" ca="1" si="74"/>
        <v>0</v>
      </c>
      <c r="L122" s="253">
        <f t="shared" ca="1" si="74"/>
        <v>0</v>
      </c>
      <c r="M122" s="62"/>
    </row>
    <row r="123" spans="2:13" s="11" customFormat="1">
      <c r="C123" s="93"/>
      <c r="M123" s="62"/>
    </row>
    <row r="124" spans="2:13" s="11" customFormat="1">
      <c r="B124" s="247" t="s">
        <v>21</v>
      </c>
      <c r="C124" s="93"/>
      <c r="M124" s="62"/>
    </row>
    <row r="125" spans="2:13" s="11" customFormat="1">
      <c r="B125" s="245" t="s">
        <v>199</v>
      </c>
      <c r="C125" s="249" t="str">
        <f>'Cap Table'!$D$60</f>
        <v>$</v>
      </c>
      <c r="D125" s="68" t="e">
        <f ca="1">IF(D118="no",MAX(0,D112-D115),IF($I$35="full participating preferred",MAX(0,D112-D115),IF(AND($I$35="participating preferred with a cap",D120&lt;&gt;0),MAX(0,D112-D115),D112)))</f>
        <v>#DIV/0!</v>
      </c>
      <c r="E125" s="68" t="e">
        <f t="shared" ref="E125:L125" ca="1" si="75">IF(E118="no",MAX(0,E112-E115),IF($I$35="full participating preferred",MAX(0,E112-E115),IF(AND($I$35="participating preferred with a cap",E120&lt;&gt;0),MAX(0,E112-E115),E112)))</f>
        <v>#DIV/0!</v>
      </c>
      <c r="F125" s="68" t="e">
        <f t="shared" ca="1" si="75"/>
        <v>#DIV/0!</v>
      </c>
      <c r="G125" s="68" t="e">
        <f t="shared" ca="1" si="75"/>
        <v>#DIV/0!</v>
      </c>
      <c r="H125" s="68" t="e">
        <f t="shared" ca="1" si="75"/>
        <v>#DIV/0!</v>
      </c>
      <c r="I125" s="68" t="e">
        <f t="shared" ca="1" si="75"/>
        <v>#DIV/0!</v>
      </c>
      <c r="J125" s="68" t="e">
        <f t="shared" ca="1" si="75"/>
        <v>#DIV/0!</v>
      </c>
      <c r="K125" s="68" t="e">
        <f t="shared" ca="1" si="75"/>
        <v>#DIV/0!</v>
      </c>
      <c r="L125" s="68" t="e">
        <f t="shared" ca="1" si="75"/>
        <v>#DIV/0!</v>
      </c>
      <c r="M125" s="62"/>
    </row>
    <row r="126" spans="2:13" s="11" customFormat="1">
      <c r="B126" s="245" t="s">
        <v>204</v>
      </c>
      <c r="C126" s="93" t="s">
        <v>170</v>
      </c>
      <c r="D126" s="68" t="e">
        <f ca="1">D113-D119</f>
        <v>#DIV/0!</v>
      </c>
      <c r="E126" s="68" t="e">
        <f t="shared" ref="E126:L126" ca="1" si="76">E113-E119</f>
        <v>#DIV/0!</v>
      </c>
      <c r="F126" s="68" t="e">
        <f t="shared" ca="1" si="76"/>
        <v>#DIV/0!</v>
      </c>
      <c r="G126" s="68" t="e">
        <f t="shared" ca="1" si="76"/>
        <v>#DIV/0!</v>
      </c>
      <c r="H126" s="68" t="e">
        <f t="shared" ca="1" si="76"/>
        <v>#DIV/0!</v>
      </c>
      <c r="I126" s="68" t="e">
        <f t="shared" ca="1" si="76"/>
        <v>#DIV/0!</v>
      </c>
      <c r="J126" s="68" t="e">
        <f t="shared" ca="1" si="76"/>
        <v>#DIV/0!</v>
      </c>
      <c r="K126" s="68" t="e">
        <f t="shared" ca="1" si="76"/>
        <v>#DIV/0!</v>
      </c>
      <c r="L126" s="68" t="e">
        <f t="shared" ca="1" si="76"/>
        <v>#DIV/0!</v>
      </c>
      <c r="M126" s="62"/>
    </row>
    <row r="127" spans="2:13" s="11" customFormat="1">
      <c r="B127" s="245" t="s">
        <v>197</v>
      </c>
      <c r="C127" s="249" t="str">
        <f>'Cap Table'!$D$60</f>
        <v>$</v>
      </c>
      <c r="D127" s="250" t="e">
        <f ca="1">D125</f>
        <v>#DIV/0!</v>
      </c>
      <c r="E127" s="250" t="e">
        <f t="shared" ref="E127:L127" ca="1" si="77">E125</f>
        <v>#DIV/0!</v>
      </c>
      <c r="F127" s="250" t="e">
        <f t="shared" ca="1" si="77"/>
        <v>#DIV/0!</v>
      </c>
      <c r="G127" s="250" t="e">
        <f t="shared" ca="1" si="77"/>
        <v>#DIV/0!</v>
      </c>
      <c r="H127" s="250" t="e">
        <f t="shared" ca="1" si="77"/>
        <v>#DIV/0!</v>
      </c>
      <c r="I127" s="250" t="e">
        <f t="shared" ca="1" si="77"/>
        <v>#DIV/0!</v>
      </c>
      <c r="J127" s="250" t="e">
        <f t="shared" ca="1" si="77"/>
        <v>#DIV/0!</v>
      </c>
      <c r="K127" s="250" t="e">
        <f t="shared" ca="1" si="77"/>
        <v>#DIV/0!</v>
      </c>
      <c r="L127" s="250" t="e">
        <f t="shared" ca="1" si="77"/>
        <v>#DIV/0!</v>
      </c>
      <c r="M127" s="62"/>
    </row>
    <row r="128" spans="2:13" s="11" customFormat="1">
      <c r="B128" s="245" t="s">
        <v>205</v>
      </c>
      <c r="C128" s="249" t="s">
        <v>170</v>
      </c>
      <c r="D128" s="250">
        <f ca="1">$J27+$K27</f>
        <v>0</v>
      </c>
      <c r="E128" s="250">
        <f t="shared" ref="E128:L128" ca="1" si="78">$J27+$K27</f>
        <v>0</v>
      </c>
      <c r="F128" s="250">
        <f t="shared" ca="1" si="78"/>
        <v>0</v>
      </c>
      <c r="G128" s="250">
        <f t="shared" ca="1" si="78"/>
        <v>0</v>
      </c>
      <c r="H128" s="250">
        <f t="shared" ca="1" si="78"/>
        <v>0</v>
      </c>
      <c r="I128" s="250">
        <f t="shared" ca="1" si="78"/>
        <v>0</v>
      </c>
      <c r="J128" s="250">
        <f t="shared" ca="1" si="78"/>
        <v>0</v>
      </c>
      <c r="K128" s="250">
        <f t="shared" ca="1" si="78"/>
        <v>0</v>
      </c>
      <c r="L128" s="250">
        <f t="shared" ca="1" si="78"/>
        <v>0</v>
      </c>
      <c r="M128" s="62"/>
    </row>
    <row r="129" spans="2:13" s="11" customFormat="1">
      <c r="B129" s="245" t="s">
        <v>209</v>
      </c>
      <c r="C129" s="249" t="s">
        <v>170</v>
      </c>
      <c r="D129" s="250" t="e">
        <f t="shared" ref="D129:G129" ca="1" si="79">D106+D119+D93+D80+D67+D54</f>
        <v>#DIV/0!</v>
      </c>
      <c r="E129" s="250" t="e">
        <f t="shared" ca="1" si="79"/>
        <v>#DIV/0!</v>
      </c>
      <c r="F129" s="250" t="e">
        <f t="shared" ca="1" si="79"/>
        <v>#DIV/0!</v>
      </c>
      <c r="G129" s="250" t="e">
        <f t="shared" ca="1" si="79"/>
        <v>#DIV/0!</v>
      </c>
      <c r="H129" s="250" t="e">
        <f ca="1">H106+H119+H93+H80+H67+H54</f>
        <v>#DIV/0!</v>
      </c>
      <c r="I129" s="250" t="e">
        <f t="shared" ref="I129:L129" ca="1" si="80">I106+I119+I93+I80+I67+I54</f>
        <v>#DIV/0!</v>
      </c>
      <c r="J129" s="250" t="e">
        <f t="shared" ca="1" si="80"/>
        <v>#DIV/0!</v>
      </c>
      <c r="K129" s="250" t="e">
        <f t="shared" ca="1" si="80"/>
        <v>#DIV/0!</v>
      </c>
      <c r="L129" s="250" t="e">
        <f t="shared" ca="1" si="80"/>
        <v>#DIV/0!</v>
      </c>
      <c r="M129" s="62"/>
    </row>
    <row r="130" spans="2:13" s="11" customFormat="1">
      <c r="B130" s="245" t="s">
        <v>0</v>
      </c>
      <c r="C130" s="249" t="s">
        <v>170</v>
      </c>
      <c r="D130" s="6" t="e">
        <f ca="1">D129+D128</f>
        <v>#DIV/0!</v>
      </c>
      <c r="E130" s="6" t="e">
        <f t="shared" ref="E130:L130" ca="1" si="81">E129+E128</f>
        <v>#DIV/0!</v>
      </c>
      <c r="F130" s="6" t="e">
        <f t="shared" ca="1" si="81"/>
        <v>#DIV/0!</v>
      </c>
      <c r="G130" s="6" t="e">
        <f t="shared" ca="1" si="81"/>
        <v>#DIV/0!</v>
      </c>
      <c r="H130" s="6" t="e">
        <f t="shared" ca="1" si="81"/>
        <v>#DIV/0!</v>
      </c>
      <c r="I130" s="6" t="e">
        <f t="shared" ca="1" si="81"/>
        <v>#DIV/0!</v>
      </c>
      <c r="J130" s="6" t="e">
        <f t="shared" ca="1" si="81"/>
        <v>#DIV/0!</v>
      </c>
      <c r="K130" s="6" t="e">
        <f t="shared" ca="1" si="81"/>
        <v>#DIV/0!</v>
      </c>
      <c r="L130" s="6" t="e">
        <f t="shared" ca="1" si="81"/>
        <v>#DIV/0!</v>
      </c>
      <c r="M130" s="62"/>
    </row>
    <row r="131" spans="2:13" s="11" customFormat="1">
      <c r="B131" s="245" t="s">
        <v>201</v>
      </c>
      <c r="C131" s="249" t="str">
        <f>'Cap Table'!$D$60</f>
        <v>$</v>
      </c>
      <c r="D131" s="6" t="e">
        <f ca="1">D125</f>
        <v>#DIV/0!</v>
      </c>
      <c r="E131" s="6" t="e">
        <f t="shared" ref="E131:L131" ca="1" si="82">E125</f>
        <v>#DIV/0!</v>
      </c>
      <c r="F131" s="6" t="e">
        <f t="shared" ca="1" si="82"/>
        <v>#DIV/0!</v>
      </c>
      <c r="G131" s="6" t="e">
        <f t="shared" ca="1" si="82"/>
        <v>#DIV/0!</v>
      </c>
      <c r="H131" s="6" t="e">
        <f t="shared" ca="1" si="82"/>
        <v>#DIV/0!</v>
      </c>
      <c r="I131" s="6" t="e">
        <f t="shared" ca="1" si="82"/>
        <v>#DIV/0!</v>
      </c>
      <c r="J131" s="6" t="e">
        <f t="shared" ca="1" si="82"/>
        <v>#DIV/0!</v>
      </c>
      <c r="K131" s="6" t="e">
        <f t="shared" ca="1" si="82"/>
        <v>#DIV/0!</v>
      </c>
      <c r="L131" s="6" t="e">
        <f t="shared" ca="1" si="82"/>
        <v>#DIV/0!</v>
      </c>
      <c r="M131" s="62"/>
    </row>
    <row r="132" spans="2:13" s="11" customFormat="1">
      <c r="B132" s="245" t="s">
        <v>23</v>
      </c>
      <c r="C132" s="249" t="str">
        <f>'Cap Table'!$D$60</f>
        <v>$</v>
      </c>
      <c r="D132" s="6" t="e">
        <f ca="1">D133*D128</f>
        <v>#DIV/0!</v>
      </c>
      <c r="E132" s="6" t="e">
        <f t="shared" ref="E132:L132" ca="1" si="83">E133*E128</f>
        <v>#DIV/0!</v>
      </c>
      <c r="F132" s="6" t="e">
        <f t="shared" ca="1" si="83"/>
        <v>#DIV/0!</v>
      </c>
      <c r="G132" s="6" t="e">
        <f t="shared" ca="1" si="83"/>
        <v>#DIV/0!</v>
      </c>
      <c r="H132" s="6" t="e">
        <f t="shared" ca="1" si="83"/>
        <v>#DIV/0!</v>
      </c>
      <c r="I132" s="6" t="e">
        <f t="shared" ca="1" si="83"/>
        <v>#DIV/0!</v>
      </c>
      <c r="J132" s="6" t="e">
        <f t="shared" ca="1" si="83"/>
        <v>#DIV/0!</v>
      </c>
      <c r="K132" s="6" t="e">
        <f t="shared" ca="1" si="83"/>
        <v>#DIV/0!</v>
      </c>
      <c r="L132" s="6" t="e">
        <f t="shared" ca="1" si="83"/>
        <v>#DIV/0!</v>
      </c>
      <c r="M132" s="62"/>
    </row>
    <row r="133" spans="2:13" s="11" customFormat="1">
      <c r="B133" s="245" t="s">
        <v>19</v>
      </c>
      <c r="C133" s="249" t="str">
        <f>'Cap Table'!$D$60</f>
        <v>$</v>
      </c>
      <c r="D133" s="238" t="e">
        <f ca="1">D131/D130</f>
        <v>#DIV/0!</v>
      </c>
      <c r="E133" s="238" t="e">
        <f t="shared" ref="E133:L133" ca="1" si="84">E131/E130</f>
        <v>#DIV/0!</v>
      </c>
      <c r="F133" s="238" t="e">
        <f t="shared" ca="1" si="84"/>
        <v>#DIV/0!</v>
      </c>
      <c r="G133" s="238" t="e">
        <f t="shared" ca="1" si="84"/>
        <v>#DIV/0!</v>
      </c>
      <c r="H133" s="238" t="e">
        <f t="shared" ca="1" si="84"/>
        <v>#DIV/0!</v>
      </c>
      <c r="I133" s="238" t="e">
        <f t="shared" ca="1" si="84"/>
        <v>#DIV/0!</v>
      </c>
      <c r="J133" s="238" t="e">
        <f t="shared" ca="1" si="84"/>
        <v>#DIV/0!</v>
      </c>
      <c r="K133" s="238" t="e">
        <f t="shared" ca="1" si="84"/>
        <v>#DIV/0!</v>
      </c>
      <c r="L133" s="238" t="e">
        <f t="shared" ca="1" si="84"/>
        <v>#DIV/0!</v>
      </c>
      <c r="M133" s="248"/>
    </row>
    <row r="134" spans="2:13" s="11" customFormat="1">
      <c r="C134" s="93"/>
      <c r="M134" s="248"/>
    </row>
    <row r="135" spans="2:13" s="11" customFormat="1">
      <c r="B135" s="245" t="s">
        <v>213</v>
      </c>
      <c r="C135" s="249" t="str">
        <f>'Cap Table'!$D$60</f>
        <v>$</v>
      </c>
      <c r="D135" s="70" t="e">
        <f t="shared" ref="D135:L135" ca="1" si="85">D132+D121+D56+D108+D95+D82+D69</f>
        <v>#DIV/0!</v>
      </c>
      <c r="E135" s="70" t="e">
        <f t="shared" ca="1" si="85"/>
        <v>#DIV/0!</v>
      </c>
      <c r="F135" s="70" t="e">
        <f t="shared" ca="1" si="85"/>
        <v>#DIV/0!</v>
      </c>
      <c r="G135" s="70" t="e">
        <f t="shared" ca="1" si="85"/>
        <v>#DIV/0!</v>
      </c>
      <c r="H135" s="70" t="e">
        <f t="shared" ca="1" si="85"/>
        <v>#DIV/0!</v>
      </c>
      <c r="I135" s="70" t="e">
        <f t="shared" ca="1" si="85"/>
        <v>#DIV/0!</v>
      </c>
      <c r="J135" s="70" t="e">
        <f t="shared" ca="1" si="85"/>
        <v>#DIV/0!</v>
      </c>
      <c r="K135" s="70" t="e">
        <f t="shared" ca="1" si="85"/>
        <v>#DIV/0!</v>
      </c>
      <c r="L135" s="70" t="e">
        <f t="shared" ca="1" si="85"/>
        <v>#DIV/0!</v>
      </c>
      <c r="M135" s="248" t="s">
        <v>569</v>
      </c>
    </row>
    <row r="136" spans="2:13" s="11" customFormat="1">
      <c r="B136" s="245" t="s">
        <v>570</v>
      </c>
      <c r="C136" s="93"/>
      <c r="D136" s="68" t="e">
        <f ca="1">D135-D41</f>
        <v>#DIV/0!</v>
      </c>
      <c r="E136" s="68" t="e">
        <f t="shared" ref="E136:L136" ca="1" si="86">E135-E41</f>
        <v>#DIV/0!</v>
      </c>
      <c r="F136" s="68" t="e">
        <f t="shared" ca="1" si="86"/>
        <v>#DIV/0!</v>
      </c>
      <c r="G136" s="68" t="e">
        <f t="shared" ca="1" si="86"/>
        <v>#DIV/0!</v>
      </c>
      <c r="H136" s="68" t="e">
        <f t="shared" ca="1" si="86"/>
        <v>#DIV/0!</v>
      </c>
      <c r="I136" s="68" t="e">
        <f t="shared" ca="1" si="86"/>
        <v>#DIV/0!</v>
      </c>
      <c r="J136" s="68" t="e">
        <f t="shared" ca="1" si="86"/>
        <v>#DIV/0!</v>
      </c>
      <c r="K136" s="68" t="e">
        <f t="shared" ca="1" si="86"/>
        <v>#DIV/0!</v>
      </c>
      <c r="L136" s="68" t="e">
        <f t="shared" ca="1" si="86"/>
        <v>#DIV/0!</v>
      </c>
      <c r="M136" s="252" t="s">
        <v>571</v>
      </c>
    </row>
    <row r="137" spans="2:13" s="11" customFormat="1">
      <c r="C137" s="93"/>
      <c r="M137" s="248"/>
    </row>
    <row r="138" spans="2:13" s="11" customFormat="1">
      <c r="B138" s="247" t="s">
        <v>208</v>
      </c>
      <c r="C138" s="93"/>
      <c r="M138" s="248"/>
    </row>
    <row r="139" spans="2:13">
      <c r="B139" s="6" t="str">
        <f>B46</f>
        <v>E Round Shareholders</v>
      </c>
      <c r="C139" s="217" t="str">
        <f>'Cap Table'!$D$60</f>
        <v>$</v>
      </c>
      <c r="D139" s="6" t="e">
        <f t="shared" ref="D139:L139" ca="1" si="87">D56</f>
        <v>#DIV/0!</v>
      </c>
      <c r="E139" s="6" t="e">
        <f t="shared" ca="1" si="87"/>
        <v>#DIV/0!</v>
      </c>
      <c r="F139" s="6" t="e">
        <f t="shared" ca="1" si="87"/>
        <v>#DIV/0!</v>
      </c>
      <c r="G139" s="6" t="e">
        <f t="shared" ca="1" si="87"/>
        <v>#DIV/0!</v>
      </c>
      <c r="H139" s="6" t="e">
        <f t="shared" ca="1" si="87"/>
        <v>#DIV/0!</v>
      </c>
      <c r="I139" s="6" t="e">
        <f t="shared" ca="1" si="87"/>
        <v>#DIV/0!</v>
      </c>
      <c r="J139" s="6" t="e">
        <f t="shared" ca="1" si="87"/>
        <v>#DIV/0!</v>
      </c>
      <c r="K139" s="6" t="e">
        <f t="shared" ca="1" si="87"/>
        <v>#DIV/0!</v>
      </c>
      <c r="L139" s="6" t="e">
        <f t="shared" ca="1" si="87"/>
        <v>#DIV/0!</v>
      </c>
      <c r="M139" s="215"/>
    </row>
    <row r="140" spans="2:13">
      <c r="B140" s="6" t="str">
        <f>B59</f>
        <v>D Round Shareholders</v>
      </c>
      <c r="C140" s="217" t="str">
        <f>'Cap Table'!$D$60</f>
        <v>$</v>
      </c>
      <c r="D140" s="6" t="e">
        <f ca="1">D69</f>
        <v>#DIV/0!</v>
      </c>
      <c r="E140" s="6" t="e">
        <f t="shared" ref="E140:L140" ca="1" si="88">E69</f>
        <v>#DIV/0!</v>
      </c>
      <c r="F140" s="6" t="e">
        <f t="shared" ca="1" si="88"/>
        <v>#DIV/0!</v>
      </c>
      <c r="G140" s="6" t="e">
        <f t="shared" ca="1" si="88"/>
        <v>#DIV/0!</v>
      </c>
      <c r="H140" s="6" t="e">
        <f t="shared" ca="1" si="88"/>
        <v>#DIV/0!</v>
      </c>
      <c r="I140" s="6" t="e">
        <f t="shared" ca="1" si="88"/>
        <v>#DIV/0!</v>
      </c>
      <c r="J140" s="6" t="e">
        <f t="shared" ca="1" si="88"/>
        <v>#DIV/0!</v>
      </c>
      <c r="K140" s="6" t="e">
        <f t="shared" ca="1" si="88"/>
        <v>#DIV/0!</v>
      </c>
      <c r="L140" s="6" t="e">
        <f t="shared" ca="1" si="88"/>
        <v>#DIV/0!</v>
      </c>
      <c r="M140" s="215"/>
    </row>
    <row r="141" spans="2:13">
      <c r="B141" s="6" t="str">
        <f>B72</f>
        <v>C Round Shareholders</v>
      </c>
      <c r="C141" s="217" t="str">
        <f>'Cap Table'!$D$60</f>
        <v>$</v>
      </c>
      <c r="D141" s="6" t="e">
        <f ca="1">D82</f>
        <v>#DIV/0!</v>
      </c>
      <c r="E141" s="6" t="e">
        <f t="shared" ref="E141:L141" ca="1" si="89">E82</f>
        <v>#DIV/0!</v>
      </c>
      <c r="F141" s="6" t="e">
        <f t="shared" ca="1" si="89"/>
        <v>#DIV/0!</v>
      </c>
      <c r="G141" s="6" t="e">
        <f t="shared" ca="1" si="89"/>
        <v>#DIV/0!</v>
      </c>
      <c r="H141" s="6" t="e">
        <f t="shared" ca="1" si="89"/>
        <v>#DIV/0!</v>
      </c>
      <c r="I141" s="6" t="e">
        <f t="shared" ca="1" si="89"/>
        <v>#DIV/0!</v>
      </c>
      <c r="J141" s="6" t="e">
        <f t="shared" ca="1" si="89"/>
        <v>#DIV/0!</v>
      </c>
      <c r="K141" s="6" t="e">
        <f t="shared" ca="1" si="89"/>
        <v>#DIV/0!</v>
      </c>
      <c r="L141" s="6" t="e">
        <f t="shared" ca="1" si="89"/>
        <v>#DIV/0!</v>
      </c>
      <c r="M141" s="215"/>
    </row>
    <row r="142" spans="2:13">
      <c r="B142" s="6" t="str">
        <f>B85</f>
        <v>B Round Shareholders</v>
      </c>
      <c r="C142" s="217" t="str">
        <f>'Cap Table'!$D$60</f>
        <v>$</v>
      </c>
      <c r="D142" s="6" t="e">
        <f ca="1">D95</f>
        <v>#DIV/0!</v>
      </c>
      <c r="E142" s="6" t="e">
        <f t="shared" ref="E142:L142" ca="1" si="90">E95</f>
        <v>#DIV/0!</v>
      </c>
      <c r="F142" s="6" t="e">
        <f t="shared" ca="1" si="90"/>
        <v>#DIV/0!</v>
      </c>
      <c r="G142" s="6" t="e">
        <f t="shared" ca="1" si="90"/>
        <v>#DIV/0!</v>
      </c>
      <c r="H142" s="6" t="e">
        <f t="shared" ca="1" si="90"/>
        <v>#DIV/0!</v>
      </c>
      <c r="I142" s="6" t="e">
        <f t="shared" ca="1" si="90"/>
        <v>#DIV/0!</v>
      </c>
      <c r="J142" s="6" t="e">
        <f t="shared" ca="1" si="90"/>
        <v>#DIV/0!</v>
      </c>
      <c r="K142" s="6" t="e">
        <f t="shared" ca="1" si="90"/>
        <v>#DIV/0!</v>
      </c>
      <c r="L142" s="6" t="e">
        <f t="shared" ca="1" si="90"/>
        <v>#DIV/0!</v>
      </c>
      <c r="M142" s="215"/>
    </row>
    <row r="143" spans="2:13">
      <c r="B143" s="6" t="str">
        <f>B98</f>
        <v>A Round Shareholders</v>
      </c>
      <c r="C143" s="217" t="str">
        <f>'Cap Table'!$D$60</f>
        <v>$</v>
      </c>
      <c r="D143" s="6" t="e">
        <f ca="1">D108</f>
        <v>#DIV/0!</v>
      </c>
      <c r="E143" s="6" t="e">
        <f t="shared" ref="E143:L143" ca="1" si="91">E108</f>
        <v>#DIV/0!</v>
      </c>
      <c r="F143" s="6" t="e">
        <f t="shared" ca="1" si="91"/>
        <v>#DIV/0!</v>
      </c>
      <c r="G143" s="6" t="e">
        <f t="shared" ca="1" si="91"/>
        <v>#DIV/0!</v>
      </c>
      <c r="H143" s="6" t="e">
        <f t="shared" ca="1" si="91"/>
        <v>#DIV/0!</v>
      </c>
      <c r="I143" s="6" t="e">
        <f t="shared" ca="1" si="91"/>
        <v>#DIV/0!</v>
      </c>
      <c r="J143" s="6" t="e">
        <f t="shared" ca="1" si="91"/>
        <v>#DIV/0!</v>
      </c>
      <c r="K143" s="6" t="e">
        <f t="shared" ca="1" si="91"/>
        <v>#DIV/0!</v>
      </c>
      <c r="L143" s="6" t="e">
        <f t="shared" ca="1" si="91"/>
        <v>#DIV/0!</v>
      </c>
      <c r="M143" s="215"/>
    </row>
    <row r="144" spans="2:13">
      <c r="B144" s="216" t="str">
        <f>B111</f>
        <v>Seed Round Shareholders</v>
      </c>
      <c r="C144" s="217" t="str">
        <f>'Cap Table'!$D$60</f>
        <v>$</v>
      </c>
      <c r="D144" s="6" t="e">
        <f ca="1">D121</f>
        <v>#DIV/0!</v>
      </c>
      <c r="E144" s="6" t="e">
        <f t="shared" ref="E144:L144" ca="1" si="92">E121</f>
        <v>#DIV/0!</v>
      </c>
      <c r="F144" s="6" t="e">
        <f t="shared" ca="1" si="92"/>
        <v>#DIV/0!</v>
      </c>
      <c r="G144" s="6" t="e">
        <f t="shared" ca="1" si="92"/>
        <v>#DIV/0!</v>
      </c>
      <c r="H144" s="6" t="e">
        <f t="shared" ca="1" si="92"/>
        <v>#DIV/0!</v>
      </c>
      <c r="I144" s="6" t="e">
        <f t="shared" ca="1" si="92"/>
        <v>#DIV/0!</v>
      </c>
      <c r="J144" s="6" t="e">
        <f t="shared" ca="1" si="92"/>
        <v>#DIV/0!</v>
      </c>
      <c r="K144" s="6" t="e">
        <f t="shared" ca="1" si="92"/>
        <v>#DIV/0!</v>
      </c>
      <c r="L144" s="6" t="e">
        <f t="shared" ca="1" si="92"/>
        <v>#DIV/0!</v>
      </c>
      <c r="M144" s="215"/>
    </row>
    <row r="145" spans="2:13">
      <c r="B145" s="216" t="str">
        <f>B124</f>
        <v>Common</v>
      </c>
      <c r="C145" s="217" t="str">
        <f>'Cap Table'!$D$60</f>
        <v>$</v>
      </c>
      <c r="D145" s="6" t="e">
        <f t="shared" ref="D145:L145" ca="1" si="93">D132</f>
        <v>#DIV/0!</v>
      </c>
      <c r="E145" s="6" t="e">
        <f t="shared" ca="1" si="93"/>
        <v>#DIV/0!</v>
      </c>
      <c r="F145" s="6" t="e">
        <f t="shared" ca="1" si="93"/>
        <v>#DIV/0!</v>
      </c>
      <c r="G145" s="6" t="e">
        <f t="shared" ca="1" si="93"/>
        <v>#DIV/0!</v>
      </c>
      <c r="H145" s="6" t="e">
        <f t="shared" ca="1" si="93"/>
        <v>#DIV/0!</v>
      </c>
      <c r="I145" s="6" t="e">
        <f t="shared" ca="1" si="93"/>
        <v>#DIV/0!</v>
      </c>
      <c r="J145" s="6" t="e">
        <f t="shared" ca="1" si="93"/>
        <v>#DIV/0!</v>
      </c>
      <c r="K145" s="6" t="e">
        <f t="shared" ca="1" si="93"/>
        <v>#DIV/0!</v>
      </c>
      <c r="L145" s="6" t="e">
        <f t="shared" ca="1" si="93"/>
        <v>#DIV/0!</v>
      </c>
      <c r="M145" s="215"/>
    </row>
    <row r="146" spans="2:13">
      <c r="B146" s="216" t="s">
        <v>20</v>
      </c>
      <c r="C146" s="217" t="str">
        <f>'Cap Table'!$D$60</f>
        <v>$</v>
      </c>
      <c r="D146" s="88" t="e">
        <f t="shared" ref="D146" ca="1" si="94">SUM(D139:D145)</f>
        <v>#DIV/0!</v>
      </c>
      <c r="E146" s="88" t="e">
        <f t="shared" ref="E146:L146" ca="1" si="95">SUM(E139:E145)</f>
        <v>#DIV/0!</v>
      </c>
      <c r="F146" s="88" t="e">
        <f t="shared" ca="1" si="95"/>
        <v>#DIV/0!</v>
      </c>
      <c r="G146" s="88" t="e">
        <f t="shared" ca="1" si="95"/>
        <v>#DIV/0!</v>
      </c>
      <c r="H146" s="88" t="e">
        <f t="shared" ca="1" si="95"/>
        <v>#DIV/0!</v>
      </c>
      <c r="I146" s="88" t="e">
        <f t="shared" ca="1" si="95"/>
        <v>#DIV/0!</v>
      </c>
      <c r="J146" s="88" t="e">
        <f t="shared" ca="1" si="95"/>
        <v>#DIV/0!</v>
      </c>
      <c r="K146" s="88" t="e">
        <f t="shared" ca="1" si="95"/>
        <v>#DIV/0!</v>
      </c>
      <c r="L146" s="88" t="e">
        <f t="shared" ca="1" si="95"/>
        <v>#DIV/0!</v>
      </c>
      <c r="M146" s="215" t="s">
        <v>569</v>
      </c>
    </row>
    <row r="147" spans="2:13">
      <c r="C147" s="2"/>
      <c r="M147" s="215"/>
    </row>
    <row r="148" spans="2:13">
      <c r="B148" s="227" t="s">
        <v>247</v>
      </c>
      <c r="C148" s="2"/>
      <c r="M148" s="215"/>
    </row>
    <row r="149" spans="2:13">
      <c r="B149" s="216" t="str">
        <f>B46</f>
        <v>E Round Shareholders</v>
      </c>
      <c r="C149" s="217" t="str">
        <f>'Cap Table'!$D$60</f>
        <v>$</v>
      </c>
      <c r="D149" s="6" t="e">
        <f ca="1">IF($D$35="full participating preferred",MIN(D47,$D$34),IF($D$35="participating preferred with a cap",IF(AND(D55=0,D49&gt;D50),0,MIN(D47,$D$34)),IF(D49&gt;D50,0,MIN(D47,$D$34))))</f>
        <v>#DIV/0!</v>
      </c>
      <c r="E149" s="6" t="e">
        <f t="shared" ref="E149:L149" ca="1" si="96">IF($D$35="full participating preferred",MIN(E47,$D$34),IF($D$35="participating preferred with a cap",IF(AND(E55=0,E49&gt;E50),0,MIN(E47,$D$34)),IF(E49&gt;E50,0,MIN(E47,$D$34))))</f>
        <v>#DIV/0!</v>
      </c>
      <c r="F149" s="6" t="e">
        <f t="shared" ca="1" si="96"/>
        <v>#DIV/0!</v>
      </c>
      <c r="G149" s="6" t="e">
        <f t="shared" ca="1" si="96"/>
        <v>#DIV/0!</v>
      </c>
      <c r="H149" s="6" t="e">
        <f t="shared" ca="1" si="96"/>
        <v>#DIV/0!</v>
      </c>
      <c r="I149" s="6" t="e">
        <f t="shared" ca="1" si="96"/>
        <v>#DIV/0!</v>
      </c>
      <c r="J149" s="6" t="e">
        <f t="shared" ca="1" si="96"/>
        <v>#DIV/0!</v>
      </c>
      <c r="K149" s="6" t="e">
        <f t="shared" ca="1" si="96"/>
        <v>#DIV/0!</v>
      </c>
      <c r="L149" s="6" t="e">
        <f t="shared" ca="1" si="96"/>
        <v>#DIV/0!</v>
      </c>
      <c r="M149" s="215"/>
    </row>
    <row r="150" spans="2:13">
      <c r="B150" s="216" t="str">
        <f>B59</f>
        <v>D Round Shareholders</v>
      </c>
      <c r="C150" s="217" t="str">
        <f>'Cap Table'!$D$60</f>
        <v>$</v>
      </c>
      <c r="D150" s="6" t="e">
        <f ca="1">IF($E$35="full participating preferred",MIN(D60,$E$34),IF($E$35="participating preferred with a cap",IF(AND(D68=0,D62&gt;D63),0,MIN(D60,$E$34)),IF(D62&gt;D63,0,MIN(D60,$E$34))))</f>
        <v>#DIV/0!</v>
      </c>
      <c r="E150" s="6" t="e">
        <f t="shared" ref="E150:L150" ca="1" si="97">IF($E$35="full participating preferred",MIN(E60,$E$34),IF($E$35="participating preferred with a cap",IF(AND(E68=0,E62&gt;E63),0,MIN(E60,$E$34)),IF(E62&gt;E63,0,MIN(E60,$E$34))))</f>
        <v>#DIV/0!</v>
      </c>
      <c r="F150" s="6" t="e">
        <f t="shared" ca="1" si="97"/>
        <v>#DIV/0!</v>
      </c>
      <c r="G150" s="6" t="e">
        <f t="shared" ca="1" si="97"/>
        <v>#DIV/0!</v>
      </c>
      <c r="H150" s="6" t="e">
        <f t="shared" ca="1" si="97"/>
        <v>#DIV/0!</v>
      </c>
      <c r="I150" s="6" t="e">
        <f t="shared" ca="1" si="97"/>
        <v>#DIV/0!</v>
      </c>
      <c r="J150" s="6" t="e">
        <f t="shared" ca="1" si="97"/>
        <v>#DIV/0!</v>
      </c>
      <c r="K150" s="6" t="e">
        <f t="shared" ca="1" si="97"/>
        <v>#DIV/0!</v>
      </c>
      <c r="L150" s="6" t="e">
        <f t="shared" ca="1" si="97"/>
        <v>#DIV/0!</v>
      </c>
      <c r="M150" s="215"/>
    </row>
    <row r="151" spans="2:13">
      <c r="B151" s="216" t="str">
        <f>B72</f>
        <v>C Round Shareholders</v>
      </c>
      <c r="C151" s="217" t="str">
        <f>'Cap Table'!$D$60</f>
        <v>$</v>
      </c>
      <c r="D151" s="6" t="e">
        <f ca="1">IF($F$35="full participating preferred",MIN(D73,$F$34),IF($F$35="participating preferred with a cap",IF(AND(D81=0,D75&gt;D76),0,MIN(D73,$F$34)),IF(D75&gt;D76,0,MIN(D73,$F$34))))</f>
        <v>#DIV/0!</v>
      </c>
      <c r="E151" s="6" t="e">
        <f t="shared" ref="E151:L151" ca="1" si="98">IF($F$35="full participating preferred",MIN(E73,$F$34),IF($F$35="participating preferred with a cap",IF(AND(E81=0,E75&gt;E76),0,MIN(E73,$F$34)),IF(E75&gt;E76,0,MIN(E73,$F$34))))</f>
        <v>#DIV/0!</v>
      </c>
      <c r="F151" s="6" t="e">
        <f t="shared" ca="1" si="98"/>
        <v>#DIV/0!</v>
      </c>
      <c r="G151" s="6" t="e">
        <f t="shared" ca="1" si="98"/>
        <v>#DIV/0!</v>
      </c>
      <c r="H151" s="6" t="e">
        <f t="shared" ca="1" si="98"/>
        <v>#DIV/0!</v>
      </c>
      <c r="I151" s="6" t="e">
        <f t="shared" ca="1" si="98"/>
        <v>#DIV/0!</v>
      </c>
      <c r="J151" s="6" t="e">
        <f t="shared" ca="1" si="98"/>
        <v>#DIV/0!</v>
      </c>
      <c r="K151" s="6" t="e">
        <f t="shared" ca="1" si="98"/>
        <v>#DIV/0!</v>
      </c>
      <c r="L151" s="6" t="e">
        <f t="shared" ca="1" si="98"/>
        <v>#DIV/0!</v>
      </c>
      <c r="M151" s="215"/>
    </row>
    <row r="152" spans="2:13">
      <c r="B152" s="216" t="str">
        <f>B85</f>
        <v>B Round Shareholders</v>
      </c>
      <c r="C152" s="217" t="str">
        <f>'Cap Table'!$D$60</f>
        <v>$</v>
      </c>
      <c r="D152" s="6" t="e">
        <f ca="1">IF($G$35="full participating preferred",MIN(D86,$G$34),IF($G$35="participating preferred with a cap",IF(AND(D94=0,D88&gt;D89),0,MIN(D86,$G$34)),IF(D88&gt;D89,0,MIN(D86,$G$34))))</f>
        <v>#DIV/0!</v>
      </c>
      <c r="E152" s="6" t="e">
        <f t="shared" ref="E152:L152" ca="1" si="99">IF($G$35="full participating preferred",MIN(E86,$G$34),IF($G$35="participating preferred with a cap",IF(AND(E94=0,E88&gt;E89),0,MIN(E86,$G$34)),IF(E88&gt;E89,0,MIN(E86,$G$34))))</f>
        <v>#DIV/0!</v>
      </c>
      <c r="F152" s="6" t="e">
        <f t="shared" ca="1" si="99"/>
        <v>#DIV/0!</v>
      </c>
      <c r="G152" s="6" t="e">
        <f t="shared" ca="1" si="99"/>
        <v>#DIV/0!</v>
      </c>
      <c r="H152" s="6" t="e">
        <f t="shared" ca="1" si="99"/>
        <v>#DIV/0!</v>
      </c>
      <c r="I152" s="6" t="e">
        <f t="shared" ca="1" si="99"/>
        <v>#DIV/0!</v>
      </c>
      <c r="J152" s="6" t="e">
        <f t="shared" ca="1" si="99"/>
        <v>#DIV/0!</v>
      </c>
      <c r="K152" s="6" t="e">
        <f t="shared" ca="1" si="99"/>
        <v>#DIV/0!</v>
      </c>
      <c r="L152" s="6" t="e">
        <f t="shared" ca="1" si="99"/>
        <v>#DIV/0!</v>
      </c>
      <c r="M152" s="215"/>
    </row>
    <row r="153" spans="2:13">
      <c r="B153" s="216" t="str">
        <f>B98</f>
        <v>A Round Shareholders</v>
      </c>
      <c r="C153" s="217" t="str">
        <f>'Cap Table'!$D$60</f>
        <v>$</v>
      </c>
      <c r="D153" s="6" t="e">
        <f ca="1">IF($H$35="full participating preferred",MIN(D99,$H$34),IF($H$35="participating preferred with a cap",IF(AND(D107=0,D101&gt;D102),0,MIN(D99,$H$34)),IF(D101&gt;D102,0,MIN(D99,$H$34))))</f>
        <v>#DIV/0!</v>
      </c>
      <c r="E153" s="6" t="e">
        <f t="shared" ref="E153:L153" ca="1" si="100">IF($H$35="full participating preferred",MIN(E99,$H$34),IF($H$35="participating preferred with a cap",IF(AND(E107=0,E101&gt;E102),0,MIN(E99,$H$34)),IF(E101&gt;E102,0,MIN(E99,$H$34))))</f>
        <v>#DIV/0!</v>
      </c>
      <c r="F153" s="6" t="e">
        <f t="shared" ca="1" si="100"/>
        <v>#DIV/0!</v>
      </c>
      <c r="G153" s="6" t="e">
        <f t="shared" ca="1" si="100"/>
        <v>#DIV/0!</v>
      </c>
      <c r="H153" s="6" t="e">
        <f t="shared" ca="1" si="100"/>
        <v>#DIV/0!</v>
      </c>
      <c r="I153" s="6" t="e">
        <f t="shared" ca="1" si="100"/>
        <v>#DIV/0!</v>
      </c>
      <c r="J153" s="6" t="e">
        <f t="shared" ca="1" si="100"/>
        <v>#DIV/0!</v>
      </c>
      <c r="K153" s="6" t="e">
        <f t="shared" ca="1" si="100"/>
        <v>#DIV/0!</v>
      </c>
      <c r="L153" s="6" t="e">
        <f t="shared" ca="1" si="100"/>
        <v>#DIV/0!</v>
      </c>
      <c r="M153" s="215"/>
    </row>
    <row r="154" spans="2:13">
      <c r="B154" s="216" t="str">
        <f>B111</f>
        <v>Seed Round Shareholders</v>
      </c>
      <c r="C154" s="217" t="str">
        <f>'Cap Table'!$D$60</f>
        <v>$</v>
      </c>
      <c r="D154" s="6" t="e">
        <f ca="1">IF($I$35="full participating preferred",MIN(D112,$I$34),IF($I$35="participating preferred with a cap",IF(AND(D120=0,D114&gt;D115),0,MIN(D112,$I$34)),IF(D114&gt;D115,0,MIN(D112,$I$34))))</f>
        <v>#DIV/0!</v>
      </c>
      <c r="E154" s="6" t="e">
        <f t="shared" ref="E154:L154" ca="1" si="101">IF($I$35="full participating preferred",MIN(E112,$I$34),IF($I$35="participating preferred with a cap",IF(AND(E120=0,E114&gt;E115),0,MIN(E112,$I$34)),IF(E114&gt;E115,0,MIN(E112,$I$34))))</f>
        <v>#DIV/0!</v>
      </c>
      <c r="F154" s="6" t="e">
        <f t="shared" ca="1" si="101"/>
        <v>#DIV/0!</v>
      </c>
      <c r="G154" s="6" t="e">
        <f t="shared" ca="1" si="101"/>
        <v>#DIV/0!</v>
      </c>
      <c r="H154" s="6" t="e">
        <f t="shared" ca="1" si="101"/>
        <v>#DIV/0!</v>
      </c>
      <c r="I154" s="6" t="e">
        <f t="shared" ca="1" si="101"/>
        <v>#DIV/0!</v>
      </c>
      <c r="J154" s="6" t="e">
        <f t="shared" ca="1" si="101"/>
        <v>#DIV/0!</v>
      </c>
      <c r="K154" s="6" t="e">
        <f t="shared" ca="1" si="101"/>
        <v>#DIV/0!</v>
      </c>
      <c r="L154" s="6" t="e">
        <f t="shared" ca="1" si="101"/>
        <v>#DIV/0!</v>
      </c>
      <c r="M154" s="215"/>
    </row>
    <row r="155" spans="2:13">
      <c r="B155" s="216" t="str">
        <f>B128&amp;" (including Options)"</f>
        <v>Common Shares (including Options)</v>
      </c>
      <c r="C155" s="217" t="str">
        <f>'Cap Table'!$D$60</f>
        <v>$</v>
      </c>
      <c r="D155" s="6">
        <v>0</v>
      </c>
      <c r="E155" s="6">
        <v>0</v>
      </c>
      <c r="F155" s="6">
        <v>0</v>
      </c>
      <c r="G155" s="6">
        <v>0</v>
      </c>
      <c r="H155" s="6">
        <v>0</v>
      </c>
      <c r="I155" s="6">
        <v>0</v>
      </c>
      <c r="J155" s="6">
        <v>0</v>
      </c>
      <c r="K155" s="6">
        <v>0</v>
      </c>
      <c r="L155" s="6">
        <v>0</v>
      </c>
      <c r="M155" s="215"/>
    </row>
    <row r="156" spans="2:13">
      <c r="B156" s="216" t="s">
        <v>20</v>
      </c>
      <c r="C156" s="217" t="str">
        <f>'Cap Table'!$D$60</f>
        <v>$</v>
      </c>
      <c r="D156" s="88" t="e">
        <f t="shared" ref="D156:L156" ca="1" si="102">SUM(D149:D155)</f>
        <v>#DIV/0!</v>
      </c>
      <c r="E156" s="88" t="e">
        <f t="shared" ca="1" si="102"/>
        <v>#DIV/0!</v>
      </c>
      <c r="F156" s="88" t="e">
        <f t="shared" ca="1" si="102"/>
        <v>#DIV/0!</v>
      </c>
      <c r="G156" s="88" t="e">
        <f t="shared" ca="1" si="102"/>
        <v>#DIV/0!</v>
      </c>
      <c r="H156" s="88" t="e">
        <f t="shared" ca="1" si="102"/>
        <v>#DIV/0!</v>
      </c>
      <c r="I156" s="88" t="e">
        <f t="shared" ca="1" si="102"/>
        <v>#DIV/0!</v>
      </c>
      <c r="J156" s="88" t="e">
        <f t="shared" ca="1" si="102"/>
        <v>#DIV/0!</v>
      </c>
      <c r="K156" s="88" t="e">
        <f t="shared" ca="1" si="102"/>
        <v>#DIV/0!</v>
      </c>
      <c r="L156" s="88" t="e">
        <f t="shared" ca="1" si="102"/>
        <v>#DIV/0!</v>
      </c>
      <c r="M156" s="230" t="s">
        <v>572</v>
      </c>
    </row>
    <row r="157" spans="2:13">
      <c r="C157" s="2"/>
      <c r="M157" s="215"/>
    </row>
    <row r="158" spans="2:13">
      <c r="M158" s="215"/>
    </row>
    <row r="159" spans="2:13">
      <c r="B159" s="47" t="s">
        <v>573</v>
      </c>
      <c r="M159" s="215"/>
    </row>
    <row r="160" spans="2:13">
      <c r="B160" s="34"/>
      <c r="M160" s="215"/>
    </row>
    <row r="161" spans="2:13">
      <c r="B161" s="6" t="str">
        <f>B$17</f>
        <v>E</v>
      </c>
      <c r="C161" s="217" t="str">
        <f>'Cap Table'!$D$60</f>
        <v>$</v>
      </c>
      <c r="D161" s="250" t="e">
        <f t="shared" ref="D161:L168" ca="1" si="103">D$57*$D17+$E17*D$70+$F17*D$83+$G17*D$96+$H17*D$109+$I17*D$122+($J17+$K17)*D$133</f>
        <v>#DIV/0!</v>
      </c>
      <c r="E161" s="250" t="e">
        <f t="shared" ca="1" si="103"/>
        <v>#DIV/0!</v>
      </c>
      <c r="F161" s="250" t="e">
        <f t="shared" ca="1" si="103"/>
        <v>#DIV/0!</v>
      </c>
      <c r="G161" s="250" t="e">
        <f t="shared" ca="1" si="103"/>
        <v>#DIV/0!</v>
      </c>
      <c r="H161" s="250" t="e">
        <f t="shared" ca="1" si="103"/>
        <v>#DIV/0!</v>
      </c>
      <c r="I161" s="250" t="e">
        <f t="shared" ca="1" si="103"/>
        <v>#DIV/0!</v>
      </c>
      <c r="J161" s="250" t="e">
        <f t="shared" ca="1" si="103"/>
        <v>#DIV/0!</v>
      </c>
      <c r="K161" s="250" t="e">
        <f t="shared" ca="1" si="103"/>
        <v>#DIV/0!</v>
      </c>
      <c r="L161" s="250" t="e">
        <f t="shared" ca="1" si="103"/>
        <v>#DIV/0!</v>
      </c>
      <c r="M161" s="215"/>
    </row>
    <row r="162" spans="2:13">
      <c r="B162" s="6" t="str">
        <f>B$18</f>
        <v>D</v>
      </c>
      <c r="C162" s="217" t="str">
        <f>'Cap Table'!$D$60</f>
        <v>$</v>
      </c>
      <c r="D162" s="250" t="e">
        <f t="shared" ca="1" si="103"/>
        <v>#DIV/0!</v>
      </c>
      <c r="E162" s="250" t="e">
        <f t="shared" ca="1" si="103"/>
        <v>#DIV/0!</v>
      </c>
      <c r="F162" s="250" t="e">
        <f t="shared" ca="1" si="103"/>
        <v>#DIV/0!</v>
      </c>
      <c r="G162" s="250" t="e">
        <f t="shared" ca="1" si="103"/>
        <v>#DIV/0!</v>
      </c>
      <c r="H162" s="250" t="e">
        <f t="shared" ca="1" si="103"/>
        <v>#DIV/0!</v>
      </c>
      <c r="I162" s="250" t="e">
        <f t="shared" ca="1" si="103"/>
        <v>#DIV/0!</v>
      </c>
      <c r="J162" s="250" t="e">
        <f t="shared" ca="1" si="103"/>
        <v>#DIV/0!</v>
      </c>
      <c r="K162" s="250" t="e">
        <f t="shared" ca="1" si="103"/>
        <v>#DIV/0!</v>
      </c>
      <c r="L162" s="250" t="e">
        <f t="shared" ca="1" si="103"/>
        <v>#DIV/0!</v>
      </c>
      <c r="M162" s="215"/>
    </row>
    <row r="163" spans="2:13">
      <c r="B163" s="6" t="str">
        <f>B$19</f>
        <v>C</v>
      </c>
      <c r="C163" s="217" t="str">
        <f>'Cap Table'!$D$60</f>
        <v>$</v>
      </c>
      <c r="D163" s="250" t="e">
        <f t="shared" ca="1" si="103"/>
        <v>#DIV/0!</v>
      </c>
      <c r="E163" s="250" t="e">
        <f t="shared" ca="1" si="103"/>
        <v>#DIV/0!</v>
      </c>
      <c r="F163" s="250" t="e">
        <f t="shared" ca="1" si="103"/>
        <v>#DIV/0!</v>
      </c>
      <c r="G163" s="250" t="e">
        <f t="shared" ca="1" si="103"/>
        <v>#DIV/0!</v>
      </c>
      <c r="H163" s="250" t="e">
        <f t="shared" ca="1" si="103"/>
        <v>#DIV/0!</v>
      </c>
      <c r="I163" s="250" t="e">
        <f t="shared" ca="1" si="103"/>
        <v>#DIV/0!</v>
      </c>
      <c r="J163" s="250" t="e">
        <f t="shared" ca="1" si="103"/>
        <v>#DIV/0!</v>
      </c>
      <c r="K163" s="250" t="e">
        <f t="shared" ca="1" si="103"/>
        <v>#DIV/0!</v>
      </c>
      <c r="L163" s="250" t="e">
        <f t="shared" ca="1" si="103"/>
        <v>#DIV/0!</v>
      </c>
      <c r="M163" s="215"/>
    </row>
    <row r="164" spans="2:13">
      <c r="B164" s="6" t="str">
        <f>B$20</f>
        <v>B</v>
      </c>
      <c r="C164" s="217" t="str">
        <f>'Cap Table'!$D$60</f>
        <v>$</v>
      </c>
      <c r="D164" s="250" t="e">
        <f t="shared" ca="1" si="103"/>
        <v>#DIV/0!</v>
      </c>
      <c r="E164" s="250" t="e">
        <f t="shared" ca="1" si="103"/>
        <v>#DIV/0!</v>
      </c>
      <c r="F164" s="250" t="e">
        <f t="shared" ca="1" si="103"/>
        <v>#DIV/0!</v>
      </c>
      <c r="G164" s="250" t="e">
        <f t="shared" ca="1" si="103"/>
        <v>#DIV/0!</v>
      </c>
      <c r="H164" s="250" t="e">
        <f t="shared" ca="1" si="103"/>
        <v>#DIV/0!</v>
      </c>
      <c r="I164" s="250" t="e">
        <f t="shared" ca="1" si="103"/>
        <v>#DIV/0!</v>
      </c>
      <c r="J164" s="250" t="e">
        <f t="shared" ca="1" si="103"/>
        <v>#DIV/0!</v>
      </c>
      <c r="K164" s="250" t="e">
        <f t="shared" ca="1" si="103"/>
        <v>#DIV/0!</v>
      </c>
      <c r="L164" s="250" t="e">
        <f t="shared" ca="1" si="103"/>
        <v>#DIV/0!</v>
      </c>
      <c r="M164" s="215"/>
    </row>
    <row r="165" spans="2:13">
      <c r="B165" s="6" t="str">
        <f>B$21</f>
        <v>A</v>
      </c>
      <c r="C165" s="217" t="str">
        <f>'Cap Table'!$D$60</f>
        <v>$</v>
      </c>
      <c r="D165" s="250" t="e">
        <f t="shared" ca="1" si="103"/>
        <v>#DIV/0!</v>
      </c>
      <c r="E165" s="250" t="e">
        <f t="shared" ca="1" si="103"/>
        <v>#DIV/0!</v>
      </c>
      <c r="F165" s="250" t="e">
        <f t="shared" ca="1" si="103"/>
        <v>#DIV/0!</v>
      </c>
      <c r="G165" s="250" t="e">
        <f t="shared" ca="1" si="103"/>
        <v>#DIV/0!</v>
      </c>
      <c r="H165" s="250" t="e">
        <f t="shared" ca="1" si="103"/>
        <v>#DIV/0!</v>
      </c>
      <c r="I165" s="250" t="e">
        <f t="shared" ca="1" si="103"/>
        <v>#DIV/0!</v>
      </c>
      <c r="J165" s="250" t="e">
        <f t="shared" ca="1" si="103"/>
        <v>#DIV/0!</v>
      </c>
      <c r="K165" s="250" t="e">
        <f t="shared" ca="1" si="103"/>
        <v>#DIV/0!</v>
      </c>
      <c r="L165" s="250" t="e">
        <f t="shared" ca="1" si="103"/>
        <v>#DIV/0!</v>
      </c>
      <c r="M165" s="215"/>
    </row>
    <row r="166" spans="2:13">
      <c r="B166" s="6" t="str">
        <f>B$22</f>
        <v>Seed</v>
      </c>
      <c r="C166" s="217" t="str">
        <f>'Cap Table'!$D$60</f>
        <v>$</v>
      </c>
      <c r="D166" s="250" t="e">
        <f t="shared" ca="1" si="103"/>
        <v>#DIV/0!</v>
      </c>
      <c r="E166" s="250" t="e">
        <f t="shared" ca="1" si="103"/>
        <v>#DIV/0!</v>
      </c>
      <c r="F166" s="250" t="e">
        <f t="shared" ca="1" si="103"/>
        <v>#DIV/0!</v>
      </c>
      <c r="G166" s="250" t="e">
        <f t="shared" ca="1" si="103"/>
        <v>#DIV/0!</v>
      </c>
      <c r="H166" s="250" t="e">
        <f t="shared" ca="1" si="103"/>
        <v>#DIV/0!</v>
      </c>
      <c r="I166" s="250" t="e">
        <f t="shared" ca="1" si="103"/>
        <v>#DIV/0!</v>
      </c>
      <c r="J166" s="250" t="e">
        <f t="shared" ca="1" si="103"/>
        <v>#DIV/0!</v>
      </c>
      <c r="K166" s="250" t="e">
        <f t="shared" ca="1" si="103"/>
        <v>#DIV/0!</v>
      </c>
      <c r="L166" s="250" t="e">
        <f t="shared" ca="1" si="103"/>
        <v>#DIV/0!</v>
      </c>
      <c r="M166" s="215"/>
    </row>
    <row r="167" spans="2:13">
      <c r="B167" s="6" t="str">
        <f>B$23</f>
        <v>Common Holders</v>
      </c>
      <c r="C167" s="217" t="str">
        <f>'Cap Table'!$D$60</f>
        <v>$</v>
      </c>
      <c r="D167" s="250" t="e">
        <f t="shared" ca="1" si="103"/>
        <v>#DIV/0!</v>
      </c>
      <c r="E167" s="250" t="e">
        <f t="shared" ca="1" si="103"/>
        <v>#DIV/0!</v>
      </c>
      <c r="F167" s="250" t="e">
        <f t="shared" ca="1" si="103"/>
        <v>#DIV/0!</v>
      </c>
      <c r="G167" s="250" t="e">
        <f t="shared" ca="1" si="103"/>
        <v>#DIV/0!</v>
      </c>
      <c r="H167" s="250" t="e">
        <f t="shared" ca="1" si="103"/>
        <v>#DIV/0!</v>
      </c>
      <c r="I167" s="250" t="e">
        <f t="shared" ca="1" si="103"/>
        <v>#DIV/0!</v>
      </c>
      <c r="J167" s="250" t="e">
        <f t="shared" ca="1" si="103"/>
        <v>#DIV/0!</v>
      </c>
      <c r="K167" s="250" t="e">
        <f t="shared" ca="1" si="103"/>
        <v>#DIV/0!</v>
      </c>
      <c r="L167" s="250" t="e">
        <f t="shared" ca="1" si="103"/>
        <v>#DIV/0!</v>
      </c>
      <c r="M167" s="215"/>
    </row>
    <row r="168" spans="2:13">
      <c r="B168" s="6" t="str">
        <f>B$24</f>
        <v>Options Granted and Exercised</v>
      </c>
      <c r="C168" s="217" t="str">
        <f>'Cap Table'!$D$60</f>
        <v>$</v>
      </c>
      <c r="D168" s="250" t="e">
        <f t="shared" ca="1" si="103"/>
        <v>#DIV/0!</v>
      </c>
      <c r="E168" s="250" t="e">
        <f t="shared" ca="1" si="103"/>
        <v>#DIV/0!</v>
      </c>
      <c r="F168" s="250" t="e">
        <f t="shared" ca="1" si="103"/>
        <v>#DIV/0!</v>
      </c>
      <c r="G168" s="250" t="e">
        <f t="shared" ca="1" si="103"/>
        <v>#DIV/0!</v>
      </c>
      <c r="H168" s="250" t="e">
        <f t="shared" ca="1" si="103"/>
        <v>#DIV/0!</v>
      </c>
      <c r="I168" s="250" t="e">
        <f t="shared" ca="1" si="103"/>
        <v>#DIV/0!</v>
      </c>
      <c r="J168" s="250" t="e">
        <f t="shared" ca="1" si="103"/>
        <v>#DIV/0!</v>
      </c>
      <c r="K168" s="250" t="e">
        <f t="shared" ca="1" si="103"/>
        <v>#DIV/0!</v>
      </c>
      <c r="L168" s="250" t="e">
        <f t="shared" ca="1" si="103"/>
        <v>#DIV/0!</v>
      </c>
      <c r="M168" s="215"/>
    </row>
    <row r="169" spans="2:13">
      <c r="B169" s="6" t="s">
        <v>20</v>
      </c>
      <c r="C169" s="217" t="str">
        <f>'Cap Table'!$D$60</f>
        <v>$</v>
      </c>
      <c r="D169" s="88" t="e">
        <f t="shared" ref="D169:L169" ca="1" si="104">SUM(D161:D168)</f>
        <v>#DIV/0!</v>
      </c>
      <c r="E169" s="88" t="e">
        <f t="shared" ca="1" si="104"/>
        <v>#DIV/0!</v>
      </c>
      <c r="F169" s="88" t="e">
        <f t="shared" ca="1" si="104"/>
        <v>#DIV/0!</v>
      </c>
      <c r="G169" s="88" t="e">
        <f t="shared" ca="1" si="104"/>
        <v>#DIV/0!</v>
      </c>
      <c r="H169" s="88" t="e">
        <f t="shared" ca="1" si="104"/>
        <v>#DIV/0!</v>
      </c>
      <c r="I169" s="88" t="e">
        <f t="shared" ca="1" si="104"/>
        <v>#DIV/0!</v>
      </c>
      <c r="J169" s="88" t="e">
        <f t="shared" ca="1" si="104"/>
        <v>#DIV/0!</v>
      </c>
      <c r="K169" s="88" t="e">
        <f t="shared" ca="1" si="104"/>
        <v>#DIV/0!</v>
      </c>
      <c r="L169" s="88" t="e">
        <f t="shared" ca="1" si="104"/>
        <v>#DIV/0!</v>
      </c>
      <c r="M169" s="215"/>
    </row>
    <row r="170" spans="2:13">
      <c r="B170" s="6"/>
      <c r="C170" s="217"/>
      <c r="M170" s="215"/>
    </row>
    <row r="171" spans="2:13">
      <c r="B171" s="6"/>
      <c r="C171" s="217"/>
      <c r="M171" s="215"/>
    </row>
    <row r="172" spans="2:13">
      <c r="B172" s="47" t="s">
        <v>574</v>
      </c>
      <c r="M172" s="215"/>
    </row>
    <row r="173" spans="2:13">
      <c r="B173" s="34"/>
      <c r="M173" s="215"/>
    </row>
    <row r="174" spans="2:13">
      <c r="B174" s="6" t="str">
        <f>B$17</f>
        <v>E</v>
      </c>
      <c r="C174" s="217" t="s">
        <v>50</v>
      </c>
      <c r="D174" s="255">
        <f ca="1">IFERROR(D161/D$169,0)</f>
        <v>0</v>
      </c>
      <c r="E174" s="255">
        <f t="shared" ref="E174:L174" ca="1" si="105">IFERROR(E161/E$169,0)</f>
        <v>0</v>
      </c>
      <c r="F174" s="255">
        <f t="shared" ca="1" si="105"/>
        <v>0</v>
      </c>
      <c r="G174" s="255">
        <f t="shared" ca="1" si="105"/>
        <v>0</v>
      </c>
      <c r="H174" s="255">
        <f t="shared" ca="1" si="105"/>
        <v>0</v>
      </c>
      <c r="I174" s="255">
        <f t="shared" ca="1" si="105"/>
        <v>0</v>
      </c>
      <c r="J174" s="255">
        <f t="shared" ca="1" si="105"/>
        <v>0</v>
      </c>
      <c r="K174" s="255">
        <f t="shared" ca="1" si="105"/>
        <v>0</v>
      </c>
      <c r="L174" s="255">
        <f t="shared" ca="1" si="105"/>
        <v>0</v>
      </c>
      <c r="M174" s="215"/>
    </row>
    <row r="175" spans="2:13">
      <c r="B175" s="6" t="str">
        <f>B$18</f>
        <v>D</v>
      </c>
      <c r="C175" s="217" t="s">
        <v>50</v>
      </c>
      <c r="D175" s="255">
        <f t="shared" ref="D175:L182" ca="1" si="106">IFERROR(D162/D$169,0)</f>
        <v>0</v>
      </c>
      <c r="E175" s="255">
        <f t="shared" ca="1" si="106"/>
        <v>0</v>
      </c>
      <c r="F175" s="255">
        <f t="shared" ca="1" si="106"/>
        <v>0</v>
      </c>
      <c r="G175" s="255">
        <f t="shared" ca="1" si="106"/>
        <v>0</v>
      </c>
      <c r="H175" s="255">
        <f t="shared" ca="1" si="106"/>
        <v>0</v>
      </c>
      <c r="I175" s="255">
        <f t="shared" ca="1" si="106"/>
        <v>0</v>
      </c>
      <c r="J175" s="255">
        <f t="shared" ca="1" si="106"/>
        <v>0</v>
      </c>
      <c r="K175" s="255">
        <f t="shared" ca="1" si="106"/>
        <v>0</v>
      </c>
      <c r="L175" s="255">
        <f t="shared" ca="1" si="106"/>
        <v>0</v>
      </c>
      <c r="M175" s="215"/>
    </row>
    <row r="176" spans="2:13">
      <c r="B176" s="6" t="str">
        <f>B$19</f>
        <v>C</v>
      </c>
      <c r="C176" s="217" t="s">
        <v>50</v>
      </c>
      <c r="D176" s="255">
        <f t="shared" ca="1" si="106"/>
        <v>0</v>
      </c>
      <c r="E176" s="255">
        <f t="shared" ca="1" si="106"/>
        <v>0</v>
      </c>
      <c r="F176" s="255">
        <f t="shared" ca="1" si="106"/>
        <v>0</v>
      </c>
      <c r="G176" s="255">
        <f t="shared" ca="1" si="106"/>
        <v>0</v>
      </c>
      <c r="H176" s="255">
        <f t="shared" ca="1" si="106"/>
        <v>0</v>
      </c>
      <c r="I176" s="255">
        <f t="shared" ca="1" si="106"/>
        <v>0</v>
      </c>
      <c r="J176" s="255">
        <f t="shared" ca="1" si="106"/>
        <v>0</v>
      </c>
      <c r="K176" s="255">
        <f t="shared" ca="1" si="106"/>
        <v>0</v>
      </c>
      <c r="L176" s="255">
        <f t="shared" ca="1" si="106"/>
        <v>0</v>
      </c>
      <c r="M176" s="215"/>
    </row>
    <row r="177" spans="2:13">
      <c r="B177" s="6" t="str">
        <f>B$20</f>
        <v>B</v>
      </c>
      <c r="C177" s="217" t="s">
        <v>50</v>
      </c>
      <c r="D177" s="255">
        <f t="shared" ca="1" si="106"/>
        <v>0</v>
      </c>
      <c r="E177" s="255">
        <f t="shared" ca="1" si="106"/>
        <v>0</v>
      </c>
      <c r="F177" s="255">
        <f t="shared" ca="1" si="106"/>
        <v>0</v>
      </c>
      <c r="G177" s="255">
        <f t="shared" ca="1" si="106"/>
        <v>0</v>
      </c>
      <c r="H177" s="255">
        <f t="shared" ca="1" si="106"/>
        <v>0</v>
      </c>
      <c r="I177" s="255">
        <f t="shared" ca="1" si="106"/>
        <v>0</v>
      </c>
      <c r="J177" s="255">
        <f t="shared" ca="1" si="106"/>
        <v>0</v>
      </c>
      <c r="K177" s="255">
        <f t="shared" ca="1" si="106"/>
        <v>0</v>
      </c>
      <c r="L177" s="255">
        <f t="shared" ca="1" si="106"/>
        <v>0</v>
      </c>
      <c r="M177" s="215"/>
    </row>
    <row r="178" spans="2:13">
      <c r="B178" s="6" t="str">
        <f>B$21</f>
        <v>A</v>
      </c>
      <c r="C178" s="217" t="s">
        <v>50</v>
      </c>
      <c r="D178" s="255">
        <f t="shared" ca="1" si="106"/>
        <v>0</v>
      </c>
      <c r="E178" s="255">
        <f t="shared" ca="1" si="106"/>
        <v>0</v>
      </c>
      <c r="F178" s="255">
        <f t="shared" ca="1" si="106"/>
        <v>0</v>
      </c>
      <c r="G178" s="255">
        <f t="shared" ca="1" si="106"/>
        <v>0</v>
      </c>
      <c r="H178" s="255">
        <f t="shared" ca="1" si="106"/>
        <v>0</v>
      </c>
      <c r="I178" s="255">
        <f t="shared" ca="1" si="106"/>
        <v>0</v>
      </c>
      <c r="J178" s="255">
        <f t="shared" ca="1" si="106"/>
        <v>0</v>
      </c>
      <c r="K178" s="255">
        <f t="shared" ca="1" si="106"/>
        <v>0</v>
      </c>
      <c r="L178" s="255">
        <f t="shared" ca="1" si="106"/>
        <v>0</v>
      </c>
      <c r="M178" s="215"/>
    </row>
    <row r="179" spans="2:13">
      <c r="B179" s="6" t="str">
        <f>B$22</f>
        <v>Seed</v>
      </c>
      <c r="C179" s="217" t="s">
        <v>50</v>
      </c>
      <c r="D179" s="255">
        <f t="shared" ca="1" si="106"/>
        <v>0</v>
      </c>
      <c r="E179" s="255">
        <f t="shared" ca="1" si="106"/>
        <v>0</v>
      </c>
      <c r="F179" s="255">
        <f t="shared" ca="1" si="106"/>
        <v>0</v>
      </c>
      <c r="G179" s="255">
        <f t="shared" ca="1" si="106"/>
        <v>0</v>
      </c>
      <c r="H179" s="255">
        <f t="shared" ca="1" si="106"/>
        <v>0</v>
      </c>
      <c r="I179" s="255">
        <f t="shared" ca="1" si="106"/>
        <v>0</v>
      </c>
      <c r="J179" s="255">
        <f t="shared" ca="1" si="106"/>
        <v>0</v>
      </c>
      <c r="K179" s="255">
        <f t="shared" ca="1" si="106"/>
        <v>0</v>
      </c>
      <c r="L179" s="255">
        <f t="shared" ca="1" si="106"/>
        <v>0</v>
      </c>
      <c r="M179" s="215"/>
    </row>
    <row r="180" spans="2:13">
      <c r="B180" s="6" t="str">
        <f>B$23</f>
        <v>Common Holders</v>
      </c>
      <c r="C180" s="217" t="s">
        <v>50</v>
      </c>
      <c r="D180" s="255">
        <f t="shared" ca="1" si="106"/>
        <v>0</v>
      </c>
      <c r="E180" s="255">
        <f t="shared" ca="1" si="106"/>
        <v>0</v>
      </c>
      <c r="F180" s="255">
        <f t="shared" ca="1" si="106"/>
        <v>0</v>
      </c>
      <c r="G180" s="255">
        <f t="shared" ca="1" si="106"/>
        <v>0</v>
      </c>
      <c r="H180" s="255">
        <f t="shared" ca="1" si="106"/>
        <v>0</v>
      </c>
      <c r="I180" s="255">
        <f t="shared" ca="1" si="106"/>
        <v>0</v>
      </c>
      <c r="J180" s="255">
        <f t="shared" ca="1" si="106"/>
        <v>0</v>
      </c>
      <c r="K180" s="255">
        <f t="shared" ca="1" si="106"/>
        <v>0</v>
      </c>
      <c r="L180" s="255">
        <f t="shared" ca="1" si="106"/>
        <v>0</v>
      </c>
      <c r="M180" s="215"/>
    </row>
    <row r="181" spans="2:13">
      <c r="B181" s="6" t="str">
        <f>B$24</f>
        <v>Options Granted and Exercised</v>
      </c>
      <c r="C181" s="217" t="s">
        <v>50</v>
      </c>
      <c r="D181" s="255">
        <f t="shared" ca="1" si="106"/>
        <v>0</v>
      </c>
      <c r="E181" s="255">
        <f t="shared" ca="1" si="106"/>
        <v>0</v>
      </c>
      <c r="F181" s="255">
        <f t="shared" ca="1" si="106"/>
        <v>0</v>
      </c>
      <c r="G181" s="255">
        <f t="shared" ca="1" si="106"/>
        <v>0</v>
      </c>
      <c r="H181" s="255">
        <f t="shared" ca="1" si="106"/>
        <v>0</v>
      </c>
      <c r="I181" s="255">
        <f t="shared" ca="1" si="106"/>
        <v>0</v>
      </c>
      <c r="J181" s="255">
        <f t="shared" ca="1" si="106"/>
        <v>0</v>
      </c>
      <c r="K181" s="255">
        <f t="shared" ca="1" si="106"/>
        <v>0</v>
      </c>
      <c r="L181" s="255">
        <f t="shared" ca="1" si="106"/>
        <v>0</v>
      </c>
      <c r="M181" s="215"/>
    </row>
    <row r="182" spans="2:13">
      <c r="B182" s="6" t="s">
        <v>20</v>
      </c>
      <c r="C182" s="217" t="s">
        <v>50</v>
      </c>
      <c r="D182" s="256">
        <f t="shared" ca="1" si="106"/>
        <v>0</v>
      </c>
      <c r="E182" s="256">
        <f t="shared" ca="1" si="106"/>
        <v>0</v>
      </c>
      <c r="F182" s="256">
        <f t="shared" ca="1" si="106"/>
        <v>0</v>
      </c>
      <c r="G182" s="256">
        <f t="shared" ca="1" si="106"/>
        <v>0</v>
      </c>
      <c r="H182" s="256">
        <f t="shared" ca="1" si="106"/>
        <v>0</v>
      </c>
      <c r="I182" s="256">
        <f t="shared" ca="1" si="106"/>
        <v>0</v>
      </c>
      <c r="J182" s="256">
        <f t="shared" ca="1" si="106"/>
        <v>0</v>
      </c>
      <c r="K182" s="256">
        <f t="shared" ca="1" si="106"/>
        <v>0</v>
      </c>
      <c r="L182" s="256">
        <f t="shared" ca="1" si="106"/>
        <v>0</v>
      </c>
      <c r="M182" s="215"/>
    </row>
    <row r="183" spans="2:13">
      <c r="B183" s="6"/>
      <c r="C183" s="217"/>
      <c r="M183" s="215"/>
    </row>
    <row r="184" spans="2:13">
      <c r="M184" s="215"/>
    </row>
    <row r="185" spans="2:13">
      <c r="B185" s="47" t="s">
        <v>575</v>
      </c>
      <c r="M185" s="215" t="s">
        <v>576</v>
      </c>
    </row>
    <row r="186" spans="2:13">
      <c r="M186" s="215"/>
    </row>
    <row r="187" spans="2:13" s="11" customFormat="1">
      <c r="B187" s="68" t="str">
        <f>B$17</f>
        <v>E</v>
      </c>
      <c r="C187" s="93" t="s">
        <v>50</v>
      </c>
      <c r="D187" s="257" t="str">
        <f t="shared" ref="D187:L193" ca="1" si="107">IFERROR((D161-$D17*$D$30-$E17*$E$30-$F17*$F$30-$G17*$G$30-$H17*$H$30-$I17*$I$30)/($D17*$D$30+$E17*$E$30+$F17*$F$30+$G17*$G$30+$H17*$H$30+$I17*$I$30),"na")</f>
        <v>na</v>
      </c>
      <c r="E187" s="257" t="str">
        <f t="shared" ca="1" si="107"/>
        <v>na</v>
      </c>
      <c r="F187" s="257" t="str">
        <f t="shared" ca="1" si="107"/>
        <v>na</v>
      </c>
      <c r="G187" s="257" t="str">
        <f t="shared" ca="1" si="107"/>
        <v>na</v>
      </c>
      <c r="H187" s="257" t="str">
        <f t="shared" ca="1" si="107"/>
        <v>na</v>
      </c>
      <c r="I187" s="257" t="str">
        <f t="shared" ca="1" si="107"/>
        <v>na</v>
      </c>
      <c r="J187" s="257" t="str">
        <f t="shared" ca="1" si="107"/>
        <v>na</v>
      </c>
      <c r="K187" s="257" t="str">
        <f t="shared" ca="1" si="107"/>
        <v>na</v>
      </c>
      <c r="L187" s="257" t="str">
        <f t="shared" ca="1" si="107"/>
        <v>na</v>
      </c>
      <c r="M187" s="248" t="s">
        <v>577</v>
      </c>
    </row>
    <row r="188" spans="2:13" s="11" customFormat="1">
      <c r="B188" s="68" t="str">
        <f>B$18</f>
        <v>D</v>
      </c>
      <c r="C188" s="93" t="s">
        <v>50</v>
      </c>
      <c r="D188" s="257" t="str">
        <f t="shared" ca="1" si="107"/>
        <v>na</v>
      </c>
      <c r="E188" s="257" t="str">
        <f t="shared" ca="1" si="107"/>
        <v>na</v>
      </c>
      <c r="F188" s="257" t="str">
        <f t="shared" ca="1" si="107"/>
        <v>na</v>
      </c>
      <c r="G188" s="257" t="str">
        <f t="shared" ca="1" si="107"/>
        <v>na</v>
      </c>
      <c r="H188" s="257" t="str">
        <f t="shared" ca="1" si="107"/>
        <v>na</v>
      </c>
      <c r="I188" s="257" t="str">
        <f t="shared" ca="1" si="107"/>
        <v>na</v>
      </c>
      <c r="J188" s="257" t="str">
        <f t="shared" ca="1" si="107"/>
        <v>na</v>
      </c>
      <c r="K188" s="257" t="str">
        <f t="shared" ca="1" si="107"/>
        <v>na</v>
      </c>
      <c r="L188" s="257" t="str">
        <f t="shared" ca="1" si="107"/>
        <v>na</v>
      </c>
      <c r="M188" s="248"/>
    </row>
    <row r="189" spans="2:13" s="11" customFormat="1">
      <c r="B189" s="68" t="str">
        <f>B$19</f>
        <v>C</v>
      </c>
      <c r="C189" s="93" t="s">
        <v>50</v>
      </c>
      <c r="D189" s="257" t="str">
        <f t="shared" ca="1" si="107"/>
        <v>na</v>
      </c>
      <c r="E189" s="257" t="str">
        <f t="shared" ca="1" si="107"/>
        <v>na</v>
      </c>
      <c r="F189" s="257" t="str">
        <f t="shared" ca="1" si="107"/>
        <v>na</v>
      </c>
      <c r="G189" s="257" t="str">
        <f t="shared" ca="1" si="107"/>
        <v>na</v>
      </c>
      <c r="H189" s="257" t="str">
        <f t="shared" ca="1" si="107"/>
        <v>na</v>
      </c>
      <c r="I189" s="257" t="str">
        <f t="shared" ca="1" si="107"/>
        <v>na</v>
      </c>
      <c r="J189" s="257" t="str">
        <f t="shared" ca="1" si="107"/>
        <v>na</v>
      </c>
      <c r="K189" s="257" t="str">
        <f t="shared" ca="1" si="107"/>
        <v>na</v>
      </c>
      <c r="L189" s="257" t="str">
        <f t="shared" ca="1" si="107"/>
        <v>na</v>
      </c>
      <c r="M189" s="248"/>
    </row>
    <row r="190" spans="2:13" s="11" customFormat="1">
      <c r="B190" s="68" t="str">
        <f>B$20</f>
        <v>B</v>
      </c>
      <c r="C190" s="93" t="s">
        <v>50</v>
      </c>
      <c r="D190" s="257" t="str">
        <f t="shared" ca="1" si="107"/>
        <v>na</v>
      </c>
      <c r="E190" s="257" t="str">
        <f t="shared" ca="1" si="107"/>
        <v>na</v>
      </c>
      <c r="F190" s="257" t="str">
        <f t="shared" ca="1" si="107"/>
        <v>na</v>
      </c>
      <c r="G190" s="257" t="str">
        <f t="shared" ca="1" si="107"/>
        <v>na</v>
      </c>
      <c r="H190" s="257" t="str">
        <f t="shared" ca="1" si="107"/>
        <v>na</v>
      </c>
      <c r="I190" s="257" t="str">
        <f t="shared" ca="1" si="107"/>
        <v>na</v>
      </c>
      <c r="J190" s="257" t="str">
        <f t="shared" ca="1" si="107"/>
        <v>na</v>
      </c>
      <c r="K190" s="257" t="str">
        <f t="shared" ca="1" si="107"/>
        <v>na</v>
      </c>
      <c r="L190" s="257" t="str">
        <f t="shared" ca="1" si="107"/>
        <v>na</v>
      </c>
      <c r="M190" s="248"/>
    </row>
    <row r="191" spans="2:13" s="11" customFormat="1">
      <c r="B191" s="68" t="str">
        <f>B$21</f>
        <v>A</v>
      </c>
      <c r="C191" s="93" t="s">
        <v>50</v>
      </c>
      <c r="D191" s="257" t="str">
        <f t="shared" ca="1" si="107"/>
        <v>na</v>
      </c>
      <c r="E191" s="257" t="str">
        <f t="shared" ca="1" si="107"/>
        <v>na</v>
      </c>
      <c r="F191" s="257" t="str">
        <f t="shared" ca="1" si="107"/>
        <v>na</v>
      </c>
      <c r="G191" s="257" t="str">
        <f t="shared" ca="1" si="107"/>
        <v>na</v>
      </c>
      <c r="H191" s="257" t="str">
        <f t="shared" ca="1" si="107"/>
        <v>na</v>
      </c>
      <c r="I191" s="257" t="str">
        <f t="shared" ca="1" si="107"/>
        <v>na</v>
      </c>
      <c r="J191" s="257" t="str">
        <f t="shared" ca="1" si="107"/>
        <v>na</v>
      </c>
      <c r="K191" s="257" t="str">
        <f t="shared" ca="1" si="107"/>
        <v>na</v>
      </c>
      <c r="L191" s="257" t="str">
        <f t="shared" ca="1" si="107"/>
        <v>na</v>
      </c>
      <c r="M191" s="248"/>
    </row>
    <row r="192" spans="2:13" s="11" customFormat="1">
      <c r="B192" s="68" t="str">
        <f>B$22</f>
        <v>Seed</v>
      </c>
      <c r="C192" s="93" t="s">
        <v>50</v>
      </c>
      <c r="D192" s="257" t="str">
        <f t="shared" ca="1" si="107"/>
        <v>na</v>
      </c>
      <c r="E192" s="257" t="str">
        <f t="shared" ca="1" si="107"/>
        <v>na</v>
      </c>
      <c r="F192" s="257" t="str">
        <f t="shared" ca="1" si="107"/>
        <v>na</v>
      </c>
      <c r="G192" s="257" t="str">
        <f t="shared" ca="1" si="107"/>
        <v>na</v>
      </c>
      <c r="H192" s="257" t="str">
        <f t="shared" ca="1" si="107"/>
        <v>na</v>
      </c>
      <c r="I192" s="257" t="str">
        <f t="shared" ca="1" si="107"/>
        <v>na</v>
      </c>
      <c r="J192" s="257" t="str">
        <f t="shared" ca="1" si="107"/>
        <v>na</v>
      </c>
      <c r="K192" s="257" t="str">
        <f t="shared" ca="1" si="107"/>
        <v>na</v>
      </c>
      <c r="L192" s="257" t="str">
        <f t="shared" ca="1" si="107"/>
        <v>na</v>
      </c>
      <c r="M192" s="248" t="s">
        <v>578</v>
      </c>
    </row>
    <row r="193" spans="2:18" s="11" customFormat="1">
      <c r="B193" s="68" t="str">
        <f>B$23</f>
        <v>Common Holders</v>
      </c>
      <c r="C193" s="93" t="s">
        <v>50</v>
      </c>
      <c r="D193" s="257" t="str">
        <f t="shared" ca="1" si="107"/>
        <v>na</v>
      </c>
      <c r="E193" s="257" t="str">
        <f t="shared" ca="1" si="107"/>
        <v>na</v>
      </c>
      <c r="F193" s="257" t="str">
        <f t="shared" ca="1" si="107"/>
        <v>na</v>
      </c>
      <c r="G193" s="257" t="str">
        <f t="shared" ca="1" si="107"/>
        <v>na</v>
      </c>
      <c r="H193" s="257" t="str">
        <f t="shared" ca="1" si="107"/>
        <v>na</v>
      </c>
      <c r="I193" s="257" t="str">
        <f t="shared" ca="1" si="107"/>
        <v>na</v>
      </c>
      <c r="J193" s="257" t="str">
        <f t="shared" ca="1" si="107"/>
        <v>na</v>
      </c>
      <c r="K193" s="257" t="str">
        <f t="shared" ca="1" si="107"/>
        <v>na</v>
      </c>
      <c r="L193" s="257" t="str">
        <f t="shared" ca="1" si="107"/>
        <v>na</v>
      </c>
      <c r="M193" s="248" t="s">
        <v>579</v>
      </c>
    </row>
    <row r="194" spans="2:18" s="62" customFormat="1">
      <c r="B194" s="68" t="str">
        <f>B$24</f>
        <v>Options Granted and Exercised</v>
      </c>
      <c r="C194" s="93" t="s">
        <v>50</v>
      </c>
      <c r="D194" s="256">
        <f t="shared" ref="D194:L194" ca="1" si="108">IFERROR((D169-$L31)/$L31,0)</f>
        <v>0</v>
      </c>
      <c r="E194" s="256">
        <f t="shared" ca="1" si="108"/>
        <v>0</v>
      </c>
      <c r="F194" s="256">
        <f t="shared" ca="1" si="108"/>
        <v>0</v>
      </c>
      <c r="G194" s="256">
        <f t="shared" ca="1" si="108"/>
        <v>0</v>
      </c>
      <c r="H194" s="256">
        <f t="shared" ca="1" si="108"/>
        <v>0</v>
      </c>
      <c r="I194" s="256">
        <f t="shared" ca="1" si="108"/>
        <v>0</v>
      </c>
      <c r="J194" s="256">
        <f t="shared" ca="1" si="108"/>
        <v>0</v>
      </c>
      <c r="K194" s="256">
        <f t="shared" ca="1" si="108"/>
        <v>0</v>
      </c>
      <c r="L194" s="256">
        <f t="shared" ca="1" si="108"/>
        <v>0</v>
      </c>
      <c r="N194" s="11"/>
      <c r="O194" s="11"/>
      <c r="P194" s="11"/>
      <c r="Q194" s="11"/>
      <c r="R194" s="11"/>
    </row>
    <row r="197" spans="2:18">
      <c r="B197" s="47" t="s">
        <v>580</v>
      </c>
    </row>
    <row r="199" spans="2:18">
      <c r="B199" s="6" t="str">
        <f>B$17</f>
        <v>E</v>
      </c>
      <c r="C199" s="217" t="s">
        <v>170</v>
      </c>
      <c r="D199" s="216">
        <f ca="1">IFERROR(D161/$D$31,0)</f>
        <v>0</v>
      </c>
      <c r="E199" s="216">
        <f t="shared" ref="E199:L199" ca="1" si="109">IFERROR(E161/$D$31,0)</f>
        <v>0</v>
      </c>
      <c r="F199" s="216">
        <f t="shared" ca="1" si="109"/>
        <v>0</v>
      </c>
      <c r="G199" s="216">
        <f t="shared" ca="1" si="109"/>
        <v>0</v>
      </c>
      <c r="H199" s="216">
        <f t="shared" ca="1" si="109"/>
        <v>0</v>
      </c>
      <c r="I199" s="216">
        <f t="shared" ca="1" si="109"/>
        <v>0</v>
      </c>
      <c r="J199" s="216">
        <f t="shared" ca="1" si="109"/>
        <v>0</v>
      </c>
      <c r="K199" s="216">
        <f t="shared" ca="1" si="109"/>
        <v>0</v>
      </c>
      <c r="L199" s="216">
        <f t="shared" ca="1" si="109"/>
        <v>0</v>
      </c>
    </row>
    <row r="200" spans="2:18">
      <c r="B200" s="6" t="str">
        <f>B$18</f>
        <v>D</v>
      </c>
      <c r="C200" s="217" t="s">
        <v>170</v>
      </c>
      <c r="D200" s="216">
        <f ca="1">IFERROR(D162/$E$31,0)</f>
        <v>0</v>
      </c>
      <c r="E200" s="216">
        <f t="shared" ref="E200:L200" ca="1" si="110">IFERROR(E162/$E$31,0)</f>
        <v>0</v>
      </c>
      <c r="F200" s="216">
        <f t="shared" ca="1" si="110"/>
        <v>0</v>
      </c>
      <c r="G200" s="216">
        <f t="shared" ca="1" si="110"/>
        <v>0</v>
      </c>
      <c r="H200" s="216">
        <f t="shared" ca="1" si="110"/>
        <v>0</v>
      </c>
      <c r="I200" s="216">
        <f t="shared" ca="1" si="110"/>
        <v>0</v>
      </c>
      <c r="J200" s="216">
        <f t="shared" ca="1" si="110"/>
        <v>0</v>
      </c>
      <c r="K200" s="216">
        <f t="shared" ca="1" si="110"/>
        <v>0</v>
      </c>
      <c r="L200" s="216">
        <f t="shared" ca="1" si="110"/>
        <v>0</v>
      </c>
    </row>
    <row r="201" spans="2:18">
      <c r="B201" s="6" t="str">
        <f>B$19</f>
        <v>C</v>
      </c>
      <c r="C201" s="217" t="s">
        <v>170</v>
      </c>
      <c r="D201" s="216">
        <f ca="1">IFERROR(D163/$F$31,0)</f>
        <v>0</v>
      </c>
      <c r="E201" s="216">
        <f t="shared" ref="E201:L201" ca="1" si="111">IFERROR(E163/$F$31,0)</f>
        <v>0</v>
      </c>
      <c r="F201" s="216">
        <f t="shared" ca="1" si="111"/>
        <v>0</v>
      </c>
      <c r="G201" s="216">
        <f t="shared" ca="1" si="111"/>
        <v>0</v>
      </c>
      <c r="H201" s="216">
        <f t="shared" ca="1" si="111"/>
        <v>0</v>
      </c>
      <c r="I201" s="216">
        <f t="shared" ca="1" si="111"/>
        <v>0</v>
      </c>
      <c r="J201" s="216">
        <f t="shared" ca="1" si="111"/>
        <v>0</v>
      </c>
      <c r="K201" s="216">
        <f t="shared" ca="1" si="111"/>
        <v>0</v>
      </c>
      <c r="L201" s="216">
        <f t="shared" ca="1" si="111"/>
        <v>0</v>
      </c>
    </row>
    <row r="202" spans="2:18">
      <c r="B202" s="6" t="str">
        <f>B$20</f>
        <v>B</v>
      </c>
      <c r="C202" s="217" t="s">
        <v>170</v>
      </c>
      <c r="D202" s="216">
        <f ca="1">IFERROR(D164/$G$31,0)</f>
        <v>0</v>
      </c>
      <c r="E202" s="216">
        <f t="shared" ref="E202:L202" ca="1" si="112">IFERROR(E164/$G$31,0)</f>
        <v>0</v>
      </c>
      <c r="F202" s="216">
        <f t="shared" ca="1" si="112"/>
        <v>0</v>
      </c>
      <c r="G202" s="216">
        <f t="shared" ca="1" si="112"/>
        <v>0</v>
      </c>
      <c r="H202" s="216">
        <f t="shared" ca="1" si="112"/>
        <v>0</v>
      </c>
      <c r="I202" s="216">
        <f t="shared" ca="1" si="112"/>
        <v>0</v>
      </c>
      <c r="J202" s="216">
        <f t="shared" ca="1" si="112"/>
        <v>0</v>
      </c>
      <c r="K202" s="216">
        <f t="shared" ca="1" si="112"/>
        <v>0</v>
      </c>
      <c r="L202" s="216">
        <f t="shared" ca="1" si="112"/>
        <v>0</v>
      </c>
    </row>
    <row r="203" spans="2:18">
      <c r="B203" s="6" t="str">
        <f>B$21</f>
        <v>A</v>
      </c>
      <c r="C203" s="217" t="s">
        <v>170</v>
      </c>
      <c r="D203" s="216">
        <f ca="1">IFERROR(D165/$H$31,0)</f>
        <v>0</v>
      </c>
      <c r="E203" s="216">
        <f t="shared" ref="E203:L203" ca="1" si="113">IFERROR(E165/$H$31,0)</f>
        <v>0</v>
      </c>
      <c r="F203" s="216">
        <f t="shared" ca="1" si="113"/>
        <v>0</v>
      </c>
      <c r="G203" s="216">
        <f t="shared" ca="1" si="113"/>
        <v>0</v>
      </c>
      <c r="H203" s="216">
        <f t="shared" ca="1" si="113"/>
        <v>0</v>
      </c>
      <c r="I203" s="216">
        <f t="shared" ca="1" si="113"/>
        <v>0</v>
      </c>
      <c r="J203" s="216">
        <f t="shared" ca="1" si="113"/>
        <v>0</v>
      </c>
      <c r="K203" s="216">
        <f t="shared" ca="1" si="113"/>
        <v>0</v>
      </c>
      <c r="L203" s="216">
        <f t="shared" ca="1" si="113"/>
        <v>0</v>
      </c>
    </row>
    <row r="204" spans="2:18">
      <c r="B204" s="6" t="str">
        <f>B$22</f>
        <v>Seed</v>
      </c>
      <c r="C204" s="217" t="s">
        <v>170</v>
      </c>
      <c r="D204" s="216">
        <f ca="1">IFERROR(D166/$I$31,0)</f>
        <v>0</v>
      </c>
      <c r="E204" s="216">
        <f t="shared" ref="E204:L204" ca="1" si="114">IFERROR(E166/$I$31,0)</f>
        <v>0</v>
      </c>
      <c r="F204" s="216">
        <f t="shared" ca="1" si="114"/>
        <v>0</v>
      </c>
      <c r="G204" s="216">
        <f t="shared" ca="1" si="114"/>
        <v>0</v>
      </c>
      <c r="H204" s="216">
        <f t="shared" ca="1" si="114"/>
        <v>0</v>
      </c>
      <c r="I204" s="216">
        <f t="shared" ca="1" si="114"/>
        <v>0</v>
      </c>
      <c r="J204" s="216">
        <f t="shared" ca="1" si="114"/>
        <v>0</v>
      </c>
      <c r="K204" s="216">
        <f t="shared" ca="1" si="114"/>
        <v>0</v>
      </c>
      <c r="L204" s="216">
        <f t="shared" ca="1" si="114"/>
        <v>0</v>
      </c>
    </row>
    <row r="205" spans="2:18">
      <c r="B205" s="6" t="str">
        <f>B$23</f>
        <v>Common Holders</v>
      </c>
      <c r="C205" s="217" t="s">
        <v>170</v>
      </c>
      <c r="D205" s="216">
        <f ca="1">IFERROR(D167/$J$31,0)</f>
        <v>0</v>
      </c>
      <c r="E205" s="216">
        <f t="shared" ref="E205:L205" ca="1" si="115">IFERROR(E167/$J$31,0)</f>
        <v>0</v>
      </c>
      <c r="F205" s="216">
        <f t="shared" ca="1" si="115"/>
        <v>0</v>
      </c>
      <c r="G205" s="216">
        <f t="shared" ca="1" si="115"/>
        <v>0</v>
      </c>
      <c r="H205" s="216">
        <f t="shared" ca="1" si="115"/>
        <v>0</v>
      </c>
      <c r="I205" s="216">
        <f t="shared" ca="1" si="115"/>
        <v>0</v>
      </c>
      <c r="J205" s="216">
        <f t="shared" ca="1" si="115"/>
        <v>0</v>
      </c>
      <c r="K205" s="216">
        <f t="shared" ca="1" si="115"/>
        <v>0</v>
      </c>
      <c r="L205" s="216">
        <f t="shared" ca="1" si="115"/>
        <v>0</v>
      </c>
    </row>
    <row r="206" spans="2:18">
      <c r="B206" s="6" t="str">
        <f>B$24</f>
        <v>Options Granted and Exercised</v>
      </c>
      <c r="C206" s="217" t="s">
        <v>170</v>
      </c>
      <c r="D206" s="216">
        <f ca="1">IFERROR(D168/$K$31,0)</f>
        <v>0</v>
      </c>
      <c r="E206" s="216">
        <f t="shared" ref="E206:L206" ca="1" si="116">IFERROR(E168/$K$31,0)</f>
        <v>0</v>
      </c>
      <c r="F206" s="216">
        <f t="shared" ca="1" si="116"/>
        <v>0</v>
      </c>
      <c r="G206" s="216">
        <f t="shared" ca="1" si="116"/>
        <v>0</v>
      </c>
      <c r="H206" s="216">
        <f t="shared" ca="1" si="116"/>
        <v>0</v>
      </c>
      <c r="I206" s="216">
        <f t="shared" ca="1" si="116"/>
        <v>0</v>
      </c>
      <c r="J206" s="216">
        <f t="shared" ca="1" si="116"/>
        <v>0</v>
      </c>
      <c r="K206" s="216">
        <f t="shared" ca="1" si="116"/>
        <v>0</v>
      </c>
      <c r="L206" s="216">
        <f t="shared" ca="1" si="116"/>
        <v>0</v>
      </c>
    </row>
    <row r="207" spans="2:18">
      <c r="B207" s="6" t="s">
        <v>20</v>
      </c>
      <c r="C207" s="217" t="s">
        <v>170</v>
      </c>
      <c r="D207" s="258">
        <f ca="1">IFERROR(D169/$L$31,0)</f>
        <v>0</v>
      </c>
      <c r="E207" s="258">
        <f t="shared" ref="E207:L207" ca="1" si="117">IFERROR(E169/$L$31,0)</f>
        <v>0</v>
      </c>
      <c r="F207" s="258">
        <f t="shared" ca="1" si="117"/>
        <v>0</v>
      </c>
      <c r="G207" s="258">
        <f t="shared" ca="1" si="117"/>
        <v>0</v>
      </c>
      <c r="H207" s="258">
        <f t="shared" ca="1" si="117"/>
        <v>0</v>
      </c>
      <c r="I207" s="258">
        <f t="shared" ca="1" si="117"/>
        <v>0</v>
      </c>
      <c r="J207" s="258">
        <f t="shared" ca="1" si="117"/>
        <v>0</v>
      </c>
      <c r="K207" s="258">
        <f t="shared" ca="1" si="117"/>
        <v>0</v>
      </c>
      <c r="L207" s="258">
        <f t="shared" ca="1" si="117"/>
        <v>0</v>
      </c>
    </row>
    <row r="212" spans="13:13">
      <c r="M212" s="259" t="s">
        <v>289</v>
      </c>
    </row>
    <row r="241" spans="13:13">
      <c r="M241" s="259" t="s">
        <v>312</v>
      </c>
    </row>
    <row r="273" spans="2:13">
      <c r="D273" s="260"/>
      <c r="E273" s="261"/>
    </row>
    <row r="274" spans="2:13">
      <c r="B274" s="47" t="s">
        <v>581</v>
      </c>
      <c r="D274" s="261"/>
      <c r="M274" s="259" t="s">
        <v>582</v>
      </c>
    </row>
    <row r="275" spans="2:13">
      <c r="B275" s="34"/>
      <c r="G275" s="6"/>
      <c r="M275" s="61" t="s">
        <v>583</v>
      </c>
    </row>
    <row r="276" spans="2:13">
      <c r="B276" s="6" t="str">
        <f>'Cap Table'!B6</f>
        <v>Co-Founder 1</v>
      </c>
      <c r="C276" s="217" t="str">
        <f>'Cap Table'!$D$60</f>
        <v>$</v>
      </c>
      <c r="D276" s="250" t="e">
        <f ca="1">('Cap Table'!$EB6+'Cap Table'!$EC6)*D$57+D$70*('Cap Table'!$DG6+'Cap Table'!$DH6)+D$83*('Cap Table'!$CL6+'Cap Table'!$CM6)+D$96*('Cap Table'!$BQ6+'Cap Table'!$BR6)+D$109*('Cap Table'!$AV6+'Cap Table'!$AW6)+('Cap Table'!$AA6+'Cap Table'!$AB6)*D$122+('Cap Table'!$I6+'Cap Table'!$J6)*D$133</f>
        <v>#DIV/0!</v>
      </c>
      <c r="E276" s="250" t="e">
        <f ca="1">('Cap Table'!$EB6+'Cap Table'!$EC6)*E$57+E$70*('Cap Table'!$DG6+'Cap Table'!$DH6)+E$83*('Cap Table'!$CL6+'Cap Table'!$CM6)+E$96*('Cap Table'!$BQ6+'Cap Table'!$BR6)+E$109*('Cap Table'!$AV6+'Cap Table'!$AW6)+('Cap Table'!$AA6+'Cap Table'!$AB6)*E$122+('Cap Table'!$I6+'Cap Table'!$J6)*E$133</f>
        <v>#DIV/0!</v>
      </c>
      <c r="F276" s="250" t="e">
        <f ca="1">('Cap Table'!$EB6+'Cap Table'!$EC6)*F$57+F$70*('Cap Table'!$DG6+'Cap Table'!$DH6)+F$83*('Cap Table'!$CL6+'Cap Table'!$CM6)+F$96*('Cap Table'!$BQ6+'Cap Table'!$BR6)+F$109*('Cap Table'!$AV6+'Cap Table'!$AW6)+('Cap Table'!$AA6+'Cap Table'!$AB6)*F$122+('Cap Table'!$I6+'Cap Table'!$J6)*F$133</f>
        <v>#DIV/0!</v>
      </c>
      <c r="G276" s="250" t="e">
        <f ca="1">('Cap Table'!$EB6+'Cap Table'!$EC6)*G$57+G$70*('Cap Table'!$DG6+'Cap Table'!$DH6)+G$83*('Cap Table'!$CL6+'Cap Table'!$CM6)+G$96*('Cap Table'!$BQ6+'Cap Table'!$BR6)+G$109*('Cap Table'!$AV6+'Cap Table'!$AW6)+('Cap Table'!$AA6+'Cap Table'!$AB6)*G$122+('Cap Table'!$I6+'Cap Table'!$J6)*G$133</f>
        <v>#DIV/0!</v>
      </c>
      <c r="H276" s="250" t="e">
        <f ca="1">('Cap Table'!$EB6+'Cap Table'!$EC6)*H$57+H$70*('Cap Table'!$DG6+'Cap Table'!$DH6)+H$83*('Cap Table'!$CL6+'Cap Table'!$CM6)+H$96*('Cap Table'!$BQ6+'Cap Table'!$BR6)+H$109*('Cap Table'!$AV6+'Cap Table'!$AW6)+('Cap Table'!$AA6+'Cap Table'!$AB6)*H$122+('Cap Table'!$I6+'Cap Table'!$J6)*H$133</f>
        <v>#DIV/0!</v>
      </c>
      <c r="I276" s="250" t="e">
        <f ca="1">('Cap Table'!$EB6+'Cap Table'!$EC6)*I$57+I$70*('Cap Table'!$DG6+'Cap Table'!$DH6)+I$83*('Cap Table'!$CL6+'Cap Table'!$CM6)+I$96*('Cap Table'!$BQ6+'Cap Table'!$BR6)+I$109*('Cap Table'!$AV6+'Cap Table'!$AW6)+('Cap Table'!$AA6+'Cap Table'!$AB6)*I$122+('Cap Table'!$I6+'Cap Table'!$J6)*I$133</f>
        <v>#DIV/0!</v>
      </c>
      <c r="J276" s="250" t="e">
        <f ca="1">('Cap Table'!$EB6+'Cap Table'!$EC6)*J$57+J$70*('Cap Table'!$DG6+'Cap Table'!$DH6)+J$83*('Cap Table'!$CL6+'Cap Table'!$CM6)+J$96*('Cap Table'!$BQ6+'Cap Table'!$BR6)+J$109*('Cap Table'!$AV6+'Cap Table'!$AW6)+('Cap Table'!$AA6+'Cap Table'!$AB6)*J$122+('Cap Table'!$I6+'Cap Table'!$J6)*J$133</f>
        <v>#DIV/0!</v>
      </c>
      <c r="K276" s="250" t="e">
        <f ca="1">('Cap Table'!$EB6+'Cap Table'!$EC6)*K$57+K$70*('Cap Table'!$DG6+'Cap Table'!$DH6)+K$83*('Cap Table'!$CL6+'Cap Table'!$CM6)+K$96*('Cap Table'!$BQ6+'Cap Table'!$BR6)+K$109*('Cap Table'!$AV6+'Cap Table'!$AW6)+('Cap Table'!$AA6+'Cap Table'!$AB6)*K$122+('Cap Table'!$I6+'Cap Table'!$J6)*K$133</f>
        <v>#DIV/0!</v>
      </c>
      <c r="L276" s="250" t="e">
        <f ca="1">('Cap Table'!$EB6+'Cap Table'!$EC6)*L$57+L$70*('Cap Table'!$DG6+'Cap Table'!$DH6)+L$83*('Cap Table'!$CL6+'Cap Table'!$CM6)+L$96*('Cap Table'!$BQ6+'Cap Table'!$BR6)+L$109*('Cap Table'!$AV6+'Cap Table'!$AW6)+('Cap Table'!$AA6+'Cap Table'!$AB6)*L$122+('Cap Table'!$I6+'Cap Table'!$J6)*L$133</f>
        <v>#DIV/0!</v>
      </c>
    </row>
    <row r="277" spans="2:13">
      <c r="B277" s="6" t="str">
        <f>'Cap Table'!B7</f>
        <v>Employee</v>
      </c>
      <c r="C277" s="217" t="str">
        <f>'Cap Table'!$D$60</f>
        <v>$</v>
      </c>
      <c r="D277" s="250" t="e">
        <f ca="1">('Cap Table'!$EB7+'Cap Table'!$EC7)*D$57+D$70*('Cap Table'!$DG7+'Cap Table'!$DH7)+D$83*('Cap Table'!$CL7+'Cap Table'!$CM7)+D$96*('Cap Table'!$BQ7+'Cap Table'!$BR7)+D$109*('Cap Table'!$AV7+'Cap Table'!$AW7)+('Cap Table'!$AA7+'Cap Table'!$AB7)*D$122+('Cap Table'!$I7+'Cap Table'!$J7)*D$133</f>
        <v>#DIV/0!</v>
      </c>
      <c r="E277" s="250" t="e">
        <f ca="1">('Cap Table'!$EB7+'Cap Table'!$EC7)*E$57+E$70*('Cap Table'!$DG7+'Cap Table'!$DH7)+E$83*('Cap Table'!$CL7+'Cap Table'!$CM7)+E$96*('Cap Table'!$BQ7+'Cap Table'!$BR7)+E$109*('Cap Table'!$AV7+'Cap Table'!$AW7)+('Cap Table'!$AA7+'Cap Table'!$AB7)*E$122+('Cap Table'!$I7+'Cap Table'!$J7)*E$133</f>
        <v>#DIV/0!</v>
      </c>
      <c r="F277" s="250" t="e">
        <f ca="1">('Cap Table'!$EB7+'Cap Table'!$EC7)*F$57+F$70*('Cap Table'!$DG7+'Cap Table'!$DH7)+F$83*('Cap Table'!$CL7+'Cap Table'!$CM7)+F$96*('Cap Table'!$BQ7+'Cap Table'!$BR7)+F$109*('Cap Table'!$AV7+'Cap Table'!$AW7)+('Cap Table'!$AA7+'Cap Table'!$AB7)*F$122+('Cap Table'!$I7+'Cap Table'!$J7)*F$133</f>
        <v>#DIV/0!</v>
      </c>
      <c r="G277" s="250" t="e">
        <f ca="1">('Cap Table'!$EB7+'Cap Table'!$EC7)*G$57+G$70*('Cap Table'!$DG7+'Cap Table'!$DH7)+G$83*('Cap Table'!$CL7+'Cap Table'!$CM7)+G$96*('Cap Table'!$BQ7+'Cap Table'!$BR7)+G$109*('Cap Table'!$AV7+'Cap Table'!$AW7)+('Cap Table'!$AA7+'Cap Table'!$AB7)*G$122+('Cap Table'!$I7+'Cap Table'!$J7)*G$133</f>
        <v>#DIV/0!</v>
      </c>
      <c r="H277" s="250" t="e">
        <f ca="1">('Cap Table'!$EB7+'Cap Table'!$EC7)*H$57+H$70*('Cap Table'!$DG7+'Cap Table'!$DH7)+H$83*('Cap Table'!$CL7+'Cap Table'!$CM7)+H$96*('Cap Table'!$BQ7+'Cap Table'!$BR7)+H$109*('Cap Table'!$AV7+'Cap Table'!$AW7)+('Cap Table'!$AA7+'Cap Table'!$AB7)*H$122+('Cap Table'!$I7+'Cap Table'!$J7)*H$133</f>
        <v>#DIV/0!</v>
      </c>
      <c r="I277" s="250" t="e">
        <f ca="1">('Cap Table'!$EB7+'Cap Table'!$EC7)*I$57+I$70*('Cap Table'!$DG7+'Cap Table'!$DH7)+I$83*('Cap Table'!$CL7+'Cap Table'!$CM7)+I$96*('Cap Table'!$BQ7+'Cap Table'!$BR7)+I$109*('Cap Table'!$AV7+'Cap Table'!$AW7)+('Cap Table'!$AA7+'Cap Table'!$AB7)*I$122+('Cap Table'!$I7+'Cap Table'!$J7)*I$133</f>
        <v>#DIV/0!</v>
      </c>
      <c r="J277" s="250" t="e">
        <f ca="1">('Cap Table'!$EB7+'Cap Table'!$EC7)*J$57+J$70*('Cap Table'!$DG7+'Cap Table'!$DH7)+J$83*('Cap Table'!$CL7+'Cap Table'!$CM7)+J$96*('Cap Table'!$BQ7+'Cap Table'!$BR7)+J$109*('Cap Table'!$AV7+'Cap Table'!$AW7)+('Cap Table'!$AA7+'Cap Table'!$AB7)*J$122+('Cap Table'!$I7+'Cap Table'!$J7)*J$133</f>
        <v>#DIV/0!</v>
      </c>
      <c r="K277" s="250" t="e">
        <f ca="1">('Cap Table'!$EB7+'Cap Table'!$EC7)*K$57+K$70*('Cap Table'!$DG7+'Cap Table'!$DH7)+K$83*('Cap Table'!$CL7+'Cap Table'!$CM7)+K$96*('Cap Table'!$BQ7+'Cap Table'!$BR7)+K$109*('Cap Table'!$AV7+'Cap Table'!$AW7)+('Cap Table'!$AA7+'Cap Table'!$AB7)*K$122+('Cap Table'!$I7+'Cap Table'!$J7)*K$133</f>
        <v>#DIV/0!</v>
      </c>
      <c r="L277" s="250" t="e">
        <f ca="1">('Cap Table'!$EB7+'Cap Table'!$EC7)*L$57+L$70*('Cap Table'!$DG7+'Cap Table'!$DH7)+L$83*('Cap Table'!$CL7+'Cap Table'!$CM7)+L$96*('Cap Table'!$BQ7+'Cap Table'!$BR7)+L$109*('Cap Table'!$AV7+'Cap Table'!$AW7)+('Cap Table'!$AA7+'Cap Table'!$AB7)*L$122+('Cap Table'!$I7+'Cap Table'!$J7)*L$133</f>
        <v>#DIV/0!</v>
      </c>
    </row>
    <row r="278" spans="2:13">
      <c r="B278" s="6" t="str">
        <f>'Cap Table'!B8</f>
        <v>Seed</v>
      </c>
      <c r="C278" s="217" t="str">
        <f>'Cap Table'!$D$60</f>
        <v>$</v>
      </c>
      <c r="D278" s="250" t="e">
        <f ca="1">('Cap Table'!$EB8+'Cap Table'!$EC8)*D$57+D$70*('Cap Table'!$DG8+'Cap Table'!$DH8)+D$83*('Cap Table'!$CL8+'Cap Table'!$CM8)+D$96*('Cap Table'!$BQ8+'Cap Table'!$BR8)+D$109*('Cap Table'!$AV8+'Cap Table'!$AW8)+('Cap Table'!$AA8+'Cap Table'!$AB8)*D$122+('Cap Table'!$I8+'Cap Table'!$J8)*D$133</f>
        <v>#DIV/0!</v>
      </c>
      <c r="E278" s="250" t="e">
        <f ca="1">('Cap Table'!$EB8+'Cap Table'!$EC8)*E$57+E$70*('Cap Table'!$DG8+'Cap Table'!$DH8)+E$83*('Cap Table'!$CL8+'Cap Table'!$CM8)+E$96*('Cap Table'!$BQ8+'Cap Table'!$BR8)+E$109*('Cap Table'!$AV8+'Cap Table'!$AW8)+('Cap Table'!$AA8+'Cap Table'!$AB8)*E$122+('Cap Table'!$I8+'Cap Table'!$J8)*E$133</f>
        <v>#DIV/0!</v>
      </c>
      <c r="F278" s="250" t="e">
        <f ca="1">('Cap Table'!$EB8+'Cap Table'!$EC8)*F$57+F$70*('Cap Table'!$DG8+'Cap Table'!$DH8)+F$83*('Cap Table'!$CL8+'Cap Table'!$CM8)+F$96*('Cap Table'!$BQ8+'Cap Table'!$BR8)+F$109*('Cap Table'!$AV8+'Cap Table'!$AW8)+('Cap Table'!$AA8+'Cap Table'!$AB8)*F$122+('Cap Table'!$I8+'Cap Table'!$J8)*F$133</f>
        <v>#DIV/0!</v>
      </c>
      <c r="G278" s="250" t="e">
        <f ca="1">('Cap Table'!$EB8+'Cap Table'!$EC8)*G$57+G$70*('Cap Table'!$DG8+'Cap Table'!$DH8)+G$83*('Cap Table'!$CL8+'Cap Table'!$CM8)+G$96*('Cap Table'!$BQ8+'Cap Table'!$BR8)+G$109*('Cap Table'!$AV8+'Cap Table'!$AW8)+('Cap Table'!$AA8+'Cap Table'!$AB8)*G$122+('Cap Table'!$I8+'Cap Table'!$J8)*G$133</f>
        <v>#DIV/0!</v>
      </c>
      <c r="H278" s="250" t="e">
        <f ca="1">('Cap Table'!$EB8+'Cap Table'!$EC8)*H$57+H$70*('Cap Table'!$DG8+'Cap Table'!$DH8)+H$83*('Cap Table'!$CL8+'Cap Table'!$CM8)+H$96*('Cap Table'!$BQ8+'Cap Table'!$BR8)+H$109*('Cap Table'!$AV8+'Cap Table'!$AW8)+('Cap Table'!$AA8+'Cap Table'!$AB8)*H$122+('Cap Table'!$I8+'Cap Table'!$J8)*H$133</f>
        <v>#DIV/0!</v>
      </c>
      <c r="I278" s="250" t="e">
        <f ca="1">('Cap Table'!$EB8+'Cap Table'!$EC8)*I$57+I$70*('Cap Table'!$DG8+'Cap Table'!$DH8)+I$83*('Cap Table'!$CL8+'Cap Table'!$CM8)+I$96*('Cap Table'!$BQ8+'Cap Table'!$BR8)+I$109*('Cap Table'!$AV8+'Cap Table'!$AW8)+('Cap Table'!$AA8+'Cap Table'!$AB8)*I$122+('Cap Table'!$I8+'Cap Table'!$J8)*I$133</f>
        <v>#DIV/0!</v>
      </c>
      <c r="J278" s="250" t="e">
        <f ca="1">('Cap Table'!$EB8+'Cap Table'!$EC8)*J$57+J$70*('Cap Table'!$DG8+'Cap Table'!$DH8)+J$83*('Cap Table'!$CL8+'Cap Table'!$CM8)+J$96*('Cap Table'!$BQ8+'Cap Table'!$BR8)+J$109*('Cap Table'!$AV8+'Cap Table'!$AW8)+('Cap Table'!$AA8+'Cap Table'!$AB8)*J$122+('Cap Table'!$I8+'Cap Table'!$J8)*J$133</f>
        <v>#DIV/0!</v>
      </c>
      <c r="K278" s="250" t="e">
        <f ca="1">('Cap Table'!$EB8+'Cap Table'!$EC8)*K$57+K$70*('Cap Table'!$DG8+'Cap Table'!$DH8)+K$83*('Cap Table'!$CL8+'Cap Table'!$CM8)+K$96*('Cap Table'!$BQ8+'Cap Table'!$BR8)+K$109*('Cap Table'!$AV8+'Cap Table'!$AW8)+('Cap Table'!$AA8+'Cap Table'!$AB8)*K$122+('Cap Table'!$I8+'Cap Table'!$J8)*K$133</f>
        <v>#DIV/0!</v>
      </c>
      <c r="L278" s="250" t="e">
        <f ca="1">('Cap Table'!$EB8+'Cap Table'!$EC8)*L$57+L$70*('Cap Table'!$DG8+'Cap Table'!$DH8)+L$83*('Cap Table'!$CL8+'Cap Table'!$CM8)+L$96*('Cap Table'!$BQ8+'Cap Table'!$BR8)+L$109*('Cap Table'!$AV8+'Cap Table'!$AW8)+('Cap Table'!$AA8+'Cap Table'!$AB8)*L$122+('Cap Table'!$I8+'Cap Table'!$J8)*L$133</f>
        <v>#DIV/0!</v>
      </c>
    </row>
    <row r="279" spans="2:13">
      <c r="B279" s="6" t="str">
        <f>'Cap Table'!B9</f>
        <v>na</v>
      </c>
      <c r="C279" s="217" t="str">
        <f>'Cap Table'!$D$60</f>
        <v>$</v>
      </c>
      <c r="D279" s="250" t="e">
        <f ca="1">('Cap Table'!$EB9+'Cap Table'!$EC9)*D$57+D$70*('Cap Table'!$DG9+'Cap Table'!$DH9)+D$83*('Cap Table'!$CL9+'Cap Table'!$CM9)+D$96*('Cap Table'!$BQ9+'Cap Table'!$BR9)+D$109*('Cap Table'!$AV9+'Cap Table'!$AW9)+('Cap Table'!$AA9+'Cap Table'!$AB9)*D$122+('Cap Table'!$I9+'Cap Table'!$J9)*D$133</f>
        <v>#DIV/0!</v>
      </c>
      <c r="E279" s="250" t="e">
        <f ca="1">('Cap Table'!$EB9+'Cap Table'!$EC9)*E$57+E$70*('Cap Table'!$DG9+'Cap Table'!$DH9)+E$83*('Cap Table'!$CL9+'Cap Table'!$CM9)+E$96*('Cap Table'!$BQ9+'Cap Table'!$BR9)+E$109*('Cap Table'!$AV9+'Cap Table'!$AW9)+('Cap Table'!$AA9+'Cap Table'!$AB9)*E$122+('Cap Table'!$I9+'Cap Table'!$J9)*E$133</f>
        <v>#DIV/0!</v>
      </c>
      <c r="F279" s="250" t="e">
        <f ca="1">('Cap Table'!$EB9+'Cap Table'!$EC9)*F$57+F$70*('Cap Table'!$DG9+'Cap Table'!$DH9)+F$83*('Cap Table'!$CL9+'Cap Table'!$CM9)+F$96*('Cap Table'!$BQ9+'Cap Table'!$BR9)+F$109*('Cap Table'!$AV9+'Cap Table'!$AW9)+('Cap Table'!$AA9+'Cap Table'!$AB9)*F$122+('Cap Table'!$I9+'Cap Table'!$J9)*F$133</f>
        <v>#DIV/0!</v>
      </c>
      <c r="G279" s="250" t="e">
        <f ca="1">('Cap Table'!$EB9+'Cap Table'!$EC9)*G$57+G$70*('Cap Table'!$DG9+'Cap Table'!$DH9)+G$83*('Cap Table'!$CL9+'Cap Table'!$CM9)+G$96*('Cap Table'!$BQ9+'Cap Table'!$BR9)+G$109*('Cap Table'!$AV9+'Cap Table'!$AW9)+('Cap Table'!$AA9+'Cap Table'!$AB9)*G$122+('Cap Table'!$I9+'Cap Table'!$J9)*G$133</f>
        <v>#DIV/0!</v>
      </c>
      <c r="H279" s="250" t="e">
        <f ca="1">('Cap Table'!$EB9+'Cap Table'!$EC9)*H$57+H$70*('Cap Table'!$DG9+'Cap Table'!$DH9)+H$83*('Cap Table'!$CL9+'Cap Table'!$CM9)+H$96*('Cap Table'!$BQ9+'Cap Table'!$BR9)+H$109*('Cap Table'!$AV9+'Cap Table'!$AW9)+('Cap Table'!$AA9+'Cap Table'!$AB9)*H$122+('Cap Table'!$I9+'Cap Table'!$J9)*H$133</f>
        <v>#DIV/0!</v>
      </c>
      <c r="I279" s="250" t="e">
        <f ca="1">('Cap Table'!$EB9+'Cap Table'!$EC9)*I$57+I$70*('Cap Table'!$DG9+'Cap Table'!$DH9)+I$83*('Cap Table'!$CL9+'Cap Table'!$CM9)+I$96*('Cap Table'!$BQ9+'Cap Table'!$BR9)+I$109*('Cap Table'!$AV9+'Cap Table'!$AW9)+('Cap Table'!$AA9+'Cap Table'!$AB9)*I$122+('Cap Table'!$I9+'Cap Table'!$J9)*I$133</f>
        <v>#DIV/0!</v>
      </c>
      <c r="J279" s="250" t="e">
        <f ca="1">('Cap Table'!$EB9+'Cap Table'!$EC9)*J$57+J$70*('Cap Table'!$DG9+'Cap Table'!$DH9)+J$83*('Cap Table'!$CL9+'Cap Table'!$CM9)+J$96*('Cap Table'!$BQ9+'Cap Table'!$BR9)+J$109*('Cap Table'!$AV9+'Cap Table'!$AW9)+('Cap Table'!$AA9+'Cap Table'!$AB9)*J$122+('Cap Table'!$I9+'Cap Table'!$J9)*J$133</f>
        <v>#DIV/0!</v>
      </c>
      <c r="K279" s="250" t="e">
        <f ca="1">('Cap Table'!$EB9+'Cap Table'!$EC9)*K$57+K$70*('Cap Table'!$DG9+'Cap Table'!$DH9)+K$83*('Cap Table'!$CL9+'Cap Table'!$CM9)+K$96*('Cap Table'!$BQ9+'Cap Table'!$BR9)+K$109*('Cap Table'!$AV9+'Cap Table'!$AW9)+('Cap Table'!$AA9+'Cap Table'!$AB9)*K$122+('Cap Table'!$I9+'Cap Table'!$J9)*K$133</f>
        <v>#DIV/0!</v>
      </c>
      <c r="L279" s="250" t="e">
        <f ca="1">('Cap Table'!$EB9+'Cap Table'!$EC9)*L$57+L$70*('Cap Table'!$DG9+'Cap Table'!$DH9)+L$83*('Cap Table'!$CL9+'Cap Table'!$CM9)+L$96*('Cap Table'!$BQ9+'Cap Table'!$BR9)+L$109*('Cap Table'!$AV9+'Cap Table'!$AW9)+('Cap Table'!$AA9+'Cap Table'!$AB9)*L$122+('Cap Table'!$I9+'Cap Table'!$J9)*L$133</f>
        <v>#DIV/0!</v>
      </c>
    </row>
    <row r="280" spans="2:13">
      <c r="B280" s="6" t="str">
        <f>'Cap Table'!B10</f>
        <v>na</v>
      </c>
      <c r="C280" s="217" t="str">
        <f>'Cap Table'!$D$60</f>
        <v>$</v>
      </c>
      <c r="D280" s="250" t="e">
        <f ca="1">('Cap Table'!$EB10+'Cap Table'!$EC10)*D$57+D$70*('Cap Table'!$DG10+'Cap Table'!$DH10)+D$83*('Cap Table'!$CL10+'Cap Table'!$CM10)+D$96*('Cap Table'!$BQ10+'Cap Table'!$BR10)+D$109*('Cap Table'!$AV10+'Cap Table'!$AW10)+('Cap Table'!$AA10+'Cap Table'!$AB10)*D$122+('Cap Table'!$I10+'Cap Table'!$J10)*D$133</f>
        <v>#DIV/0!</v>
      </c>
      <c r="E280" s="250" t="e">
        <f ca="1">('Cap Table'!$EB10+'Cap Table'!$EC10)*E$57+E$70*('Cap Table'!$DG10+'Cap Table'!$DH10)+E$83*('Cap Table'!$CL10+'Cap Table'!$CM10)+E$96*('Cap Table'!$BQ10+'Cap Table'!$BR10)+E$109*('Cap Table'!$AV10+'Cap Table'!$AW10)+('Cap Table'!$AA10+'Cap Table'!$AB10)*E$122+('Cap Table'!$I10+'Cap Table'!$J10)*E$133</f>
        <v>#DIV/0!</v>
      </c>
      <c r="F280" s="250" t="e">
        <f ca="1">('Cap Table'!$EB10+'Cap Table'!$EC10)*F$57+F$70*('Cap Table'!$DG10+'Cap Table'!$DH10)+F$83*('Cap Table'!$CL10+'Cap Table'!$CM10)+F$96*('Cap Table'!$BQ10+'Cap Table'!$BR10)+F$109*('Cap Table'!$AV10+'Cap Table'!$AW10)+('Cap Table'!$AA10+'Cap Table'!$AB10)*F$122+('Cap Table'!$I10+'Cap Table'!$J10)*F$133</f>
        <v>#DIV/0!</v>
      </c>
      <c r="G280" s="250" t="e">
        <f ca="1">('Cap Table'!$EB10+'Cap Table'!$EC10)*G$57+G$70*('Cap Table'!$DG10+'Cap Table'!$DH10)+G$83*('Cap Table'!$CL10+'Cap Table'!$CM10)+G$96*('Cap Table'!$BQ10+'Cap Table'!$BR10)+G$109*('Cap Table'!$AV10+'Cap Table'!$AW10)+('Cap Table'!$AA10+'Cap Table'!$AB10)*G$122+('Cap Table'!$I10+'Cap Table'!$J10)*G$133</f>
        <v>#DIV/0!</v>
      </c>
      <c r="H280" s="250" t="e">
        <f ca="1">('Cap Table'!$EB10+'Cap Table'!$EC10)*H$57+H$70*('Cap Table'!$DG10+'Cap Table'!$DH10)+H$83*('Cap Table'!$CL10+'Cap Table'!$CM10)+H$96*('Cap Table'!$BQ10+'Cap Table'!$BR10)+H$109*('Cap Table'!$AV10+'Cap Table'!$AW10)+('Cap Table'!$AA10+'Cap Table'!$AB10)*H$122+('Cap Table'!$I10+'Cap Table'!$J10)*H$133</f>
        <v>#DIV/0!</v>
      </c>
      <c r="I280" s="250" t="e">
        <f ca="1">('Cap Table'!$EB10+'Cap Table'!$EC10)*I$57+I$70*('Cap Table'!$DG10+'Cap Table'!$DH10)+I$83*('Cap Table'!$CL10+'Cap Table'!$CM10)+I$96*('Cap Table'!$BQ10+'Cap Table'!$BR10)+I$109*('Cap Table'!$AV10+'Cap Table'!$AW10)+('Cap Table'!$AA10+'Cap Table'!$AB10)*I$122+('Cap Table'!$I10+'Cap Table'!$J10)*I$133</f>
        <v>#DIV/0!</v>
      </c>
      <c r="J280" s="250" t="e">
        <f ca="1">('Cap Table'!$EB10+'Cap Table'!$EC10)*J$57+J$70*('Cap Table'!$DG10+'Cap Table'!$DH10)+J$83*('Cap Table'!$CL10+'Cap Table'!$CM10)+J$96*('Cap Table'!$BQ10+'Cap Table'!$BR10)+J$109*('Cap Table'!$AV10+'Cap Table'!$AW10)+('Cap Table'!$AA10+'Cap Table'!$AB10)*J$122+('Cap Table'!$I10+'Cap Table'!$J10)*J$133</f>
        <v>#DIV/0!</v>
      </c>
      <c r="K280" s="250" t="e">
        <f ca="1">('Cap Table'!$EB10+'Cap Table'!$EC10)*K$57+K$70*('Cap Table'!$DG10+'Cap Table'!$DH10)+K$83*('Cap Table'!$CL10+'Cap Table'!$CM10)+K$96*('Cap Table'!$BQ10+'Cap Table'!$BR10)+K$109*('Cap Table'!$AV10+'Cap Table'!$AW10)+('Cap Table'!$AA10+'Cap Table'!$AB10)*K$122+('Cap Table'!$I10+'Cap Table'!$J10)*K$133</f>
        <v>#DIV/0!</v>
      </c>
      <c r="L280" s="250" t="e">
        <f ca="1">('Cap Table'!$EB10+'Cap Table'!$EC10)*L$57+L$70*('Cap Table'!$DG10+'Cap Table'!$DH10)+L$83*('Cap Table'!$CL10+'Cap Table'!$CM10)+L$96*('Cap Table'!$BQ10+'Cap Table'!$BR10)+L$109*('Cap Table'!$AV10+'Cap Table'!$AW10)+('Cap Table'!$AA10+'Cap Table'!$AB10)*L$122+('Cap Table'!$I10+'Cap Table'!$J10)*L$133</f>
        <v>#DIV/0!</v>
      </c>
    </row>
    <row r="281" spans="2:13">
      <c r="B281" s="6" t="str">
        <f>'Cap Table'!B11</f>
        <v>na</v>
      </c>
      <c r="C281" s="217" t="str">
        <f>'Cap Table'!$D$60</f>
        <v>$</v>
      </c>
      <c r="D281" s="250" t="e">
        <f ca="1">('Cap Table'!$EB11+'Cap Table'!$EC11)*D$57+D$70*('Cap Table'!$DG11+'Cap Table'!$DH11)+D$83*('Cap Table'!$CL11+'Cap Table'!$CM11)+D$96*('Cap Table'!$BQ11+'Cap Table'!$BR11)+D$109*('Cap Table'!$AV11+'Cap Table'!$AW11)+('Cap Table'!$AA11+'Cap Table'!$AB11)*D$122+('Cap Table'!$I11+'Cap Table'!$J11)*D$133</f>
        <v>#DIV/0!</v>
      </c>
      <c r="E281" s="250" t="e">
        <f ca="1">('Cap Table'!$EB11+'Cap Table'!$EC11)*E$57+E$70*('Cap Table'!$DG11+'Cap Table'!$DH11)+E$83*('Cap Table'!$CL11+'Cap Table'!$CM11)+E$96*('Cap Table'!$BQ11+'Cap Table'!$BR11)+E$109*('Cap Table'!$AV11+'Cap Table'!$AW11)+('Cap Table'!$AA11+'Cap Table'!$AB11)*E$122+('Cap Table'!$I11+'Cap Table'!$J11)*E$133</f>
        <v>#DIV/0!</v>
      </c>
      <c r="F281" s="250" t="e">
        <f ca="1">('Cap Table'!$EB11+'Cap Table'!$EC11)*F$57+F$70*('Cap Table'!$DG11+'Cap Table'!$DH11)+F$83*('Cap Table'!$CL11+'Cap Table'!$CM11)+F$96*('Cap Table'!$BQ11+'Cap Table'!$BR11)+F$109*('Cap Table'!$AV11+'Cap Table'!$AW11)+('Cap Table'!$AA11+'Cap Table'!$AB11)*F$122+('Cap Table'!$I11+'Cap Table'!$J11)*F$133</f>
        <v>#DIV/0!</v>
      </c>
      <c r="G281" s="250" t="e">
        <f ca="1">('Cap Table'!$EB11+'Cap Table'!$EC11)*G$57+G$70*('Cap Table'!$DG11+'Cap Table'!$DH11)+G$83*('Cap Table'!$CL11+'Cap Table'!$CM11)+G$96*('Cap Table'!$BQ11+'Cap Table'!$BR11)+G$109*('Cap Table'!$AV11+'Cap Table'!$AW11)+('Cap Table'!$AA11+'Cap Table'!$AB11)*G$122+('Cap Table'!$I11+'Cap Table'!$J11)*G$133</f>
        <v>#DIV/0!</v>
      </c>
      <c r="H281" s="250" t="e">
        <f ca="1">('Cap Table'!$EB11+'Cap Table'!$EC11)*H$57+H$70*('Cap Table'!$DG11+'Cap Table'!$DH11)+H$83*('Cap Table'!$CL11+'Cap Table'!$CM11)+H$96*('Cap Table'!$BQ11+'Cap Table'!$BR11)+H$109*('Cap Table'!$AV11+'Cap Table'!$AW11)+('Cap Table'!$AA11+'Cap Table'!$AB11)*H$122+('Cap Table'!$I11+'Cap Table'!$J11)*H$133</f>
        <v>#DIV/0!</v>
      </c>
      <c r="I281" s="250" t="e">
        <f ca="1">('Cap Table'!$EB11+'Cap Table'!$EC11)*I$57+I$70*('Cap Table'!$DG11+'Cap Table'!$DH11)+I$83*('Cap Table'!$CL11+'Cap Table'!$CM11)+I$96*('Cap Table'!$BQ11+'Cap Table'!$BR11)+I$109*('Cap Table'!$AV11+'Cap Table'!$AW11)+('Cap Table'!$AA11+'Cap Table'!$AB11)*I$122+('Cap Table'!$I11+'Cap Table'!$J11)*I$133</f>
        <v>#DIV/0!</v>
      </c>
      <c r="J281" s="250" t="e">
        <f ca="1">('Cap Table'!$EB11+'Cap Table'!$EC11)*J$57+J$70*('Cap Table'!$DG11+'Cap Table'!$DH11)+J$83*('Cap Table'!$CL11+'Cap Table'!$CM11)+J$96*('Cap Table'!$BQ11+'Cap Table'!$BR11)+J$109*('Cap Table'!$AV11+'Cap Table'!$AW11)+('Cap Table'!$AA11+'Cap Table'!$AB11)*J$122+('Cap Table'!$I11+'Cap Table'!$J11)*J$133</f>
        <v>#DIV/0!</v>
      </c>
      <c r="K281" s="250" t="e">
        <f ca="1">('Cap Table'!$EB11+'Cap Table'!$EC11)*K$57+K$70*('Cap Table'!$DG11+'Cap Table'!$DH11)+K$83*('Cap Table'!$CL11+'Cap Table'!$CM11)+K$96*('Cap Table'!$BQ11+'Cap Table'!$BR11)+K$109*('Cap Table'!$AV11+'Cap Table'!$AW11)+('Cap Table'!$AA11+'Cap Table'!$AB11)*K$122+('Cap Table'!$I11+'Cap Table'!$J11)*K$133</f>
        <v>#DIV/0!</v>
      </c>
      <c r="L281" s="250" t="e">
        <f ca="1">('Cap Table'!$EB11+'Cap Table'!$EC11)*L$57+L$70*('Cap Table'!$DG11+'Cap Table'!$DH11)+L$83*('Cap Table'!$CL11+'Cap Table'!$CM11)+L$96*('Cap Table'!$BQ11+'Cap Table'!$BR11)+L$109*('Cap Table'!$AV11+'Cap Table'!$AW11)+('Cap Table'!$AA11+'Cap Table'!$AB11)*L$122+('Cap Table'!$I11+'Cap Table'!$J11)*L$133</f>
        <v>#DIV/0!</v>
      </c>
    </row>
    <row r="282" spans="2:13">
      <c r="B282" s="6" t="str">
        <f>'Cap Table'!B12</f>
        <v>na</v>
      </c>
      <c r="C282" s="217" t="str">
        <f>'Cap Table'!$D$60</f>
        <v>$</v>
      </c>
      <c r="D282" s="250" t="e">
        <f ca="1">('Cap Table'!$EB12+'Cap Table'!$EC12)*D$57+D$70*('Cap Table'!$DG12+'Cap Table'!$DH12)+D$83*('Cap Table'!$CL12+'Cap Table'!$CM12)+D$96*('Cap Table'!$BQ12+'Cap Table'!$BR12)+D$109*('Cap Table'!$AV12+'Cap Table'!$AW12)+('Cap Table'!$AA12+'Cap Table'!$AB12)*D$122+('Cap Table'!$I12+'Cap Table'!$J12)*D$133</f>
        <v>#DIV/0!</v>
      </c>
      <c r="E282" s="250" t="e">
        <f ca="1">('Cap Table'!$EB12+'Cap Table'!$EC12)*E$57+E$70*('Cap Table'!$DG12+'Cap Table'!$DH12)+E$83*('Cap Table'!$CL12+'Cap Table'!$CM12)+E$96*('Cap Table'!$BQ12+'Cap Table'!$BR12)+E$109*('Cap Table'!$AV12+'Cap Table'!$AW12)+('Cap Table'!$AA12+'Cap Table'!$AB12)*E$122+('Cap Table'!$I12+'Cap Table'!$J12)*E$133</f>
        <v>#DIV/0!</v>
      </c>
      <c r="F282" s="250" t="e">
        <f ca="1">('Cap Table'!$EB12+'Cap Table'!$EC12)*F$57+F$70*('Cap Table'!$DG12+'Cap Table'!$DH12)+F$83*('Cap Table'!$CL12+'Cap Table'!$CM12)+F$96*('Cap Table'!$BQ12+'Cap Table'!$BR12)+F$109*('Cap Table'!$AV12+'Cap Table'!$AW12)+('Cap Table'!$AA12+'Cap Table'!$AB12)*F$122+('Cap Table'!$I12+'Cap Table'!$J12)*F$133</f>
        <v>#DIV/0!</v>
      </c>
      <c r="G282" s="250" t="e">
        <f ca="1">('Cap Table'!$EB12+'Cap Table'!$EC12)*G$57+G$70*('Cap Table'!$DG12+'Cap Table'!$DH12)+G$83*('Cap Table'!$CL12+'Cap Table'!$CM12)+G$96*('Cap Table'!$BQ12+'Cap Table'!$BR12)+G$109*('Cap Table'!$AV12+'Cap Table'!$AW12)+('Cap Table'!$AA12+'Cap Table'!$AB12)*G$122+('Cap Table'!$I12+'Cap Table'!$J12)*G$133</f>
        <v>#DIV/0!</v>
      </c>
      <c r="H282" s="250" t="e">
        <f ca="1">('Cap Table'!$EB12+'Cap Table'!$EC12)*H$57+H$70*('Cap Table'!$DG12+'Cap Table'!$DH12)+H$83*('Cap Table'!$CL12+'Cap Table'!$CM12)+H$96*('Cap Table'!$BQ12+'Cap Table'!$BR12)+H$109*('Cap Table'!$AV12+'Cap Table'!$AW12)+('Cap Table'!$AA12+'Cap Table'!$AB12)*H$122+('Cap Table'!$I12+'Cap Table'!$J12)*H$133</f>
        <v>#DIV/0!</v>
      </c>
      <c r="I282" s="250" t="e">
        <f ca="1">('Cap Table'!$EB12+'Cap Table'!$EC12)*I$57+I$70*('Cap Table'!$DG12+'Cap Table'!$DH12)+I$83*('Cap Table'!$CL12+'Cap Table'!$CM12)+I$96*('Cap Table'!$BQ12+'Cap Table'!$BR12)+I$109*('Cap Table'!$AV12+'Cap Table'!$AW12)+('Cap Table'!$AA12+'Cap Table'!$AB12)*I$122+('Cap Table'!$I12+'Cap Table'!$J12)*I$133</f>
        <v>#DIV/0!</v>
      </c>
      <c r="J282" s="250" t="e">
        <f ca="1">('Cap Table'!$EB12+'Cap Table'!$EC12)*J$57+J$70*('Cap Table'!$DG12+'Cap Table'!$DH12)+J$83*('Cap Table'!$CL12+'Cap Table'!$CM12)+J$96*('Cap Table'!$BQ12+'Cap Table'!$BR12)+J$109*('Cap Table'!$AV12+'Cap Table'!$AW12)+('Cap Table'!$AA12+'Cap Table'!$AB12)*J$122+('Cap Table'!$I12+'Cap Table'!$J12)*J$133</f>
        <v>#DIV/0!</v>
      </c>
      <c r="K282" s="250" t="e">
        <f ca="1">('Cap Table'!$EB12+'Cap Table'!$EC12)*K$57+K$70*('Cap Table'!$DG12+'Cap Table'!$DH12)+K$83*('Cap Table'!$CL12+'Cap Table'!$CM12)+K$96*('Cap Table'!$BQ12+'Cap Table'!$BR12)+K$109*('Cap Table'!$AV12+'Cap Table'!$AW12)+('Cap Table'!$AA12+'Cap Table'!$AB12)*K$122+('Cap Table'!$I12+'Cap Table'!$J12)*K$133</f>
        <v>#DIV/0!</v>
      </c>
      <c r="L282" s="250" t="e">
        <f ca="1">('Cap Table'!$EB12+'Cap Table'!$EC12)*L$57+L$70*('Cap Table'!$DG12+'Cap Table'!$DH12)+L$83*('Cap Table'!$CL12+'Cap Table'!$CM12)+L$96*('Cap Table'!$BQ12+'Cap Table'!$BR12)+L$109*('Cap Table'!$AV12+'Cap Table'!$AW12)+('Cap Table'!$AA12+'Cap Table'!$AB12)*L$122+('Cap Table'!$I12+'Cap Table'!$J12)*L$133</f>
        <v>#DIV/0!</v>
      </c>
    </row>
    <row r="283" spans="2:13">
      <c r="B283" s="6" t="str">
        <f>'Cap Table'!B13</f>
        <v>na</v>
      </c>
      <c r="C283" s="217" t="str">
        <f>'Cap Table'!$D$60</f>
        <v>$</v>
      </c>
      <c r="D283" s="250" t="e">
        <f ca="1">('Cap Table'!$EB13+'Cap Table'!$EC13)*D$57+D$70*('Cap Table'!$DG13+'Cap Table'!$DH13)+D$83*('Cap Table'!$CL13+'Cap Table'!$CM13)+D$96*('Cap Table'!$BQ13+'Cap Table'!$BR13)+D$109*('Cap Table'!$AV13+'Cap Table'!$AW13)+('Cap Table'!$AA13+'Cap Table'!$AB13)*D$122+('Cap Table'!$I13+'Cap Table'!$J13)*D$133</f>
        <v>#DIV/0!</v>
      </c>
      <c r="E283" s="250" t="e">
        <f ca="1">('Cap Table'!$EB13+'Cap Table'!$EC13)*E$57+E$70*('Cap Table'!$DG13+'Cap Table'!$DH13)+E$83*('Cap Table'!$CL13+'Cap Table'!$CM13)+E$96*('Cap Table'!$BQ13+'Cap Table'!$BR13)+E$109*('Cap Table'!$AV13+'Cap Table'!$AW13)+('Cap Table'!$AA13+'Cap Table'!$AB13)*E$122+('Cap Table'!$I13+'Cap Table'!$J13)*E$133</f>
        <v>#DIV/0!</v>
      </c>
      <c r="F283" s="250" t="e">
        <f ca="1">('Cap Table'!$EB13+'Cap Table'!$EC13)*F$57+F$70*('Cap Table'!$DG13+'Cap Table'!$DH13)+F$83*('Cap Table'!$CL13+'Cap Table'!$CM13)+F$96*('Cap Table'!$BQ13+'Cap Table'!$BR13)+F$109*('Cap Table'!$AV13+'Cap Table'!$AW13)+('Cap Table'!$AA13+'Cap Table'!$AB13)*F$122+('Cap Table'!$I13+'Cap Table'!$J13)*F$133</f>
        <v>#DIV/0!</v>
      </c>
      <c r="G283" s="250" t="e">
        <f ca="1">('Cap Table'!$EB13+'Cap Table'!$EC13)*G$57+G$70*('Cap Table'!$DG13+'Cap Table'!$DH13)+G$83*('Cap Table'!$CL13+'Cap Table'!$CM13)+G$96*('Cap Table'!$BQ13+'Cap Table'!$BR13)+G$109*('Cap Table'!$AV13+'Cap Table'!$AW13)+('Cap Table'!$AA13+'Cap Table'!$AB13)*G$122+('Cap Table'!$I13+'Cap Table'!$J13)*G$133</f>
        <v>#DIV/0!</v>
      </c>
      <c r="H283" s="250" t="e">
        <f ca="1">('Cap Table'!$EB13+'Cap Table'!$EC13)*H$57+H$70*('Cap Table'!$DG13+'Cap Table'!$DH13)+H$83*('Cap Table'!$CL13+'Cap Table'!$CM13)+H$96*('Cap Table'!$BQ13+'Cap Table'!$BR13)+H$109*('Cap Table'!$AV13+'Cap Table'!$AW13)+('Cap Table'!$AA13+'Cap Table'!$AB13)*H$122+('Cap Table'!$I13+'Cap Table'!$J13)*H$133</f>
        <v>#DIV/0!</v>
      </c>
      <c r="I283" s="250" t="e">
        <f ca="1">('Cap Table'!$EB13+'Cap Table'!$EC13)*I$57+I$70*('Cap Table'!$DG13+'Cap Table'!$DH13)+I$83*('Cap Table'!$CL13+'Cap Table'!$CM13)+I$96*('Cap Table'!$BQ13+'Cap Table'!$BR13)+I$109*('Cap Table'!$AV13+'Cap Table'!$AW13)+('Cap Table'!$AA13+'Cap Table'!$AB13)*I$122+('Cap Table'!$I13+'Cap Table'!$J13)*I$133</f>
        <v>#DIV/0!</v>
      </c>
      <c r="J283" s="250" t="e">
        <f ca="1">('Cap Table'!$EB13+'Cap Table'!$EC13)*J$57+J$70*('Cap Table'!$DG13+'Cap Table'!$DH13)+J$83*('Cap Table'!$CL13+'Cap Table'!$CM13)+J$96*('Cap Table'!$BQ13+'Cap Table'!$BR13)+J$109*('Cap Table'!$AV13+'Cap Table'!$AW13)+('Cap Table'!$AA13+'Cap Table'!$AB13)*J$122+('Cap Table'!$I13+'Cap Table'!$J13)*J$133</f>
        <v>#DIV/0!</v>
      </c>
      <c r="K283" s="250" t="e">
        <f ca="1">('Cap Table'!$EB13+'Cap Table'!$EC13)*K$57+K$70*('Cap Table'!$DG13+'Cap Table'!$DH13)+K$83*('Cap Table'!$CL13+'Cap Table'!$CM13)+K$96*('Cap Table'!$BQ13+'Cap Table'!$BR13)+K$109*('Cap Table'!$AV13+'Cap Table'!$AW13)+('Cap Table'!$AA13+'Cap Table'!$AB13)*K$122+('Cap Table'!$I13+'Cap Table'!$J13)*K$133</f>
        <v>#DIV/0!</v>
      </c>
      <c r="L283" s="250" t="e">
        <f ca="1">('Cap Table'!$EB13+'Cap Table'!$EC13)*L$57+L$70*('Cap Table'!$DG13+'Cap Table'!$DH13)+L$83*('Cap Table'!$CL13+'Cap Table'!$CM13)+L$96*('Cap Table'!$BQ13+'Cap Table'!$BR13)+L$109*('Cap Table'!$AV13+'Cap Table'!$AW13)+('Cap Table'!$AA13+'Cap Table'!$AB13)*L$122+('Cap Table'!$I13+'Cap Table'!$J13)*L$133</f>
        <v>#DIV/0!</v>
      </c>
    </row>
    <row r="284" spans="2:13">
      <c r="B284" s="6" t="str">
        <f>'Cap Table'!B14</f>
        <v>na</v>
      </c>
      <c r="C284" s="217" t="str">
        <f>'Cap Table'!$D$60</f>
        <v>$</v>
      </c>
      <c r="D284" s="250" t="e">
        <f ca="1">('Cap Table'!$EB14+'Cap Table'!$EC14)*D$57+D$70*('Cap Table'!$DG14+'Cap Table'!$DH14)+D$83*('Cap Table'!$CL14+'Cap Table'!$CM14)+D$96*('Cap Table'!$BQ14+'Cap Table'!$BR14)+D$109*('Cap Table'!$AV14+'Cap Table'!$AW14)+('Cap Table'!$AA14+'Cap Table'!$AB14)*D$122+('Cap Table'!$I14+'Cap Table'!$J14)*D$133</f>
        <v>#DIV/0!</v>
      </c>
      <c r="E284" s="250" t="e">
        <f ca="1">('Cap Table'!$EB14+'Cap Table'!$EC14)*E$57+E$70*('Cap Table'!$DG14+'Cap Table'!$DH14)+E$83*('Cap Table'!$CL14+'Cap Table'!$CM14)+E$96*('Cap Table'!$BQ14+'Cap Table'!$BR14)+E$109*('Cap Table'!$AV14+'Cap Table'!$AW14)+('Cap Table'!$AA14+'Cap Table'!$AB14)*E$122+('Cap Table'!$I14+'Cap Table'!$J14)*E$133</f>
        <v>#DIV/0!</v>
      </c>
      <c r="F284" s="250" t="e">
        <f ca="1">('Cap Table'!$EB14+'Cap Table'!$EC14)*F$57+F$70*('Cap Table'!$DG14+'Cap Table'!$DH14)+F$83*('Cap Table'!$CL14+'Cap Table'!$CM14)+F$96*('Cap Table'!$BQ14+'Cap Table'!$BR14)+F$109*('Cap Table'!$AV14+'Cap Table'!$AW14)+('Cap Table'!$AA14+'Cap Table'!$AB14)*F$122+('Cap Table'!$I14+'Cap Table'!$J14)*F$133</f>
        <v>#DIV/0!</v>
      </c>
      <c r="G284" s="250" t="e">
        <f ca="1">('Cap Table'!$EB14+'Cap Table'!$EC14)*G$57+G$70*('Cap Table'!$DG14+'Cap Table'!$DH14)+G$83*('Cap Table'!$CL14+'Cap Table'!$CM14)+G$96*('Cap Table'!$BQ14+'Cap Table'!$BR14)+G$109*('Cap Table'!$AV14+'Cap Table'!$AW14)+('Cap Table'!$AA14+'Cap Table'!$AB14)*G$122+('Cap Table'!$I14+'Cap Table'!$J14)*G$133</f>
        <v>#DIV/0!</v>
      </c>
      <c r="H284" s="250" t="e">
        <f ca="1">('Cap Table'!$EB14+'Cap Table'!$EC14)*H$57+H$70*('Cap Table'!$DG14+'Cap Table'!$DH14)+H$83*('Cap Table'!$CL14+'Cap Table'!$CM14)+H$96*('Cap Table'!$BQ14+'Cap Table'!$BR14)+H$109*('Cap Table'!$AV14+'Cap Table'!$AW14)+('Cap Table'!$AA14+'Cap Table'!$AB14)*H$122+('Cap Table'!$I14+'Cap Table'!$J14)*H$133</f>
        <v>#DIV/0!</v>
      </c>
      <c r="I284" s="250" t="e">
        <f ca="1">('Cap Table'!$EB14+'Cap Table'!$EC14)*I$57+I$70*('Cap Table'!$DG14+'Cap Table'!$DH14)+I$83*('Cap Table'!$CL14+'Cap Table'!$CM14)+I$96*('Cap Table'!$BQ14+'Cap Table'!$BR14)+I$109*('Cap Table'!$AV14+'Cap Table'!$AW14)+('Cap Table'!$AA14+'Cap Table'!$AB14)*I$122+('Cap Table'!$I14+'Cap Table'!$J14)*I$133</f>
        <v>#DIV/0!</v>
      </c>
      <c r="J284" s="250" t="e">
        <f ca="1">('Cap Table'!$EB14+'Cap Table'!$EC14)*J$57+J$70*('Cap Table'!$DG14+'Cap Table'!$DH14)+J$83*('Cap Table'!$CL14+'Cap Table'!$CM14)+J$96*('Cap Table'!$BQ14+'Cap Table'!$BR14)+J$109*('Cap Table'!$AV14+'Cap Table'!$AW14)+('Cap Table'!$AA14+'Cap Table'!$AB14)*J$122+('Cap Table'!$I14+'Cap Table'!$J14)*J$133</f>
        <v>#DIV/0!</v>
      </c>
      <c r="K284" s="250" t="e">
        <f ca="1">('Cap Table'!$EB14+'Cap Table'!$EC14)*K$57+K$70*('Cap Table'!$DG14+'Cap Table'!$DH14)+K$83*('Cap Table'!$CL14+'Cap Table'!$CM14)+K$96*('Cap Table'!$BQ14+'Cap Table'!$BR14)+K$109*('Cap Table'!$AV14+'Cap Table'!$AW14)+('Cap Table'!$AA14+'Cap Table'!$AB14)*K$122+('Cap Table'!$I14+'Cap Table'!$J14)*K$133</f>
        <v>#DIV/0!</v>
      </c>
      <c r="L284" s="250" t="e">
        <f ca="1">('Cap Table'!$EB14+'Cap Table'!$EC14)*L$57+L$70*('Cap Table'!$DG14+'Cap Table'!$DH14)+L$83*('Cap Table'!$CL14+'Cap Table'!$CM14)+L$96*('Cap Table'!$BQ14+'Cap Table'!$BR14)+L$109*('Cap Table'!$AV14+'Cap Table'!$AW14)+('Cap Table'!$AA14+'Cap Table'!$AB14)*L$122+('Cap Table'!$I14+'Cap Table'!$J14)*L$133</f>
        <v>#DIV/0!</v>
      </c>
    </row>
    <row r="285" spans="2:13">
      <c r="B285" s="6" t="str">
        <f>'Cap Table'!B15</f>
        <v>na</v>
      </c>
      <c r="C285" s="217" t="str">
        <f>'Cap Table'!$D$60</f>
        <v>$</v>
      </c>
      <c r="D285" s="250" t="e">
        <f ca="1">('Cap Table'!$EB15+'Cap Table'!$EC15)*D$57+D$70*('Cap Table'!$DG15+'Cap Table'!$DH15)+D$83*('Cap Table'!$CL15+'Cap Table'!$CM15)+D$96*('Cap Table'!$BQ15+'Cap Table'!$BR15)+D$109*('Cap Table'!$AV15+'Cap Table'!$AW15)+('Cap Table'!$AA15+'Cap Table'!$AB15)*D$122+('Cap Table'!$I15+'Cap Table'!$J15)*D$133</f>
        <v>#DIV/0!</v>
      </c>
      <c r="E285" s="250" t="e">
        <f ca="1">('Cap Table'!$EB15+'Cap Table'!$EC15)*E$57+E$70*('Cap Table'!$DG15+'Cap Table'!$DH15)+E$83*('Cap Table'!$CL15+'Cap Table'!$CM15)+E$96*('Cap Table'!$BQ15+'Cap Table'!$BR15)+E$109*('Cap Table'!$AV15+'Cap Table'!$AW15)+('Cap Table'!$AA15+'Cap Table'!$AB15)*E$122+('Cap Table'!$I15+'Cap Table'!$J15)*E$133</f>
        <v>#DIV/0!</v>
      </c>
      <c r="F285" s="250" t="e">
        <f ca="1">('Cap Table'!$EB15+'Cap Table'!$EC15)*F$57+F$70*('Cap Table'!$DG15+'Cap Table'!$DH15)+F$83*('Cap Table'!$CL15+'Cap Table'!$CM15)+F$96*('Cap Table'!$BQ15+'Cap Table'!$BR15)+F$109*('Cap Table'!$AV15+'Cap Table'!$AW15)+('Cap Table'!$AA15+'Cap Table'!$AB15)*F$122+('Cap Table'!$I15+'Cap Table'!$J15)*F$133</f>
        <v>#DIV/0!</v>
      </c>
      <c r="G285" s="250" t="e">
        <f ca="1">('Cap Table'!$EB15+'Cap Table'!$EC15)*G$57+G$70*('Cap Table'!$DG15+'Cap Table'!$DH15)+G$83*('Cap Table'!$CL15+'Cap Table'!$CM15)+G$96*('Cap Table'!$BQ15+'Cap Table'!$BR15)+G$109*('Cap Table'!$AV15+'Cap Table'!$AW15)+('Cap Table'!$AA15+'Cap Table'!$AB15)*G$122+('Cap Table'!$I15+'Cap Table'!$J15)*G$133</f>
        <v>#DIV/0!</v>
      </c>
      <c r="H285" s="250" t="e">
        <f ca="1">('Cap Table'!$EB15+'Cap Table'!$EC15)*H$57+H$70*('Cap Table'!$DG15+'Cap Table'!$DH15)+H$83*('Cap Table'!$CL15+'Cap Table'!$CM15)+H$96*('Cap Table'!$BQ15+'Cap Table'!$BR15)+H$109*('Cap Table'!$AV15+'Cap Table'!$AW15)+('Cap Table'!$AA15+'Cap Table'!$AB15)*H$122+('Cap Table'!$I15+'Cap Table'!$J15)*H$133</f>
        <v>#DIV/0!</v>
      </c>
      <c r="I285" s="250" t="e">
        <f ca="1">('Cap Table'!$EB15+'Cap Table'!$EC15)*I$57+I$70*('Cap Table'!$DG15+'Cap Table'!$DH15)+I$83*('Cap Table'!$CL15+'Cap Table'!$CM15)+I$96*('Cap Table'!$BQ15+'Cap Table'!$BR15)+I$109*('Cap Table'!$AV15+'Cap Table'!$AW15)+('Cap Table'!$AA15+'Cap Table'!$AB15)*I$122+('Cap Table'!$I15+'Cap Table'!$J15)*I$133</f>
        <v>#DIV/0!</v>
      </c>
      <c r="J285" s="250" t="e">
        <f ca="1">('Cap Table'!$EB15+'Cap Table'!$EC15)*J$57+J$70*('Cap Table'!$DG15+'Cap Table'!$DH15)+J$83*('Cap Table'!$CL15+'Cap Table'!$CM15)+J$96*('Cap Table'!$BQ15+'Cap Table'!$BR15)+J$109*('Cap Table'!$AV15+'Cap Table'!$AW15)+('Cap Table'!$AA15+'Cap Table'!$AB15)*J$122+('Cap Table'!$I15+'Cap Table'!$J15)*J$133</f>
        <v>#DIV/0!</v>
      </c>
      <c r="K285" s="250" t="e">
        <f ca="1">('Cap Table'!$EB15+'Cap Table'!$EC15)*K$57+K$70*('Cap Table'!$DG15+'Cap Table'!$DH15)+K$83*('Cap Table'!$CL15+'Cap Table'!$CM15)+K$96*('Cap Table'!$BQ15+'Cap Table'!$BR15)+K$109*('Cap Table'!$AV15+'Cap Table'!$AW15)+('Cap Table'!$AA15+'Cap Table'!$AB15)*K$122+('Cap Table'!$I15+'Cap Table'!$J15)*K$133</f>
        <v>#DIV/0!</v>
      </c>
      <c r="L285" s="250" t="e">
        <f ca="1">('Cap Table'!$EB15+'Cap Table'!$EC15)*L$57+L$70*('Cap Table'!$DG15+'Cap Table'!$DH15)+L$83*('Cap Table'!$CL15+'Cap Table'!$CM15)+L$96*('Cap Table'!$BQ15+'Cap Table'!$BR15)+L$109*('Cap Table'!$AV15+'Cap Table'!$AW15)+('Cap Table'!$AA15+'Cap Table'!$AB15)*L$122+('Cap Table'!$I15+'Cap Table'!$J15)*L$133</f>
        <v>#DIV/0!</v>
      </c>
    </row>
    <row r="286" spans="2:13">
      <c r="B286" s="6" t="str">
        <f>'Cap Table'!B16</f>
        <v>na</v>
      </c>
      <c r="C286" s="217" t="str">
        <f>'Cap Table'!$D$60</f>
        <v>$</v>
      </c>
      <c r="D286" s="250" t="e">
        <f ca="1">('Cap Table'!$EB16+'Cap Table'!$EC16)*D$57+D$70*('Cap Table'!$DG16+'Cap Table'!$DH16)+D$83*('Cap Table'!$CL16+'Cap Table'!$CM16)+D$96*('Cap Table'!$BQ16+'Cap Table'!$BR16)+D$109*('Cap Table'!$AV16+'Cap Table'!$AW16)+('Cap Table'!$AA16+'Cap Table'!$AB16)*D$122+('Cap Table'!$I16+'Cap Table'!$J16)*D$133</f>
        <v>#DIV/0!</v>
      </c>
      <c r="E286" s="250" t="e">
        <f ca="1">('Cap Table'!$EB16+'Cap Table'!$EC16)*E$57+E$70*('Cap Table'!$DG16+'Cap Table'!$DH16)+E$83*('Cap Table'!$CL16+'Cap Table'!$CM16)+E$96*('Cap Table'!$BQ16+'Cap Table'!$BR16)+E$109*('Cap Table'!$AV16+'Cap Table'!$AW16)+('Cap Table'!$AA16+'Cap Table'!$AB16)*E$122+('Cap Table'!$I16+'Cap Table'!$J16)*E$133</f>
        <v>#DIV/0!</v>
      </c>
      <c r="F286" s="250" t="e">
        <f ca="1">('Cap Table'!$EB16+'Cap Table'!$EC16)*F$57+F$70*('Cap Table'!$DG16+'Cap Table'!$DH16)+F$83*('Cap Table'!$CL16+'Cap Table'!$CM16)+F$96*('Cap Table'!$BQ16+'Cap Table'!$BR16)+F$109*('Cap Table'!$AV16+'Cap Table'!$AW16)+('Cap Table'!$AA16+'Cap Table'!$AB16)*F$122+('Cap Table'!$I16+'Cap Table'!$J16)*F$133</f>
        <v>#DIV/0!</v>
      </c>
      <c r="G286" s="250" t="e">
        <f ca="1">('Cap Table'!$EB16+'Cap Table'!$EC16)*G$57+G$70*('Cap Table'!$DG16+'Cap Table'!$DH16)+G$83*('Cap Table'!$CL16+'Cap Table'!$CM16)+G$96*('Cap Table'!$BQ16+'Cap Table'!$BR16)+G$109*('Cap Table'!$AV16+'Cap Table'!$AW16)+('Cap Table'!$AA16+'Cap Table'!$AB16)*G$122+('Cap Table'!$I16+'Cap Table'!$J16)*G$133</f>
        <v>#DIV/0!</v>
      </c>
      <c r="H286" s="250" t="e">
        <f ca="1">('Cap Table'!$EB16+'Cap Table'!$EC16)*H$57+H$70*('Cap Table'!$DG16+'Cap Table'!$DH16)+H$83*('Cap Table'!$CL16+'Cap Table'!$CM16)+H$96*('Cap Table'!$BQ16+'Cap Table'!$BR16)+H$109*('Cap Table'!$AV16+'Cap Table'!$AW16)+('Cap Table'!$AA16+'Cap Table'!$AB16)*H$122+('Cap Table'!$I16+'Cap Table'!$J16)*H$133</f>
        <v>#DIV/0!</v>
      </c>
      <c r="I286" s="250" t="e">
        <f ca="1">('Cap Table'!$EB16+'Cap Table'!$EC16)*I$57+I$70*('Cap Table'!$DG16+'Cap Table'!$DH16)+I$83*('Cap Table'!$CL16+'Cap Table'!$CM16)+I$96*('Cap Table'!$BQ16+'Cap Table'!$BR16)+I$109*('Cap Table'!$AV16+'Cap Table'!$AW16)+('Cap Table'!$AA16+'Cap Table'!$AB16)*I$122+('Cap Table'!$I16+'Cap Table'!$J16)*I$133</f>
        <v>#DIV/0!</v>
      </c>
      <c r="J286" s="250" t="e">
        <f ca="1">('Cap Table'!$EB16+'Cap Table'!$EC16)*J$57+J$70*('Cap Table'!$DG16+'Cap Table'!$DH16)+J$83*('Cap Table'!$CL16+'Cap Table'!$CM16)+J$96*('Cap Table'!$BQ16+'Cap Table'!$BR16)+J$109*('Cap Table'!$AV16+'Cap Table'!$AW16)+('Cap Table'!$AA16+'Cap Table'!$AB16)*J$122+('Cap Table'!$I16+'Cap Table'!$J16)*J$133</f>
        <v>#DIV/0!</v>
      </c>
      <c r="K286" s="250" t="e">
        <f ca="1">('Cap Table'!$EB16+'Cap Table'!$EC16)*K$57+K$70*('Cap Table'!$DG16+'Cap Table'!$DH16)+K$83*('Cap Table'!$CL16+'Cap Table'!$CM16)+K$96*('Cap Table'!$BQ16+'Cap Table'!$BR16)+K$109*('Cap Table'!$AV16+'Cap Table'!$AW16)+('Cap Table'!$AA16+'Cap Table'!$AB16)*K$122+('Cap Table'!$I16+'Cap Table'!$J16)*K$133</f>
        <v>#DIV/0!</v>
      </c>
      <c r="L286" s="250" t="e">
        <f ca="1">('Cap Table'!$EB16+'Cap Table'!$EC16)*L$57+L$70*('Cap Table'!$DG16+'Cap Table'!$DH16)+L$83*('Cap Table'!$CL16+'Cap Table'!$CM16)+L$96*('Cap Table'!$BQ16+'Cap Table'!$BR16)+L$109*('Cap Table'!$AV16+'Cap Table'!$AW16)+('Cap Table'!$AA16+'Cap Table'!$AB16)*L$122+('Cap Table'!$I16+'Cap Table'!$J16)*L$133</f>
        <v>#DIV/0!</v>
      </c>
    </row>
    <row r="287" spans="2:13">
      <c r="B287" s="6" t="str">
        <f>'Cap Table'!B17</f>
        <v>na</v>
      </c>
      <c r="C287" s="217" t="str">
        <f>'Cap Table'!$D$60</f>
        <v>$</v>
      </c>
      <c r="D287" s="250" t="e">
        <f ca="1">('Cap Table'!$EB17+'Cap Table'!$EC17)*D$57+D$70*('Cap Table'!$DG17+'Cap Table'!$DH17)+D$83*('Cap Table'!$CL17+'Cap Table'!$CM17)+D$96*('Cap Table'!$BQ17+'Cap Table'!$BR17)+D$109*('Cap Table'!$AV17+'Cap Table'!$AW17)+('Cap Table'!$AA17+'Cap Table'!$AB17)*D$122+('Cap Table'!$I17+'Cap Table'!$J17)*D$133</f>
        <v>#DIV/0!</v>
      </c>
      <c r="E287" s="250" t="e">
        <f ca="1">('Cap Table'!$EB17+'Cap Table'!$EC17)*E$57+E$70*('Cap Table'!$DG17+'Cap Table'!$DH17)+E$83*('Cap Table'!$CL17+'Cap Table'!$CM17)+E$96*('Cap Table'!$BQ17+'Cap Table'!$BR17)+E$109*('Cap Table'!$AV17+'Cap Table'!$AW17)+('Cap Table'!$AA17+'Cap Table'!$AB17)*E$122+('Cap Table'!$I17+'Cap Table'!$J17)*E$133</f>
        <v>#DIV/0!</v>
      </c>
      <c r="F287" s="250" t="e">
        <f ca="1">('Cap Table'!$EB17+'Cap Table'!$EC17)*F$57+F$70*('Cap Table'!$DG17+'Cap Table'!$DH17)+F$83*('Cap Table'!$CL17+'Cap Table'!$CM17)+F$96*('Cap Table'!$BQ17+'Cap Table'!$BR17)+F$109*('Cap Table'!$AV17+'Cap Table'!$AW17)+('Cap Table'!$AA17+'Cap Table'!$AB17)*F$122+('Cap Table'!$I17+'Cap Table'!$J17)*F$133</f>
        <v>#DIV/0!</v>
      </c>
      <c r="G287" s="250" t="e">
        <f ca="1">('Cap Table'!$EB17+'Cap Table'!$EC17)*G$57+G$70*('Cap Table'!$DG17+'Cap Table'!$DH17)+G$83*('Cap Table'!$CL17+'Cap Table'!$CM17)+G$96*('Cap Table'!$BQ17+'Cap Table'!$BR17)+G$109*('Cap Table'!$AV17+'Cap Table'!$AW17)+('Cap Table'!$AA17+'Cap Table'!$AB17)*G$122+('Cap Table'!$I17+'Cap Table'!$J17)*G$133</f>
        <v>#DIV/0!</v>
      </c>
      <c r="H287" s="250" t="e">
        <f ca="1">('Cap Table'!$EB17+'Cap Table'!$EC17)*H$57+H$70*('Cap Table'!$DG17+'Cap Table'!$DH17)+H$83*('Cap Table'!$CL17+'Cap Table'!$CM17)+H$96*('Cap Table'!$BQ17+'Cap Table'!$BR17)+H$109*('Cap Table'!$AV17+'Cap Table'!$AW17)+('Cap Table'!$AA17+'Cap Table'!$AB17)*H$122+('Cap Table'!$I17+'Cap Table'!$J17)*H$133</f>
        <v>#DIV/0!</v>
      </c>
      <c r="I287" s="250" t="e">
        <f ca="1">('Cap Table'!$EB17+'Cap Table'!$EC17)*I$57+I$70*('Cap Table'!$DG17+'Cap Table'!$DH17)+I$83*('Cap Table'!$CL17+'Cap Table'!$CM17)+I$96*('Cap Table'!$BQ17+'Cap Table'!$BR17)+I$109*('Cap Table'!$AV17+'Cap Table'!$AW17)+('Cap Table'!$AA17+'Cap Table'!$AB17)*I$122+('Cap Table'!$I17+'Cap Table'!$J17)*I$133</f>
        <v>#DIV/0!</v>
      </c>
      <c r="J287" s="250" t="e">
        <f ca="1">('Cap Table'!$EB17+'Cap Table'!$EC17)*J$57+J$70*('Cap Table'!$DG17+'Cap Table'!$DH17)+J$83*('Cap Table'!$CL17+'Cap Table'!$CM17)+J$96*('Cap Table'!$BQ17+'Cap Table'!$BR17)+J$109*('Cap Table'!$AV17+'Cap Table'!$AW17)+('Cap Table'!$AA17+'Cap Table'!$AB17)*J$122+('Cap Table'!$I17+'Cap Table'!$J17)*J$133</f>
        <v>#DIV/0!</v>
      </c>
      <c r="K287" s="250" t="e">
        <f ca="1">('Cap Table'!$EB17+'Cap Table'!$EC17)*K$57+K$70*('Cap Table'!$DG17+'Cap Table'!$DH17)+K$83*('Cap Table'!$CL17+'Cap Table'!$CM17)+K$96*('Cap Table'!$BQ17+'Cap Table'!$BR17)+K$109*('Cap Table'!$AV17+'Cap Table'!$AW17)+('Cap Table'!$AA17+'Cap Table'!$AB17)*K$122+('Cap Table'!$I17+'Cap Table'!$J17)*K$133</f>
        <v>#DIV/0!</v>
      </c>
      <c r="L287" s="250" t="e">
        <f ca="1">('Cap Table'!$EB17+'Cap Table'!$EC17)*L$57+L$70*('Cap Table'!$DG17+'Cap Table'!$DH17)+L$83*('Cap Table'!$CL17+'Cap Table'!$CM17)+L$96*('Cap Table'!$BQ17+'Cap Table'!$BR17)+L$109*('Cap Table'!$AV17+'Cap Table'!$AW17)+('Cap Table'!$AA17+'Cap Table'!$AB17)*L$122+('Cap Table'!$I17+'Cap Table'!$J17)*L$133</f>
        <v>#DIV/0!</v>
      </c>
    </row>
    <row r="288" spans="2:13">
      <c r="B288" s="6" t="str">
        <f>'Cap Table'!B18</f>
        <v>na</v>
      </c>
      <c r="C288" s="217" t="str">
        <f>'Cap Table'!$D$60</f>
        <v>$</v>
      </c>
      <c r="D288" s="250" t="e">
        <f ca="1">('Cap Table'!$EB18+'Cap Table'!$EC18)*D$57+D$70*('Cap Table'!$DG18+'Cap Table'!$DH18)+D$83*('Cap Table'!$CL18+'Cap Table'!$CM18)+D$96*('Cap Table'!$BQ18+'Cap Table'!$BR18)+D$109*('Cap Table'!$AV18+'Cap Table'!$AW18)+('Cap Table'!$AA18+'Cap Table'!$AB18)*D$122+('Cap Table'!$I18+'Cap Table'!$J18)*D$133</f>
        <v>#DIV/0!</v>
      </c>
      <c r="E288" s="250" t="e">
        <f ca="1">('Cap Table'!$EB18+'Cap Table'!$EC18)*E$57+E$70*('Cap Table'!$DG18+'Cap Table'!$DH18)+E$83*('Cap Table'!$CL18+'Cap Table'!$CM18)+E$96*('Cap Table'!$BQ18+'Cap Table'!$BR18)+E$109*('Cap Table'!$AV18+'Cap Table'!$AW18)+('Cap Table'!$AA18+'Cap Table'!$AB18)*E$122+('Cap Table'!$I18+'Cap Table'!$J18)*E$133</f>
        <v>#DIV/0!</v>
      </c>
      <c r="F288" s="250" t="e">
        <f ca="1">('Cap Table'!$EB18+'Cap Table'!$EC18)*F$57+F$70*('Cap Table'!$DG18+'Cap Table'!$DH18)+F$83*('Cap Table'!$CL18+'Cap Table'!$CM18)+F$96*('Cap Table'!$BQ18+'Cap Table'!$BR18)+F$109*('Cap Table'!$AV18+'Cap Table'!$AW18)+('Cap Table'!$AA18+'Cap Table'!$AB18)*F$122+('Cap Table'!$I18+'Cap Table'!$J18)*F$133</f>
        <v>#DIV/0!</v>
      </c>
      <c r="G288" s="250" t="e">
        <f ca="1">('Cap Table'!$EB18+'Cap Table'!$EC18)*G$57+G$70*('Cap Table'!$DG18+'Cap Table'!$DH18)+G$83*('Cap Table'!$CL18+'Cap Table'!$CM18)+G$96*('Cap Table'!$BQ18+'Cap Table'!$BR18)+G$109*('Cap Table'!$AV18+'Cap Table'!$AW18)+('Cap Table'!$AA18+'Cap Table'!$AB18)*G$122+('Cap Table'!$I18+'Cap Table'!$J18)*G$133</f>
        <v>#DIV/0!</v>
      </c>
      <c r="H288" s="250" t="e">
        <f ca="1">('Cap Table'!$EB18+'Cap Table'!$EC18)*H$57+H$70*('Cap Table'!$DG18+'Cap Table'!$DH18)+H$83*('Cap Table'!$CL18+'Cap Table'!$CM18)+H$96*('Cap Table'!$BQ18+'Cap Table'!$BR18)+H$109*('Cap Table'!$AV18+'Cap Table'!$AW18)+('Cap Table'!$AA18+'Cap Table'!$AB18)*H$122+('Cap Table'!$I18+'Cap Table'!$J18)*H$133</f>
        <v>#DIV/0!</v>
      </c>
      <c r="I288" s="250" t="e">
        <f ca="1">('Cap Table'!$EB18+'Cap Table'!$EC18)*I$57+I$70*('Cap Table'!$DG18+'Cap Table'!$DH18)+I$83*('Cap Table'!$CL18+'Cap Table'!$CM18)+I$96*('Cap Table'!$BQ18+'Cap Table'!$BR18)+I$109*('Cap Table'!$AV18+'Cap Table'!$AW18)+('Cap Table'!$AA18+'Cap Table'!$AB18)*I$122+('Cap Table'!$I18+'Cap Table'!$J18)*I$133</f>
        <v>#DIV/0!</v>
      </c>
      <c r="J288" s="250" t="e">
        <f ca="1">('Cap Table'!$EB18+'Cap Table'!$EC18)*J$57+J$70*('Cap Table'!$DG18+'Cap Table'!$DH18)+J$83*('Cap Table'!$CL18+'Cap Table'!$CM18)+J$96*('Cap Table'!$BQ18+'Cap Table'!$BR18)+J$109*('Cap Table'!$AV18+'Cap Table'!$AW18)+('Cap Table'!$AA18+'Cap Table'!$AB18)*J$122+('Cap Table'!$I18+'Cap Table'!$J18)*J$133</f>
        <v>#DIV/0!</v>
      </c>
      <c r="K288" s="250" t="e">
        <f ca="1">('Cap Table'!$EB18+'Cap Table'!$EC18)*K$57+K$70*('Cap Table'!$DG18+'Cap Table'!$DH18)+K$83*('Cap Table'!$CL18+'Cap Table'!$CM18)+K$96*('Cap Table'!$BQ18+'Cap Table'!$BR18)+K$109*('Cap Table'!$AV18+'Cap Table'!$AW18)+('Cap Table'!$AA18+'Cap Table'!$AB18)*K$122+('Cap Table'!$I18+'Cap Table'!$J18)*K$133</f>
        <v>#DIV/0!</v>
      </c>
      <c r="L288" s="250" t="e">
        <f ca="1">('Cap Table'!$EB18+'Cap Table'!$EC18)*L$57+L$70*('Cap Table'!$DG18+'Cap Table'!$DH18)+L$83*('Cap Table'!$CL18+'Cap Table'!$CM18)+L$96*('Cap Table'!$BQ18+'Cap Table'!$BR18)+L$109*('Cap Table'!$AV18+'Cap Table'!$AW18)+('Cap Table'!$AA18+'Cap Table'!$AB18)*L$122+('Cap Table'!$I18+'Cap Table'!$J18)*L$133</f>
        <v>#DIV/0!</v>
      </c>
    </row>
    <row r="289" spans="2:12">
      <c r="B289" s="6" t="str">
        <f>'Cap Table'!B19</f>
        <v>na</v>
      </c>
      <c r="C289" s="217" t="str">
        <f>'Cap Table'!$D$60</f>
        <v>$</v>
      </c>
      <c r="D289" s="250" t="e">
        <f ca="1">('Cap Table'!$EB19+'Cap Table'!$EC19)*D$57+D$70*('Cap Table'!$DG19+'Cap Table'!$DH19)+D$83*('Cap Table'!$CL19+'Cap Table'!$CM19)+D$96*('Cap Table'!$BQ19+'Cap Table'!$BR19)+D$109*('Cap Table'!$AV19+'Cap Table'!$AW19)+('Cap Table'!$AA19+'Cap Table'!$AB19)*D$122+('Cap Table'!$I19+'Cap Table'!$J19)*D$133</f>
        <v>#DIV/0!</v>
      </c>
      <c r="E289" s="250" t="e">
        <f ca="1">('Cap Table'!$EB19+'Cap Table'!$EC19)*E$57+E$70*('Cap Table'!$DG19+'Cap Table'!$DH19)+E$83*('Cap Table'!$CL19+'Cap Table'!$CM19)+E$96*('Cap Table'!$BQ19+'Cap Table'!$BR19)+E$109*('Cap Table'!$AV19+'Cap Table'!$AW19)+('Cap Table'!$AA19+'Cap Table'!$AB19)*E$122+('Cap Table'!$I19+'Cap Table'!$J19)*E$133</f>
        <v>#DIV/0!</v>
      </c>
      <c r="F289" s="250" t="e">
        <f ca="1">('Cap Table'!$EB19+'Cap Table'!$EC19)*F$57+F$70*('Cap Table'!$DG19+'Cap Table'!$DH19)+F$83*('Cap Table'!$CL19+'Cap Table'!$CM19)+F$96*('Cap Table'!$BQ19+'Cap Table'!$BR19)+F$109*('Cap Table'!$AV19+'Cap Table'!$AW19)+('Cap Table'!$AA19+'Cap Table'!$AB19)*F$122+('Cap Table'!$I19+'Cap Table'!$J19)*F$133</f>
        <v>#DIV/0!</v>
      </c>
      <c r="G289" s="250" t="e">
        <f ca="1">('Cap Table'!$EB19+'Cap Table'!$EC19)*G$57+G$70*('Cap Table'!$DG19+'Cap Table'!$DH19)+G$83*('Cap Table'!$CL19+'Cap Table'!$CM19)+G$96*('Cap Table'!$BQ19+'Cap Table'!$BR19)+G$109*('Cap Table'!$AV19+'Cap Table'!$AW19)+('Cap Table'!$AA19+'Cap Table'!$AB19)*G$122+('Cap Table'!$I19+'Cap Table'!$J19)*G$133</f>
        <v>#DIV/0!</v>
      </c>
      <c r="H289" s="250" t="e">
        <f ca="1">('Cap Table'!$EB19+'Cap Table'!$EC19)*H$57+H$70*('Cap Table'!$DG19+'Cap Table'!$DH19)+H$83*('Cap Table'!$CL19+'Cap Table'!$CM19)+H$96*('Cap Table'!$BQ19+'Cap Table'!$BR19)+H$109*('Cap Table'!$AV19+'Cap Table'!$AW19)+('Cap Table'!$AA19+'Cap Table'!$AB19)*H$122+('Cap Table'!$I19+'Cap Table'!$J19)*H$133</f>
        <v>#DIV/0!</v>
      </c>
      <c r="I289" s="250" t="e">
        <f ca="1">('Cap Table'!$EB19+'Cap Table'!$EC19)*I$57+I$70*('Cap Table'!$DG19+'Cap Table'!$DH19)+I$83*('Cap Table'!$CL19+'Cap Table'!$CM19)+I$96*('Cap Table'!$BQ19+'Cap Table'!$BR19)+I$109*('Cap Table'!$AV19+'Cap Table'!$AW19)+('Cap Table'!$AA19+'Cap Table'!$AB19)*I$122+('Cap Table'!$I19+'Cap Table'!$J19)*I$133</f>
        <v>#DIV/0!</v>
      </c>
      <c r="J289" s="250" t="e">
        <f ca="1">('Cap Table'!$EB19+'Cap Table'!$EC19)*J$57+J$70*('Cap Table'!$DG19+'Cap Table'!$DH19)+J$83*('Cap Table'!$CL19+'Cap Table'!$CM19)+J$96*('Cap Table'!$BQ19+'Cap Table'!$BR19)+J$109*('Cap Table'!$AV19+'Cap Table'!$AW19)+('Cap Table'!$AA19+'Cap Table'!$AB19)*J$122+('Cap Table'!$I19+'Cap Table'!$J19)*J$133</f>
        <v>#DIV/0!</v>
      </c>
      <c r="K289" s="250" t="e">
        <f ca="1">('Cap Table'!$EB19+'Cap Table'!$EC19)*K$57+K$70*('Cap Table'!$DG19+'Cap Table'!$DH19)+K$83*('Cap Table'!$CL19+'Cap Table'!$CM19)+K$96*('Cap Table'!$BQ19+'Cap Table'!$BR19)+K$109*('Cap Table'!$AV19+'Cap Table'!$AW19)+('Cap Table'!$AA19+'Cap Table'!$AB19)*K$122+('Cap Table'!$I19+'Cap Table'!$J19)*K$133</f>
        <v>#DIV/0!</v>
      </c>
      <c r="L289" s="250" t="e">
        <f ca="1">('Cap Table'!$EB19+'Cap Table'!$EC19)*L$57+L$70*('Cap Table'!$DG19+'Cap Table'!$DH19)+L$83*('Cap Table'!$CL19+'Cap Table'!$CM19)+L$96*('Cap Table'!$BQ19+'Cap Table'!$BR19)+L$109*('Cap Table'!$AV19+'Cap Table'!$AW19)+('Cap Table'!$AA19+'Cap Table'!$AB19)*L$122+('Cap Table'!$I19+'Cap Table'!$J19)*L$133</f>
        <v>#DIV/0!</v>
      </c>
    </row>
    <row r="290" spans="2:12">
      <c r="B290" s="6" t="str">
        <f>'Cap Table'!B20</f>
        <v>na</v>
      </c>
      <c r="C290" s="217" t="str">
        <f>'Cap Table'!$D$60</f>
        <v>$</v>
      </c>
      <c r="D290" s="250" t="e">
        <f ca="1">('Cap Table'!$EB20+'Cap Table'!$EC20)*D$57+D$70*('Cap Table'!$DG20+'Cap Table'!$DH20)+D$83*('Cap Table'!$CL20+'Cap Table'!$CM20)+D$96*('Cap Table'!$BQ20+'Cap Table'!$BR20)+D$109*('Cap Table'!$AV20+'Cap Table'!$AW20)+('Cap Table'!$AA20+'Cap Table'!$AB20)*D$122+('Cap Table'!$I20+'Cap Table'!$J20)*D$133</f>
        <v>#DIV/0!</v>
      </c>
      <c r="E290" s="250" t="e">
        <f ca="1">('Cap Table'!$EB20+'Cap Table'!$EC20)*E$57+E$70*('Cap Table'!$DG20+'Cap Table'!$DH20)+E$83*('Cap Table'!$CL20+'Cap Table'!$CM20)+E$96*('Cap Table'!$BQ20+'Cap Table'!$BR20)+E$109*('Cap Table'!$AV20+'Cap Table'!$AW20)+('Cap Table'!$AA20+'Cap Table'!$AB20)*E$122+('Cap Table'!$I20+'Cap Table'!$J20)*E$133</f>
        <v>#DIV/0!</v>
      </c>
      <c r="F290" s="250" t="e">
        <f ca="1">('Cap Table'!$EB20+'Cap Table'!$EC20)*F$57+F$70*('Cap Table'!$DG20+'Cap Table'!$DH20)+F$83*('Cap Table'!$CL20+'Cap Table'!$CM20)+F$96*('Cap Table'!$BQ20+'Cap Table'!$BR20)+F$109*('Cap Table'!$AV20+'Cap Table'!$AW20)+('Cap Table'!$AA20+'Cap Table'!$AB20)*F$122+('Cap Table'!$I20+'Cap Table'!$J20)*F$133</f>
        <v>#DIV/0!</v>
      </c>
      <c r="G290" s="250" t="e">
        <f ca="1">('Cap Table'!$EB20+'Cap Table'!$EC20)*G$57+G$70*('Cap Table'!$DG20+'Cap Table'!$DH20)+G$83*('Cap Table'!$CL20+'Cap Table'!$CM20)+G$96*('Cap Table'!$BQ20+'Cap Table'!$BR20)+G$109*('Cap Table'!$AV20+'Cap Table'!$AW20)+('Cap Table'!$AA20+'Cap Table'!$AB20)*G$122+('Cap Table'!$I20+'Cap Table'!$J20)*G$133</f>
        <v>#DIV/0!</v>
      </c>
      <c r="H290" s="250" t="e">
        <f ca="1">('Cap Table'!$EB20+'Cap Table'!$EC20)*H$57+H$70*('Cap Table'!$DG20+'Cap Table'!$DH20)+H$83*('Cap Table'!$CL20+'Cap Table'!$CM20)+H$96*('Cap Table'!$BQ20+'Cap Table'!$BR20)+H$109*('Cap Table'!$AV20+'Cap Table'!$AW20)+('Cap Table'!$AA20+'Cap Table'!$AB20)*H$122+('Cap Table'!$I20+'Cap Table'!$J20)*H$133</f>
        <v>#DIV/0!</v>
      </c>
      <c r="I290" s="250" t="e">
        <f ca="1">('Cap Table'!$EB20+'Cap Table'!$EC20)*I$57+I$70*('Cap Table'!$DG20+'Cap Table'!$DH20)+I$83*('Cap Table'!$CL20+'Cap Table'!$CM20)+I$96*('Cap Table'!$BQ20+'Cap Table'!$BR20)+I$109*('Cap Table'!$AV20+'Cap Table'!$AW20)+('Cap Table'!$AA20+'Cap Table'!$AB20)*I$122+('Cap Table'!$I20+'Cap Table'!$J20)*I$133</f>
        <v>#DIV/0!</v>
      </c>
      <c r="J290" s="250" t="e">
        <f ca="1">('Cap Table'!$EB20+'Cap Table'!$EC20)*J$57+J$70*('Cap Table'!$DG20+'Cap Table'!$DH20)+J$83*('Cap Table'!$CL20+'Cap Table'!$CM20)+J$96*('Cap Table'!$BQ20+'Cap Table'!$BR20)+J$109*('Cap Table'!$AV20+'Cap Table'!$AW20)+('Cap Table'!$AA20+'Cap Table'!$AB20)*J$122+('Cap Table'!$I20+'Cap Table'!$J20)*J$133</f>
        <v>#DIV/0!</v>
      </c>
      <c r="K290" s="250" t="e">
        <f ca="1">('Cap Table'!$EB20+'Cap Table'!$EC20)*K$57+K$70*('Cap Table'!$DG20+'Cap Table'!$DH20)+K$83*('Cap Table'!$CL20+'Cap Table'!$CM20)+K$96*('Cap Table'!$BQ20+'Cap Table'!$BR20)+K$109*('Cap Table'!$AV20+'Cap Table'!$AW20)+('Cap Table'!$AA20+'Cap Table'!$AB20)*K$122+('Cap Table'!$I20+'Cap Table'!$J20)*K$133</f>
        <v>#DIV/0!</v>
      </c>
      <c r="L290" s="250" t="e">
        <f ca="1">('Cap Table'!$EB20+'Cap Table'!$EC20)*L$57+L$70*('Cap Table'!$DG20+'Cap Table'!$DH20)+L$83*('Cap Table'!$CL20+'Cap Table'!$CM20)+L$96*('Cap Table'!$BQ20+'Cap Table'!$BR20)+L$109*('Cap Table'!$AV20+'Cap Table'!$AW20)+('Cap Table'!$AA20+'Cap Table'!$AB20)*L$122+('Cap Table'!$I20+'Cap Table'!$J20)*L$133</f>
        <v>#DIV/0!</v>
      </c>
    </row>
    <row r="291" spans="2:12">
      <c r="B291" s="6" t="str">
        <f>'Cap Table'!B21</f>
        <v>na</v>
      </c>
      <c r="C291" s="217" t="str">
        <f>'Cap Table'!$D$60</f>
        <v>$</v>
      </c>
      <c r="D291" s="250" t="e">
        <f ca="1">('Cap Table'!$EB21+'Cap Table'!$EC21)*D$57+D$70*('Cap Table'!$DG21+'Cap Table'!$DH21)+D$83*('Cap Table'!$CL21+'Cap Table'!$CM21)+D$96*('Cap Table'!$BQ21+'Cap Table'!$BR21)+D$109*('Cap Table'!$AV21+'Cap Table'!$AW21)+('Cap Table'!$AA21+'Cap Table'!$AB21)*D$122+('Cap Table'!$I21+'Cap Table'!$J21)*D$133</f>
        <v>#DIV/0!</v>
      </c>
      <c r="E291" s="250" t="e">
        <f ca="1">('Cap Table'!$EB21+'Cap Table'!$EC21)*E$57+E$70*('Cap Table'!$DG21+'Cap Table'!$DH21)+E$83*('Cap Table'!$CL21+'Cap Table'!$CM21)+E$96*('Cap Table'!$BQ21+'Cap Table'!$BR21)+E$109*('Cap Table'!$AV21+'Cap Table'!$AW21)+('Cap Table'!$AA21+'Cap Table'!$AB21)*E$122+('Cap Table'!$I21+'Cap Table'!$J21)*E$133</f>
        <v>#DIV/0!</v>
      </c>
      <c r="F291" s="250" t="e">
        <f ca="1">('Cap Table'!$EB21+'Cap Table'!$EC21)*F$57+F$70*('Cap Table'!$DG21+'Cap Table'!$DH21)+F$83*('Cap Table'!$CL21+'Cap Table'!$CM21)+F$96*('Cap Table'!$BQ21+'Cap Table'!$BR21)+F$109*('Cap Table'!$AV21+'Cap Table'!$AW21)+('Cap Table'!$AA21+'Cap Table'!$AB21)*F$122+('Cap Table'!$I21+'Cap Table'!$J21)*F$133</f>
        <v>#DIV/0!</v>
      </c>
      <c r="G291" s="250" t="e">
        <f ca="1">('Cap Table'!$EB21+'Cap Table'!$EC21)*G$57+G$70*('Cap Table'!$DG21+'Cap Table'!$DH21)+G$83*('Cap Table'!$CL21+'Cap Table'!$CM21)+G$96*('Cap Table'!$BQ21+'Cap Table'!$BR21)+G$109*('Cap Table'!$AV21+'Cap Table'!$AW21)+('Cap Table'!$AA21+'Cap Table'!$AB21)*G$122+('Cap Table'!$I21+'Cap Table'!$J21)*G$133</f>
        <v>#DIV/0!</v>
      </c>
      <c r="H291" s="250" t="e">
        <f ca="1">('Cap Table'!$EB21+'Cap Table'!$EC21)*H$57+H$70*('Cap Table'!$DG21+'Cap Table'!$DH21)+H$83*('Cap Table'!$CL21+'Cap Table'!$CM21)+H$96*('Cap Table'!$BQ21+'Cap Table'!$BR21)+H$109*('Cap Table'!$AV21+'Cap Table'!$AW21)+('Cap Table'!$AA21+'Cap Table'!$AB21)*H$122+('Cap Table'!$I21+'Cap Table'!$J21)*H$133</f>
        <v>#DIV/0!</v>
      </c>
      <c r="I291" s="250" t="e">
        <f ca="1">('Cap Table'!$EB21+'Cap Table'!$EC21)*I$57+I$70*('Cap Table'!$DG21+'Cap Table'!$DH21)+I$83*('Cap Table'!$CL21+'Cap Table'!$CM21)+I$96*('Cap Table'!$BQ21+'Cap Table'!$BR21)+I$109*('Cap Table'!$AV21+'Cap Table'!$AW21)+('Cap Table'!$AA21+'Cap Table'!$AB21)*I$122+('Cap Table'!$I21+'Cap Table'!$J21)*I$133</f>
        <v>#DIV/0!</v>
      </c>
      <c r="J291" s="250" t="e">
        <f ca="1">('Cap Table'!$EB21+'Cap Table'!$EC21)*J$57+J$70*('Cap Table'!$DG21+'Cap Table'!$DH21)+J$83*('Cap Table'!$CL21+'Cap Table'!$CM21)+J$96*('Cap Table'!$BQ21+'Cap Table'!$BR21)+J$109*('Cap Table'!$AV21+'Cap Table'!$AW21)+('Cap Table'!$AA21+'Cap Table'!$AB21)*J$122+('Cap Table'!$I21+'Cap Table'!$J21)*J$133</f>
        <v>#DIV/0!</v>
      </c>
      <c r="K291" s="250" t="e">
        <f ca="1">('Cap Table'!$EB21+'Cap Table'!$EC21)*K$57+K$70*('Cap Table'!$DG21+'Cap Table'!$DH21)+K$83*('Cap Table'!$CL21+'Cap Table'!$CM21)+K$96*('Cap Table'!$BQ21+'Cap Table'!$BR21)+K$109*('Cap Table'!$AV21+'Cap Table'!$AW21)+('Cap Table'!$AA21+'Cap Table'!$AB21)*K$122+('Cap Table'!$I21+'Cap Table'!$J21)*K$133</f>
        <v>#DIV/0!</v>
      </c>
      <c r="L291" s="250" t="e">
        <f ca="1">('Cap Table'!$EB21+'Cap Table'!$EC21)*L$57+L$70*('Cap Table'!$DG21+'Cap Table'!$DH21)+L$83*('Cap Table'!$CL21+'Cap Table'!$CM21)+L$96*('Cap Table'!$BQ21+'Cap Table'!$BR21)+L$109*('Cap Table'!$AV21+'Cap Table'!$AW21)+('Cap Table'!$AA21+'Cap Table'!$AB21)*L$122+('Cap Table'!$I21+'Cap Table'!$J21)*L$133</f>
        <v>#DIV/0!</v>
      </c>
    </row>
    <row r="292" spans="2:12">
      <c r="B292" s="6" t="str">
        <f>'Cap Table'!B22</f>
        <v>na</v>
      </c>
      <c r="C292" s="217" t="str">
        <f>'Cap Table'!$D$60</f>
        <v>$</v>
      </c>
      <c r="D292" s="250" t="e">
        <f ca="1">('Cap Table'!$EB22+'Cap Table'!$EC22)*D$57+D$70*('Cap Table'!$DG22+'Cap Table'!$DH22)+D$83*('Cap Table'!$CL22+'Cap Table'!$CM22)+D$96*('Cap Table'!$BQ22+'Cap Table'!$BR22)+D$109*('Cap Table'!$AV22+'Cap Table'!$AW22)+('Cap Table'!$AA22+'Cap Table'!$AB22)*D$122+('Cap Table'!$I22+'Cap Table'!$J22)*D$133</f>
        <v>#DIV/0!</v>
      </c>
      <c r="E292" s="250" t="e">
        <f ca="1">('Cap Table'!$EB22+'Cap Table'!$EC22)*E$57+E$70*('Cap Table'!$DG22+'Cap Table'!$DH22)+E$83*('Cap Table'!$CL22+'Cap Table'!$CM22)+E$96*('Cap Table'!$BQ22+'Cap Table'!$BR22)+E$109*('Cap Table'!$AV22+'Cap Table'!$AW22)+('Cap Table'!$AA22+'Cap Table'!$AB22)*E$122+('Cap Table'!$I22+'Cap Table'!$J22)*E$133</f>
        <v>#DIV/0!</v>
      </c>
      <c r="F292" s="250" t="e">
        <f ca="1">('Cap Table'!$EB22+'Cap Table'!$EC22)*F$57+F$70*('Cap Table'!$DG22+'Cap Table'!$DH22)+F$83*('Cap Table'!$CL22+'Cap Table'!$CM22)+F$96*('Cap Table'!$BQ22+'Cap Table'!$BR22)+F$109*('Cap Table'!$AV22+'Cap Table'!$AW22)+('Cap Table'!$AA22+'Cap Table'!$AB22)*F$122+('Cap Table'!$I22+'Cap Table'!$J22)*F$133</f>
        <v>#DIV/0!</v>
      </c>
      <c r="G292" s="250" t="e">
        <f ca="1">('Cap Table'!$EB22+'Cap Table'!$EC22)*G$57+G$70*('Cap Table'!$DG22+'Cap Table'!$DH22)+G$83*('Cap Table'!$CL22+'Cap Table'!$CM22)+G$96*('Cap Table'!$BQ22+'Cap Table'!$BR22)+G$109*('Cap Table'!$AV22+'Cap Table'!$AW22)+('Cap Table'!$AA22+'Cap Table'!$AB22)*G$122+('Cap Table'!$I22+'Cap Table'!$J22)*G$133</f>
        <v>#DIV/0!</v>
      </c>
      <c r="H292" s="250" t="e">
        <f ca="1">('Cap Table'!$EB22+'Cap Table'!$EC22)*H$57+H$70*('Cap Table'!$DG22+'Cap Table'!$DH22)+H$83*('Cap Table'!$CL22+'Cap Table'!$CM22)+H$96*('Cap Table'!$BQ22+'Cap Table'!$BR22)+H$109*('Cap Table'!$AV22+'Cap Table'!$AW22)+('Cap Table'!$AA22+'Cap Table'!$AB22)*H$122+('Cap Table'!$I22+'Cap Table'!$J22)*H$133</f>
        <v>#DIV/0!</v>
      </c>
      <c r="I292" s="250" t="e">
        <f ca="1">('Cap Table'!$EB22+'Cap Table'!$EC22)*I$57+I$70*('Cap Table'!$DG22+'Cap Table'!$DH22)+I$83*('Cap Table'!$CL22+'Cap Table'!$CM22)+I$96*('Cap Table'!$BQ22+'Cap Table'!$BR22)+I$109*('Cap Table'!$AV22+'Cap Table'!$AW22)+('Cap Table'!$AA22+'Cap Table'!$AB22)*I$122+('Cap Table'!$I22+'Cap Table'!$J22)*I$133</f>
        <v>#DIV/0!</v>
      </c>
      <c r="J292" s="250" t="e">
        <f ca="1">('Cap Table'!$EB22+'Cap Table'!$EC22)*J$57+J$70*('Cap Table'!$DG22+'Cap Table'!$DH22)+J$83*('Cap Table'!$CL22+'Cap Table'!$CM22)+J$96*('Cap Table'!$BQ22+'Cap Table'!$BR22)+J$109*('Cap Table'!$AV22+'Cap Table'!$AW22)+('Cap Table'!$AA22+'Cap Table'!$AB22)*J$122+('Cap Table'!$I22+'Cap Table'!$J22)*J$133</f>
        <v>#DIV/0!</v>
      </c>
      <c r="K292" s="250" t="e">
        <f ca="1">('Cap Table'!$EB22+'Cap Table'!$EC22)*K$57+K$70*('Cap Table'!$DG22+'Cap Table'!$DH22)+K$83*('Cap Table'!$CL22+'Cap Table'!$CM22)+K$96*('Cap Table'!$BQ22+'Cap Table'!$BR22)+K$109*('Cap Table'!$AV22+'Cap Table'!$AW22)+('Cap Table'!$AA22+'Cap Table'!$AB22)*K$122+('Cap Table'!$I22+'Cap Table'!$J22)*K$133</f>
        <v>#DIV/0!</v>
      </c>
      <c r="L292" s="250" t="e">
        <f ca="1">('Cap Table'!$EB22+'Cap Table'!$EC22)*L$57+L$70*('Cap Table'!$DG22+'Cap Table'!$DH22)+L$83*('Cap Table'!$CL22+'Cap Table'!$CM22)+L$96*('Cap Table'!$BQ22+'Cap Table'!$BR22)+L$109*('Cap Table'!$AV22+'Cap Table'!$AW22)+('Cap Table'!$AA22+'Cap Table'!$AB22)*L$122+('Cap Table'!$I22+'Cap Table'!$J22)*L$133</f>
        <v>#DIV/0!</v>
      </c>
    </row>
    <row r="293" spans="2:12">
      <c r="B293" s="6" t="str">
        <f>'Cap Table'!B23</f>
        <v>na</v>
      </c>
      <c r="C293" s="217" t="str">
        <f>'Cap Table'!$D$60</f>
        <v>$</v>
      </c>
      <c r="D293" s="250" t="e">
        <f ca="1">('Cap Table'!$EB23+'Cap Table'!$EC23)*D$57+D$70*('Cap Table'!$DG23+'Cap Table'!$DH23)+D$83*('Cap Table'!$CL23+'Cap Table'!$CM23)+D$96*('Cap Table'!$BQ23+'Cap Table'!$BR23)+D$109*('Cap Table'!$AV23+'Cap Table'!$AW23)+('Cap Table'!$AA23+'Cap Table'!$AB23)*D$122+('Cap Table'!$I23+'Cap Table'!$J23)*D$133</f>
        <v>#DIV/0!</v>
      </c>
      <c r="E293" s="250" t="e">
        <f ca="1">('Cap Table'!$EB23+'Cap Table'!$EC23)*E$57+E$70*('Cap Table'!$DG23+'Cap Table'!$DH23)+E$83*('Cap Table'!$CL23+'Cap Table'!$CM23)+E$96*('Cap Table'!$BQ23+'Cap Table'!$BR23)+E$109*('Cap Table'!$AV23+'Cap Table'!$AW23)+('Cap Table'!$AA23+'Cap Table'!$AB23)*E$122+('Cap Table'!$I23+'Cap Table'!$J23)*E$133</f>
        <v>#DIV/0!</v>
      </c>
      <c r="F293" s="250" t="e">
        <f ca="1">('Cap Table'!$EB23+'Cap Table'!$EC23)*F$57+F$70*('Cap Table'!$DG23+'Cap Table'!$DH23)+F$83*('Cap Table'!$CL23+'Cap Table'!$CM23)+F$96*('Cap Table'!$BQ23+'Cap Table'!$BR23)+F$109*('Cap Table'!$AV23+'Cap Table'!$AW23)+('Cap Table'!$AA23+'Cap Table'!$AB23)*F$122+('Cap Table'!$I23+'Cap Table'!$J23)*F$133</f>
        <v>#DIV/0!</v>
      </c>
      <c r="G293" s="250" t="e">
        <f ca="1">('Cap Table'!$EB23+'Cap Table'!$EC23)*G$57+G$70*('Cap Table'!$DG23+'Cap Table'!$DH23)+G$83*('Cap Table'!$CL23+'Cap Table'!$CM23)+G$96*('Cap Table'!$BQ23+'Cap Table'!$BR23)+G$109*('Cap Table'!$AV23+'Cap Table'!$AW23)+('Cap Table'!$AA23+'Cap Table'!$AB23)*G$122+('Cap Table'!$I23+'Cap Table'!$J23)*G$133</f>
        <v>#DIV/0!</v>
      </c>
      <c r="H293" s="250" t="e">
        <f ca="1">('Cap Table'!$EB23+'Cap Table'!$EC23)*H$57+H$70*('Cap Table'!$DG23+'Cap Table'!$DH23)+H$83*('Cap Table'!$CL23+'Cap Table'!$CM23)+H$96*('Cap Table'!$BQ23+'Cap Table'!$BR23)+H$109*('Cap Table'!$AV23+'Cap Table'!$AW23)+('Cap Table'!$AA23+'Cap Table'!$AB23)*H$122+('Cap Table'!$I23+'Cap Table'!$J23)*H$133</f>
        <v>#DIV/0!</v>
      </c>
      <c r="I293" s="250" t="e">
        <f ca="1">('Cap Table'!$EB23+'Cap Table'!$EC23)*I$57+I$70*('Cap Table'!$DG23+'Cap Table'!$DH23)+I$83*('Cap Table'!$CL23+'Cap Table'!$CM23)+I$96*('Cap Table'!$BQ23+'Cap Table'!$BR23)+I$109*('Cap Table'!$AV23+'Cap Table'!$AW23)+('Cap Table'!$AA23+'Cap Table'!$AB23)*I$122+('Cap Table'!$I23+'Cap Table'!$J23)*I$133</f>
        <v>#DIV/0!</v>
      </c>
      <c r="J293" s="250" t="e">
        <f ca="1">('Cap Table'!$EB23+'Cap Table'!$EC23)*J$57+J$70*('Cap Table'!$DG23+'Cap Table'!$DH23)+J$83*('Cap Table'!$CL23+'Cap Table'!$CM23)+J$96*('Cap Table'!$BQ23+'Cap Table'!$BR23)+J$109*('Cap Table'!$AV23+'Cap Table'!$AW23)+('Cap Table'!$AA23+'Cap Table'!$AB23)*J$122+('Cap Table'!$I23+'Cap Table'!$J23)*J$133</f>
        <v>#DIV/0!</v>
      </c>
      <c r="K293" s="250" t="e">
        <f ca="1">('Cap Table'!$EB23+'Cap Table'!$EC23)*K$57+K$70*('Cap Table'!$DG23+'Cap Table'!$DH23)+K$83*('Cap Table'!$CL23+'Cap Table'!$CM23)+K$96*('Cap Table'!$BQ23+'Cap Table'!$BR23)+K$109*('Cap Table'!$AV23+'Cap Table'!$AW23)+('Cap Table'!$AA23+'Cap Table'!$AB23)*K$122+('Cap Table'!$I23+'Cap Table'!$J23)*K$133</f>
        <v>#DIV/0!</v>
      </c>
      <c r="L293" s="250" t="e">
        <f ca="1">('Cap Table'!$EB23+'Cap Table'!$EC23)*L$57+L$70*('Cap Table'!$DG23+'Cap Table'!$DH23)+L$83*('Cap Table'!$CL23+'Cap Table'!$CM23)+L$96*('Cap Table'!$BQ23+'Cap Table'!$BR23)+L$109*('Cap Table'!$AV23+'Cap Table'!$AW23)+('Cap Table'!$AA23+'Cap Table'!$AB23)*L$122+('Cap Table'!$I23+'Cap Table'!$J23)*L$133</f>
        <v>#DIV/0!</v>
      </c>
    </row>
    <row r="294" spans="2:12">
      <c r="B294" s="6" t="str">
        <f>'Cap Table'!B24</f>
        <v>na</v>
      </c>
      <c r="C294" s="217" t="str">
        <f>'Cap Table'!$D$60</f>
        <v>$</v>
      </c>
      <c r="D294" s="250" t="e">
        <f ca="1">('Cap Table'!$EB24+'Cap Table'!$EC24)*D$57+D$70*('Cap Table'!$DG24+'Cap Table'!$DH24)+D$83*('Cap Table'!$CL24+'Cap Table'!$CM24)+D$96*('Cap Table'!$BQ24+'Cap Table'!$BR24)+D$109*('Cap Table'!$AV24+'Cap Table'!$AW24)+('Cap Table'!$AA24+'Cap Table'!$AB24)*D$122+('Cap Table'!$I24+'Cap Table'!$J24)*D$133</f>
        <v>#DIV/0!</v>
      </c>
      <c r="E294" s="250" t="e">
        <f ca="1">('Cap Table'!$EB24+'Cap Table'!$EC24)*E$57+E$70*('Cap Table'!$DG24+'Cap Table'!$DH24)+E$83*('Cap Table'!$CL24+'Cap Table'!$CM24)+E$96*('Cap Table'!$BQ24+'Cap Table'!$BR24)+E$109*('Cap Table'!$AV24+'Cap Table'!$AW24)+('Cap Table'!$AA24+'Cap Table'!$AB24)*E$122+('Cap Table'!$I24+'Cap Table'!$J24)*E$133</f>
        <v>#DIV/0!</v>
      </c>
      <c r="F294" s="250" t="e">
        <f ca="1">('Cap Table'!$EB24+'Cap Table'!$EC24)*F$57+F$70*('Cap Table'!$DG24+'Cap Table'!$DH24)+F$83*('Cap Table'!$CL24+'Cap Table'!$CM24)+F$96*('Cap Table'!$BQ24+'Cap Table'!$BR24)+F$109*('Cap Table'!$AV24+'Cap Table'!$AW24)+('Cap Table'!$AA24+'Cap Table'!$AB24)*F$122+('Cap Table'!$I24+'Cap Table'!$J24)*F$133</f>
        <v>#DIV/0!</v>
      </c>
      <c r="G294" s="250" t="e">
        <f ca="1">('Cap Table'!$EB24+'Cap Table'!$EC24)*G$57+G$70*('Cap Table'!$DG24+'Cap Table'!$DH24)+G$83*('Cap Table'!$CL24+'Cap Table'!$CM24)+G$96*('Cap Table'!$BQ24+'Cap Table'!$BR24)+G$109*('Cap Table'!$AV24+'Cap Table'!$AW24)+('Cap Table'!$AA24+'Cap Table'!$AB24)*G$122+('Cap Table'!$I24+'Cap Table'!$J24)*G$133</f>
        <v>#DIV/0!</v>
      </c>
      <c r="H294" s="250" t="e">
        <f ca="1">('Cap Table'!$EB24+'Cap Table'!$EC24)*H$57+H$70*('Cap Table'!$DG24+'Cap Table'!$DH24)+H$83*('Cap Table'!$CL24+'Cap Table'!$CM24)+H$96*('Cap Table'!$BQ24+'Cap Table'!$BR24)+H$109*('Cap Table'!$AV24+'Cap Table'!$AW24)+('Cap Table'!$AA24+'Cap Table'!$AB24)*H$122+('Cap Table'!$I24+'Cap Table'!$J24)*H$133</f>
        <v>#DIV/0!</v>
      </c>
      <c r="I294" s="250" t="e">
        <f ca="1">('Cap Table'!$EB24+'Cap Table'!$EC24)*I$57+I$70*('Cap Table'!$DG24+'Cap Table'!$DH24)+I$83*('Cap Table'!$CL24+'Cap Table'!$CM24)+I$96*('Cap Table'!$BQ24+'Cap Table'!$BR24)+I$109*('Cap Table'!$AV24+'Cap Table'!$AW24)+('Cap Table'!$AA24+'Cap Table'!$AB24)*I$122+('Cap Table'!$I24+'Cap Table'!$J24)*I$133</f>
        <v>#DIV/0!</v>
      </c>
      <c r="J294" s="250" t="e">
        <f ca="1">('Cap Table'!$EB24+'Cap Table'!$EC24)*J$57+J$70*('Cap Table'!$DG24+'Cap Table'!$DH24)+J$83*('Cap Table'!$CL24+'Cap Table'!$CM24)+J$96*('Cap Table'!$BQ24+'Cap Table'!$BR24)+J$109*('Cap Table'!$AV24+'Cap Table'!$AW24)+('Cap Table'!$AA24+'Cap Table'!$AB24)*J$122+('Cap Table'!$I24+'Cap Table'!$J24)*J$133</f>
        <v>#DIV/0!</v>
      </c>
      <c r="K294" s="250" t="e">
        <f ca="1">('Cap Table'!$EB24+'Cap Table'!$EC24)*K$57+K$70*('Cap Table'!$DG24+'Cap Table'!$DH24)+K$83*('Cap Table'!$CL24+'Cap Table'!$CM24)+K$96*('Cap Table'!$BQ24+'Cap Table'!$BR24)+K$109*('Cap Table'!$AV24+'Cap Table'!$AW24)+('Cap Table'!$AA24+'Cap Table'!$AB24)*K$122+('Cap Table'!$I24+'Cap Table'!$J24)*K$133</f>
        <v>#DIV/0!</v>
      </c>
      <c r="L294" s="250" t="e">
        <f ca="1">('Cap Table'!$EB24+'Cap Table'!$EC24)*L$57+L$70*('Cap Table'!$DG24+'Cap Table'!$DH24)+L$83*('Cap Table'!$CL24+'Cap Table'!$CM24)+L$96*('Cap Table'!$BQ24+'Cap Table'!$BR24)+L$109*('Cap Table'!$AV24+'Cap Table'!$AW24)+('Cap Table'!$AA24+'Cap Table'!$AB24)*L$122+('Cap Table'!$I24+'Cap Table'!$J24)*L$133</f>
        <v>#DIV/0!</v>
      </c>
    </row>
    <row r="295" spans="2:12">
      <c r="B295" s="6" t="str">
        <f>'Cap Table'!B25</f>
        <v>na</v>
      </c>
      <c r="C295" s="217" t="str">
        <f>'Cap Table'!$D$60</f>
        <v>$</v>
      </c>
      <c r="D295" s="250" t="e">
        <f ca="1">('Cap Table'!$EB25+'Cap Table'!$EC25)*D$57+D$70*('Cap Table'!$DG25+'Cap Table'!$DH25)+D$83*('Cap Table'!$CL25+'Cap Table'!$CM25)+D$96*('Cap Table'!$BQ25+'Cap Table'!$BR25)+D$109*('Cap Table'!$AV25+'Cap Table'!$AW25)+('Cap Table'!$AA25+'Cap Table'!$AB25)*D$122+('Cap Table'!$I25+'Cap Table'!$J25)*D$133</f>
        <v>#DIV/0!</v>
      </c>
      <c r="E295" s="250" t="e">
        <f ca="1">('Cap Table'!$EB25+'Cap Table'!$EC25)*E$57+E$70*('Cap Table'!$DG25+'Cap Table'!$DH25)+E$83*('Cap Table'!$CL25+'Cap Table'!$CM25)+E$96*('Cap Table'!$BQ25+'Cap Table'!$BR25)+E$109*('Cap Table'!$AV25+'Cap Table'!$AW25)+('Cap Table'!$AA25+'Cap Table'!$AB25)*E$122+('Cap Table'!$I25+'Cap Table'!$J25)*E$133</f>
        <v>#DIV/0!</v>
      </c>
      <c r="F295" s="250" t="e">
        <f ca="1">('Cap Table'!$EB25+'Cap Table'!$EC25)*F$57+F$70*('Cap Table'!$DG25+'Cap Table'!$DH25)+F$83*('Cap Table'!$CL25+'Cap Table'!$CM25)+F$96*('Cap Table'!$BQ25+'Cap Table'!$BR25)+F$109*('Cap Table'!$AV25+'Cap Table'!$AW25)+('Cap Table'!$AA25+'Cap Table'!$AB25)*F$122+('Cap Table'!$I25+'Cap Table'!$J25)*F$133</f>
        <v>#DIV/0!</v>
      </c>
      <c r="G295" s="250" t="e">
        <f ca="1">('Cap Table'!$EB25+'Cap Table'!$EC25)*G$57+G$70*('Cap Table'!$DG25+'Cap Table'!$DH25)+G$83*('Cap Table'!$CL25+'Cap Table'!$CM25)+G$96*('Cap Table'!$BQ25+'Cap Table'!$BR25)+G$109*('Cap Table'!$AV25+'Cap Table'!$AW25)+('Cap Table'!$AA25+'Cap Table'!$AB25)*G$122+('Cap Table'!$I25+'Cap Table'!$J25)*G$133</f>
        <v>#DIV/0!</v>
      </c>
      <c r="H295" s="250" t="e">
        <f ca="1">('Cap Table'!$EB25+'Cap Table'!$EC25)*H$57+H$70*('Cap Table'!$DG25+'Cap Table'!$DH25)+H$83*('Cap Table'!$CL25+'Cap Table'!$CM25)+H$96*('Cap Table'!$BQ25+'Cap Table'!$BR25)+H$109*('Cap Table'!$AV25+'Cap Table'!$AW25)+('Cap Table'!$AA25+'Cap Table'!$AB25)*H$122+('Cap Table'!$I25+'Cap Table'!$J25)*H$133</f>
        <v>#DIV/0!</v>
      </c>
      <c r="I295" s="250" t="e">
        <f ca="1">('Cap Table'!$EB25+'Cap Table'!$EC25)*I$57+I$70*('Cap Table'!$DG25+'Cap Table'!$DH25)+I$83*('Cap Table'!$CL25+'Cap Table'!$CM25)+I$96*('Cap Table'!$BQ25+'Cap Table'!$BR25)+I$109*('Cap Table'!$AV25+'Cap Table'!$AW25)+('Cap Table'!$AA25+'Cap Table'!$AB25)*I$122+('Cap Table'!$I25+'Cap Table'!$J25)*I$133</f>
        <v>#DIV/0!</v>
      </c>
      <c r="J295" s="250" t="e">
        <f ca="1">('Cap Table'!$EB25+'Cap Table'!$EC25)*J$57+J$70*('Cap Table'!$DG25+'Cap Table'!$DH25)+J$83*('Cap Table'!$CL25+'Cap Table'!$CM25)+J$96*('Cap Table'!$BQ25+'Cap Table'!$BR25)+J$109*('Cap Table'!$AV25+'Cap Table'!$AW25)+('Cap Table'!$AA25+'Cap Table'!$AB25)*J$122+('Cap Table'!$I25+'Cap Table'!$J25)*J$133</f>
        <v>#DIV/0!</v>
      </c>
      <c r="K295" s="250" t="e">
        <f ca="1">('Cap Table'!$EB25+'Cap Table'!$EC25)*K$57+K$70*('Cap Table'!$DG25+'Cap Table'!$DH25)+K$83*('Cap Table'!$CL25+'Cap Table'!$CM25)+K$96*('Cap Table'!$BQ25+'Cap Table'!$BR25)+K$109*('Cap Table'!$AV25+'Cap Table'!$AW25)+('Cap Table'!$AA25+'Cap Table'!$AB25)*K$122+('Cap Table'!$I25+'Cap Table'!$J25)*K$133</f>
        <v>#DIV/0!</v>
      </c>
      <c r="L295" s="250" t="e">
        <f ca="1">('Cap Table'!$EB25+'Cap Table'!$EC25)*L$57+L$70*('Cap Table'!$DG25+'Cap Table'!$DH25)+L$83*('Cap Table'!$CL25+'Cap Table'!$CM25)+L$96*('Cap Table'!$BQ25+'Cap Table'!$BR25)+L$109*('Cap Table'!$AV25+'Cap Table'!$AW25)+('Cap Table'!$AA25+'Cap Table'!$AB25)*L$122+('Cap Table'!$I25+'Cap Table'!$J25)*L$133</f>
        <v>#DIV/0!</v>
      </c>
    </row>
    <row r="296" spans="2:12">
      <c r="B296" s="6" t="str">
        <f>'Cap Table'!B26</f>
        <v>na</v>
      </c>
      <c r="C296" s="217" t="str">
        <f>'Cap Table'!$D$60</f>
        <v>$</v>
      </c>
      <c r="D296" s="250" t="e">
        <f ca="1">('Cap Table'!$EB26+'Cap Table'!$EC26)*D$57+D$70*('Cap Table'!$DG26+'Cap Table'!$DH26)+D$83*('Cap Table'!$CL26+'Cap Table'!$CM26)+D$96*('Cap Table'!$BQ26+'Cap Table'!$BR26)+D$109*('Cap Table'!$AV26+'Cap Table'!$AW26)+('Cap Table'!$AA26+'Cap Table'!$AB26)*D$122+('Cap Table'!$I26+'Cap Table'!$J26)*D$133</f>
        <v>#DIV/0!</v>
      </c>
      <c r="E296" s="250" t="e">
        <f ca="1">('Cap Table'!$EB26+'Cap Table'!$EC26)*E$57+E$70*('Cap Table'!$DG26+'Cap Table'!$DH26)+E$83*('Cap Table'!$CL26+'Cap Table'!$CM26)+E$96*('Cap Table'!$BQ26+'Cap Table'!$BR26)+E$109*('Cap Table'!$AV26+'Cap Table'!$AW26)+('Cap Table'!$AA26+'Cap Table'!$AB26)*E$122+('Cap Table'!$I26+'Cap Table'!$J26)*E$133</f>
        <v>#DIV/0!</v>
      </c>
      <c r="F296" s="250" t="e">
        <f ca="1">('Cap Table'!$EB26+'Cap Table'!$EC26)*F$57+F$70*('Cap Table'!$DG26+'Cap Table'!$DH26)+F$83*('Cap Table'!$CL26+'Cap Table'!$CM26)+F$96*('Cap Table'!$BQ26+'Cap Table'!$BR26)+F$109*('Cap Table'!$AV26+'Cap Table'!$AW26)+('Cap Table'!$AA26+'Cap Table'!$AB26)*F$122+('Cap Table'!$I26+'Cap Table'!$J26)*F$133</f>
        <v>#DIV/0!</v>
      </c>
      <c r="G296" s="250" t="e">
        <f ca="1">('Cap Table'!$EB26+'Cap Table'!$EC26)*G$57+G$70*('Cap Table'!$DG26+'Cap Table'!$DH26)+G$83*('Cap Table'!$CL26+'Cap Table'!$CM26)+G$96*('Cap Table'!$BQ26+'Cap Table'!$BR26)+G$109*('Cap Table'!$AV26+'Cap Table'!$AW26)+('Cap Table'!$AA26+'Cap Table'!$AB26)*G$122+('Cap Table'!$I26+'Cap Table'!$J26)*G$133</f>
        <v>#DIV/0!</v>
      </c>
      <c r="H296" s="250" t="e">
        <f ca="1">('Cap Table'!$EB26+'Cap Table'!$EC26)*H$57+H$70*('Cap Table'!$DG26+'Cap Table'!$DH26)+H$83*('Cap Table'!$CL26+'Cap Table'!$CM26)+H$96*('Cap Table'!$BQ26+'Cap Table'!$BR26)+H$109*('Cap Table'!$AV26+'Cap Table'!$AW26)+('Cap Table'!$AA26+'Cap Table'!$AB26)*H$122+('Cap Table'!$I26+'Cap Table'!$J26)*H$133</f>
        <v>#DIV/0!</v>
      </c>
      <c r="I296" s="250" t="e">
        <f ca="1">('Cap Table'!$EB26+'Cap Table'!$EC26)*I$57+I$70*('Cap Table'!$DG26+'Cap Table'!$DH26)+I$83*('Cap Table'!$CL26+'Cap Table'!$CM26)+I$96*('Cap Table'!$BQ26+'Cap Table'!$BR26)+I$109*('Cap Table'!$AV26+'Cap Table'!$AW26)+('Cap Table'!$AA26+'Cap Table'!$AB26)*I$122+('Cap Table'!$I26+'Cap Table'!$J26)*I$133</f>
        <v>#DIV/0!</v>
      </c>
      <c r="J296" s="250" t="e">
        <f ca="1">('Cap Table'!$EB26+'Cap Table'!$EC26)*J$57+J$70*('Cap Table'!$DG26+'Cap Table'!$DH26)+J$83*('Cap Table'!$CL26+'Cap Table'!$CM26)+J$96*('Cap Table'!$BQ26+'Cap Table'!$BR26)+J$109*('Cap Table'!$AV26+'Cap Table'!$AW26)+('Cap Table'!$AA26+'Cap Table'!$AB26)*J$122+('Cap Table'!$I26+'Cap Table'!$J26)*J$133</f>
        <v>#DIV/0!</v>
      </c>
      <c r="K296" s="250" t="e">
        <f ca="1">('Cap Table'!$EB26+'Cap Table'!$EC26)*K$57+K$70*('Cap Table'!$DG26+'Cap Table'!$DH26)+K$83*('Cap Table'!$CL26+'Cap Table'!$CM26)+K$96*('Cap Table'!$BQ26+'Cap Table'!$BR26)+K$109*('Cap Table'!$AV26+'Cap Table'!$AW26)+('Cap Table'!$AA26+'Cap Table'!$AB26)*K$122+('Cap Table'!$I26+'Cap Table'!$J26)*K$133</f>
        <v>#DIV/0!</v>
      </c>
      <c r="L296" s="250" t="e">
        <f ca="1">('Cap Table'!$EB26+'Cap Table'!$EC26)*L$57+L$70*('Cap Table'!$DG26+'Cap Table'!$DH26)+L$83*('Cap Table'!$CL26+'Cap Table'!$CM26)+L$96*('Cap Table'!$BQ26+'Cap Table'!$BR26)+L$109*('Cap Table'!$AV26+'Cap Table'!$AW26)+('Cap Table'!$AA26+'Cap Table'!$AB26)*L$122+('Cap Table'!$I26+'Cap Table'!$J26)*L$133</f>
        <v>#DIV/0!</v>
      </c>
    </row>
    <row r="297" spans="2:12">
      <c r="B297" s="6" t="str">
        <f>'Cap Table'!B27</f>
        <v>Options - Granted</v>
      </c>
      <c r="C297" s="217" t="str">
        <f>'Cap Table'!$D$60</f>
        <v>$</v>
      </c>
      <c r="D297" s="250" t="e">
        <f ca="1">'Cap Table'!$EF27*D$133</f>
        <v>#DIV/0!</v>
      </c>
      <c r="E297" s="250" t="e">
        <f ca="1">'Cap Table'!$EF27*E$133</f>
        <v>#DIV/0!</v>
      </c>
      <c r="F297" s="250" t="e">
        <f ca="1">'Cap Table'!$EF27*F$133</f>
        <v>#DIV/0!</v>
      </c>
      <c r="G297" s="250" t="e">
        <f ca="1">'Cap Table'!$EF27*G$133</f>
        <v>#DIV/0!</v>
      </c>
      <c r="H297" s="250" t="e">
        <f ca="1">'Cap Table'!$EF27*H$133</f>
        <v>#DIV/0!</v>
      </c>
      <c r="I297" s="250" t="e">
        <f ca="1">'Cap Table'!$EF27*I$133</f>
        <v>#DIV/0!</v>
      </c>
      <c r="J297" s="250" t="e">
        <f ca="1">'Cap Table'!$EF27*J$133</f>
        <v>#DIV/0!</v>
      </c>
      <c r="K297" s="250" t="e">
        <f ca="1">'Cap Table'!$EF27*K$133</f>
        <v>#DIV/0!</v>
      </c>
      <c r="L297" s="250" t="e">
        <f ca="1">'Cap Table'!$EF27*L$133</f>
        <v>#DIV/0!</v>
      </c>
    </row>
    <row r="298" spans="2:12">
      <c r="B298" s="6" t="str">
        <f>'Cap Table'!B28</f>
        <v>Option Pool - Available, Ungranted</v>
      </c>
      <c r="C298" s="217" t="str">
        <f>'Cap Table'!$D$60</f>
        <v>$</v>
      </c>
      <c r="D298" s="250">
        <v>0</v>
      </c>
      <c r="E298" s="250">
        <v>0</v>
      </c>
      <c r="F298" s="250">
        <v>0</v>
      </c>
      <c r="G298" s="250">
        <v>0</v>
      </c>
      <c r="H298" s="250">
        <v>0</v>
      </c>
      <c r="I298" s="250">
        <v>0</v>
      </c>
      <c r="J298" s="250">
        <v>0</v>
      </c>
      <c r="K298" s="250">
        <v>0</v>
      </c>
      <c r="L298" s="250">
        <v>0</v>
      </c>
    </row>
    <row r="299" spans="2:12">
      <c r="B299" s="6" t="s">
        <v>20</v>
      </c>
      <c r="C299" s="217" t="str">
        <f>'Cap Table'!$D$60</f>
        <v>$</v>
      </c>
      <c r="D299" s="88" t="e">
        <f t="shared" ref="D299:L299" ca="1" si="118">SUM(D276:D298)</f>
        <v>#DIV/0!</v>
      </c>
      <c r="E299" s="88" t="e">
        <f t="shared" ca="1" si="118"/>
        <v>#DIV/0!</v>
      </c>
      <c r="F299" s="88" t="e">
        <f t="shared" ca="1" si="118"/>
        <v>#DIV/0!</v>
      </c>
      <c r="G299" s="88" t="e">
        <f t="shared" ca="1" si="118"/>
        <v>#DIV/0!</v>
      </c>
      <c r="H299" s="88" t="e">
        <f t="shared" ca="1" si="118"/>
        <v>#DIV/0!</v>
      </c>
      <c r="I299" s="88" t="e">
        <f t="shared" ca="1" si="118"/>
        <v>#DIV/0!</v>
      </c>
      <c r="J299" s="88" t="e">
        <f t="shared" ca="1" si="118"/>
        <v>#DIV/0!</v>
      </c>
      <c r="K299" s="88" t="e">
        <f t="shared" ca="1" si="118"/>
        <v>#DIV/0!</v>
      </c>
      <c r="L299" s="88" t="e">
        <f t="shared" ca="1" si="118"/>
        <v>#DIV/0!</v>
      </c>
    </row>
    <row r="300" spans="2:12">
      <c r="D300" s="6" t="e">
        <f t="shared" ref="D300:L300" ca="1" si="119">D299-D41</f>
        <v>#DIV/0!</v>
      </c>
      <c r="E300" s="6" t="e">
        <f t="shared" ca="1" si="119"/>
        <v>#DIV/0!</v>
      </c>
      <c r="F300" s="6" t="e">
        <f t="shared" ca="1" si="119"/>
        <v>#DIV/0!</v>
      </c>
      <c r="G300" s="6" t="e">
        <f t="shared" ca="1" si="119"/>
        <v>#DIV/0!</v>
      </c>
      <c r="H300" s="6" t="e">
        <f t="shared" ca="1" si="119"/>
        <v>#DIV/0!</v>
      </c>
      <c r="I300" s="6" t="e">
        <f t="shared" ca="1" si="119"/>
        <v>#DIV/0!</v>
      </c>
      <c r="J300" s="6" t="e">
        <f t="shared" ca="1" si="119"/>
        <v>#DIV/0!</v>
      </c>
      <c r="K300" s="6" t="e">
        <f t="shared" ca="1" si="119"/>
        <v>#DIV/0!</v>
      </c>
      <c r="L300" s="6" t="e">
        <f t="shared" ca="1" si="119"/>
        <v>#DIV/0!</v>
      </c>
    </row>
  </sheetData>
  <dataValidations count="2">
    <dataValidation type="list" allowBlank="1" showInputMessage="1" showErrorMessage="1" sqref="D35:I35">
      <formula1>"Non Participating Preferred,Full Participating Preferred,Participating Preferred with a Cap"</formula1>
    </dataValidation>
    <dataValidation type="list" allowBlank="1" showInputMessage="1" showErrorMessage="1" sqref="D11">
      <formula1>"no,yes"</formula1>
    </dataValidation>
  </dataValidations>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L46"/>
  <sheetViews>
    <sheetView showGridLines="0" workbookViewId="0">
      <pane xSplit="2" topLeftCell="C1" activePane="topRight" state="frozen"/>
      <selection activeCell="B47" sqref="B47"/>
      <selection pane="topRight" activeCell="B47" sqref="B47"/>
    </sheetView>
  </sheetViews>
  <sheetFormatPr baseColWidth="10" defaultRowHeight="17" x14ac:dyDescent="0"/>
  <cols>
    <col min="1" max="1" width="5.33203125" style="2" customWidth="1"/>
    <col min="2" max="2" width="21.5" style="2" customWidth="1"/>
    <col min="3" max="3" width="18.6640625" style="2" customWidth="1"/>
    <col min="4" max="4" width="14.6640625" style="2" customWidth="1"/>
    <col min="5" max="5" width="9.83203125" style="2" customWidth="1"/>
    <col min="6" max="6" width="22.83203125" style="2" customWidth="1"/>
    <col min="7" max="11" width="18.6640625" style="2" customWidth="1"/>
    <col min="12" max="15" width="10.83203125" style="2"/>
    <col min="16" max="16" width="12.6640625" style="2" customWidth="1"/>
    <col min="17" max="16384" width="10.83203125" style="2"/>
  </cols>
  <sheetData>
    <row r="2" spans="2:12">
      <c r="B2" s="19" t="s">
        <v>53</v>
      </c>
    </row>
    <row r="3" spans="2:12">
      <c r="B3" s="34" t="s">
        <v>58</v>
      </c>
    </row>
    <row r="6" spans="2:12" ht="34">
      <c r="B6" s="28" t="s">
        <v>55</v>
      </c>
      <c r="C6" s="27" t="s">
        <v>414</v>
      </c>
      <c r="D6" s="27" t="s">
        <v>39</v>
      </c>
      <c r="F6" s="27" t="s">
        <v>61</v>
      </c>
      <c r="G6" s="27" t="s">
        <v>62</v>
      </c>
      <c r="H6" s="27" t="s">
        <v>117</v>
      </c>
      <c r="I6" s="27" t="s">
        <v>414</v>
      </c>
      <c r="J6" s="27" t="s">
        <v>39</v>
      </c>
      <c r="K6" s="27" t="s">
        <v>63</v>
      </c>
    </row>
    <row r="8" spans="2:12">
      <c r="B8" s="13" t="s">
        <v>57</v>
      </c>
      <c r="C8" s="14">
        <f>D8*C$17</f>
        <v>6000000</v>
      </c>
      <c r="D8" s="29">
        <v>0.6</v>
      </c>
      <c r="E8" s="10" t="s">
        <v>78</v>
      </c>
      <c r="F8" s="13">
        <v>0</v>
      </c>
      <c r="G8" s="37">
        <f>G$24</f>
        <v>0.3</v>
      </c>
      <c r="H8" s="10">
        <f>IFERROR(F8/G8,0)</f>
        <v>0</v>
      </c>
      <c r="I8" s="6">
        <f>H8+C8</f>
        <v>6000000</v>
      </c>
      <c r="J8" s="35">
        <f>IFERROR(I8/I$17,0)</f>
        <v>0.48</v>
      </c>
      <c r="K8" s="4">
        <f>I8*G$24</f>
        <v>1800000</v>
      </c>
      <c r="L8" s="10" t="s">
        <v>80</v>
      </c>
    </row>
    <row r="9" spans="2:12">
      <c r="B9" s="13" t="s">
        <v>57</v>
      </c>
      <c r="C9" s="14">
        <f>D9*C$17</f>
        <v>3000000</v>
      </c>
      <c r="D9" s="29">
        <v>0.3</v>
      </c>
      <c r="F9" s="13">
        <v>0</v>
      </c>
      <c r="G9" s="37">
        <f>G$24</f>
        <v>0.3</v>
      </c>
      <c r="H9" s="10">
        <f>IFERROR(F9/G9,0)</f>
        <v>0</v>
      </c>
      <c r="I9" s="6">
        <f>H9+C9</f>
        <v>3000000</v>
      </c>
      <c r="J9" s="35">
        <f>IFERROR(I9/I$17,0)</f>
        <v>0.24</v>
      </c>
      <c r="K9" s="4">
        <f>I9*G$24</f>
        <v>900000</v>
      </c>
    </row>
    <row r="10" spans="2:12">
      <c r="B10" s="13" t="s">
        <v>59</v>
      </c>
      <c r="C10" s="14">
        <f>D10*C$17</f>
        <v>500000</v>
      </c>
      <c r="D10" s="29">
        <v>0.05</v>
      </c>
      <c r="F10" s="13">
        <v>0</v>
      </c>
      <c r="G10" s="37">
        <f>G$24</f>
        <v>0.3</v>
      </c>
      <c r="H10" s="10">
        <f>IFERROR(F10/G10,0)</f>
        <v>0</v>
      </c>
      <c r="I10" s="6">
        <f t="shared" ref="I10:I15" si="0">H10+C10</f>
        <v>500000</v>
      </c>
      <c r="J10" s="35">
        <f>IFERROR(I10/I$17,0)</f>
        <v>0.04</v>
      </c>
      <c r="K10" s="4">
        <f>I10*G$24</f>
        <v>150000</v>
      </c>
    </row>
    <row r="11" spans="2:12">
      <c r="B11" s="13" t="s">
        <v>59</v>
      </c>
      <c r="C11" s="14">
        <f>D11*C$17</f>
        <v>300000</v>
      </c>
      <c r="D11" s="29">
        <v>0.03</v>
      </c>
      <c r="F11" s="13">
        <v>0</v>
      </c>
      <c r="G11" s="37">
        <f>G$24</f>
        <v>0.3</v>
      </c>
      <c r="H11" s="10">
        <f>IFERROR(F11/G11,0)</f>
        <v>0</v>
      </c>
      <c r="I11" s="6">
        <f t="shared" si="0"/>
        <v>300000</v>
      </c>
      <c r="J11" s="35">
        <f>IFERROR(I11/I$17,0)</f>
        <v>2.4E-2</v>
      </c>
      <c r="K11" s="4">
        <f>I11*G$24</f>
        <v>90000</v>
      </c>
    </row>
    <row r="12" spans="2:12">
      <c r="B12" s="13" t="s">
        <v>59</v>
      </c>
      <c r="C12" s="14">
        <f>D12*C$17</f>
        <v>200000</v>
      </c>
      <c r="D12" s="29">
        <v>0.02</v>
      </c>
      <c r="F12" s="13">
        <v>0</v>
      </c>
      <c r="G12" s="37">
        <f>G$24</f>
        <v>0.3</v>
      </c>
      <c r="H12" s="10">
        <f>IFERROR(F12/G12,0)</f>
        <v>0</v>
      </c>
      <c r="I12" s="6">
        <f t="shared" si="0"/>
        <v>200000</v>
      </c>
      <c r="J12" s="35">
        <f>IFERROR(I12/I$17,0)</f>
        <v>1.6E-2</v>
      </c>
      <c r="K12" s="4">
        <f>I12*G$24</f>
        <v>60000</v>
      </c>
    </row>
    <row r="13" spans="2:12">
      <c r="D13" s="36"/>
    </row>
    <row r="14" spans="2:12">
      <c r="B14" s="13" t="s">
        <v>60</v>
      </c>
      <c r="C14" s="14">
        <f>D14*C$17</f>
        <v>0</v>
      </c>
      <c r="D14" s="29">
        <v>0</v>
      </c>
      <c r="E14" s="10" t="s">
        <v>87</v>
      </c>
      <c r="F14" s="13">
        <v>500000</v>
      </c>
      <c r="G14" s="37">
        <f>G$24</f>
        <v>0.3</v>
      </c>
      <c r="H14" s="4">
        <f>IFERROR(F14/G14,0)</f>
        <v>1666666.6666666667</v>
      </c>
      <c r="I14" s="6">
        <f t="shared" si="0"/>
        <v>1666666.6666666667</v>
      </c>
      <c r="J14" s="35">
        <f>IFERROR(I14/I$17,0)</f>
        <v>0.13333333333333333</v>
      </c>
      <c r="K14" s="4">
        <f>I14*G$24</f>
        <v>500000</v>
      </c>
    </row>
    <row r="15" spans="2:12">
      <c r="B15" s="13" t="s">
        <v>64</v>
      </c>
      <c r="C15" s="14">
        <f>D15*C$17</f>
        <v>0</v>
      </c>
      <c r="D15" s="29">
        <v>0</v>
      </c>
      <c r="F15" s="13">
        <v>250000</v>
      </c>
      <c r="G15" s="37">
        <f>G$24</f>
        <v>0.3</v>
      </c>
      <c r="H15" s="4">
        <f>IFERROR(F15/G15,0)</f>
        <v>833333.33333333337</v>
      </c>
      <c r="I15" s="6">
        <f t="shared" si="0"/>
        <v>833333.33333333337</v>
      </c>
      <c r="J15" s="35">
        <f>IFERROR(I15/I$17,0)</f>
        <v>6.6666666666666666E-2</v>
      </c>
      <c r="K15" s="4">
        <f>I15*G$24</f>
        <v>250000</v>
      </c>
    </row>
    <row r="16" spans="2:12">
      <c r="D16" s="36"/>
    </row>
    <row r="17" spans="2:12">
      <c r="B17" s="38" t="s">
        <v>20</v>
      </c>
      <c r="C17" s="12">
        <v>10000000</v>
      </c>
      <c r="D17" s="39">
        <f>SUM(D8:D12,D14:D15)</f>
        <v>1</v>
      </c>
      <c r="E17" s="10" t="s">
        <v>82</v>
      </c>
      <c r="F17" s="8">
        <f>SUM(F8:F12,F14:F15)</f>
        <v>750000</v>
      </c>
      <c r="G17" s="38"/>
      <c r="H17" s="8">
        <f>SUM(H8:H12,H14:H15)</f>
        <v>2500000</v>
      </c>
      <c r="I17" s="8">
        <f>SUM(I8:I12,I14:I15)</f>
        <v>12500000</v>
      </c>
      <c r="J17" s="39">
        <f>SUM(J8:J12,J14:J15)</f>
        <v>1</v>
      </c>
      <c r="K17" s="8">
        <f>SUM(K8:K12,K14:K15)</f>
        <v>3750000</v>
      </c>
      <c r="L17" s="10" t="s">
        <v>83</v>
      </c>
    </row>
    <row r="20" spans="2:12">
      <c r="F20" s="34" t="s">
        <v>65</v>
      </c>
    </row>
    <row r="21" spans="2:12">
      <c r="F21" s="2" t="s">
        <v>67</v>
      </c>
      <c r="G21" s="6">
        <f>F17</f>
        <v>750000</v>
      </c>
    </row>
    <row r="22" spans="2:12">
      <c r="F22" s="2" t="s">
        <v>66</v>
      </c>
      <c r="G22" s="13">
        <v>3000000</v>
      </c>
      <c r="H22" s="10" t="s">
        <v>79</v>
      </c>
    </row>
    <row r="23" spans="2:12">
      <c r="F23" s="2" t="s">
        <v>103</v>
      </c>
      <c r="G23" s="6">
        <f>G22+G21</f>
        <v>3750000</v>
      </c>
      <c r="H23" s="10" t="s">
        <v>79</v>
      </c>
    </row>
    <row r="24" spans="2:12">
      <c r="F24" s="2" t="s">
        <v>62</v>
      </c>
      <c r="G24" s="37">
        <f>G22/C17</f>
        <v>0.3</v>
      </c>
      <c r="H24" s="10" t="s">
        <v>81</v>
      </c>
    </row>
    <row r="25" spans="2:12">
      <c r="F25" s="2" t="s">
        <v>94</v>
      </c>
      <c r="G25" s="5">
        <f>G21/G23</f>
        <v>0.2</v>
      </c>
    </row>
    <row r="27" spans="2:12">
      <c r="B27" s="33" t="s">
        <v>54</v>
      </c>
    </row>
    <row r="29" spans="2:12">
      <c r="B29" s="2" t="s">
        <v>73</v>
      </c>
    </row>
    <row r="30" spans="2:12">
      <c r="B30" s="2" t="s">
        <v>74</v>
      </c>
    </row>
    <row r="31" spans="2:12">
      <c r="B31" s="2" t="s">
        <v>75</v>
      </c>
    </row>
    <row r="32" spans="2:12">
      <c r="B32" s="2" t="s">
        <v>76</v>
      </c>
    </row>
    <row r="33" spans="2:2">
      <c r="B33" s="2" t="s">
        <v>84</v>
      </c>
    </row>
    <row r="34" spans="2:2">
      <c r="B34" s="2" t="s">
        <v>85</v>
      </c>
    </row>
    <row r="36" spans="2:2">
      <c r="B36" s="33" t="s">
        <v>77</v>
      </c>
    </row>
    <row r="38" spans="2:2">
      <c r="B38" s="2" t="s">
        <v>86</v>
      </c>
    </row>
    <row r="39" spans="2:2">
      <c r="B39" s="2" t="s">
        <v>56</v>
      </c>
    </row>
    <row r="41" spans="2:2">
      <c r="B41" s="33" t="s">
        <v>68</v>
      </c>
    </row>
    <row r="43" spans="2:2">
      <c r="B43" s="2" t="s">
        <v>69</v>
      </c>
    </row>
    <row r="44" spans="2:2">
      <c r="B44" s="2" t="s">
        <v>70</v>
      </c>
    </row>
    <row r="45" spans="2:2">
      <c r="B45" s="2" t="s">
        <v>71</v>
      </c>
    </row>
    <row r="46" spans="2:2">
      <c r="B46" s="2" t="s">
        <v>72</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R32"/>
  <sheetViews>
    <sheetView showGridLines="0" workbookViewId="0">
      <pane xSplit="2" topLeftCell="I1" activePane="topRight" state="frozen"/>
      <selection activeCell="B47" sqref="B47"/>
      <selection pane="topRight" activeCell="B47" sqref="B47"/>
    </sheetView>
  </sheetViews>
  <sheetFormatPr baseColWidth="10" defaultRowHeight="17" x14ac:dyDescent="0"/>
  <cols>
    <col min="1" max="1" width="5.33203125" style="2" customWidth="1"/>
    <col min="2" max="2" width="21.5" style="2" customWidth="1"/>
    <col min="3" max="3" width="18.6640625" style="2" customWidth="1"/>
    <col min="4" max="4" width="14.6640625" style="2" customWidth="1"/>
    <col min="5" max="5" width="8" style="2" customWidth="1"/>
    <col min="6" max="6" width="20.6640625" style="2" customWidth="1"/>
    <col min="7" max="11" width="18.6640625" style="2" customWidth="1"/>
    <col min="12" max="12" width="7.6640625" style="2" customWidth="1"/>
    <col min="13" max="13" width="21.5" style="2" customWidth="1"/>
    <col min="14" max="18" width="16.6640625" style="2" customWidth="1"/>
    <col min="19" max="16384" width="10.83203125" style="2"/>
  </cols>
  <sheetData>
    <row r="2" spans="2:18">
      <c r="B2" s="19" t="s">
        <v>95</v>
      </c>
    </row>
    <row r="3" spans="2:18">
      <c r="B3" s="34" t="s">
        <v>58</v>
      </c>
    </row>
    <row r="6" spans="2:18" ht="34">
      <c r="B6" s="28" t="s">
        <v>55</v>
      </c>
      <c r="C6" s="27" t="s">
        <v>178</v>
      </c>
      <c r="D6" s="27" t="s">
        <v>39</v>
      </c>
      <c r="F6" s="27" t="s">
        <v>61</v>
      </c>
      <c r="G6" s="27" t="s">
        <v>62</v>
      </c>
      <c r="H6" s="27" t="s">
        <v>117</v>
      </c>
      <c r="I6" s="27" t="s">
        <v>414</v>
      </c>
      <c r="J6" s="27" t="s">
        <v>39</v>
      </c>
      <c r="K6" s="27" t="s">
        <v>63</v>
      </c>
      <c r="M6" s="27" t="s">
        <v>61</v>
      </c>
      <c r="N6" s="27" t="s">
        <v>62</v>
      </c>
      <c r="O6" s="27" t="s">
        <v>117</v>
      </c>
      <c r="P6" s="27" t="s">
        <v>414</v>
      </c>
      <c r="Q6" s="27" t="s">
        <v>39</v>
      </c>
      <c r="R6" s="27" t="s">
        <v>63</v>
      </c>
    </row>
    <row r="8" spans="2:18">
      <c r="B8" s="13" t="s">
        <v>57</v>
      </c>
      <c r="C8" s="14">
        <f>D8*C$18</f>
        <v>6000000</v>
      </c>
      <c r="D8" s="29">
        <v>0.6</v>
      </c>
      <c r="F8" s="13">
        <v>0</v>
      </c>
      <c r="G8" s="37">
        <f>G$25</f>
        <v>0.3</v>
      </c>
      <c r="H8" s="10">
        <f>IFERROR(F8/G8,0)</f>
        <v>0</v>
      </c>
      <c r="I8" s="6">
        <f>H8+C8</f>
        <v>6000000</v>
      </c>
      <c r="J8" s="35">
        <f>IFERROR(I8/I$18,0)</f>
        <v>0.48</v>
      </c>
      <c r="K8" s="4">
        <f>I8*G$25</f>
        <v>1800000</v>
      </c>
      <c r="M8" s="13">
        <v>0</v>
      </c>
      <c r="N8" s="37">
        <f>N$25</f>
        <v>0.96</v>
      </c>
      <c r="O8" s="10">
        <f>IFERROR(M8/N8,0)</f>
        <v>0</v>
      </c>
      <c r="P8" s="6">
        <f>O8+I8</f>
        <v>6000000</v>
      </c>
      <c r="Q8" s="35">
        <f>IFERROR(P8/P$18,0)</f>
        <v>0.37269161988873106</v>
      </c>
      <c r="R8" s="4">
        <f>P8*N$25</f>
        <v>5760000</v>
      </c>
    </row>
    <row r="9" spans="2:18">
      <c r="B9" s="13" t="s">
        <v>57</v>
      </c>
      <c r="C9" s="14">
        <f>D9*C$18</f>
        <v>3000000</v>
      </c>
      <c r="D9" s="29">
        <v>0.3</v>
      </c>
      <c r="F9" s="13">
        <v>0</v>
      </c>
      <c r="G9" s="37">
        <f>G$25</f>
        <v>0.3</v>
      </c>
      <c r="H9" s="10">
        <f>IFERROR(F9/G9,0)</f>
        <v>0</v>
      </c>
      <c r="I9" s="6">
        <f>H9+C9</f>
        <v>3000000</v>
      </c>
      <c r="J9" s="35">
        <f>IFERROR(I9/I$18,0)</f>
        <v>0.24</v>
      </c>
      <c r="K9" s="4">
        <f>I9*G$25</f>
        <v>900000</v>
      </c>
      <c r="M9" s="13">
        <v>0</v>
      </c>
      <c r="N9" s="37">
        <f>N$25</f>
        <v>0.96</v>
      </c>
      <c r="O9" s="10">
        <f>IFERROR(M9/N9,0)</f>
        <v>0</v>
      </c>
      <c r="P9" s="6">
        <f>O9+I9</f>
        <v>3000000</v>
      </c>
      <c r="Q9" s="35">
        <f>IFERROR(P9/P$18,0)</f>
        <v>0.18634580994436553</v>
      </c>
      <c r="R9" s="4">
        <f>P9*N$25</f>
        <v>2880000</v>
      </c>
    </row>
    <row r="10" spans="2:18">
      <c r="B10" s="13" t="s">
        <v>59</v>
      </c>
      <c r="C10" s="14">
        <f>D10*C$18</f>
        <v>500000</v>
      </c>
      <c r="D10" s="29">
        <v>0.05</v>
      </c>
      <c r="F10" s="13">
        <v>0</v>
      </c>
      <c r="G10" s="37">
        <f>G$25</f>
        <v>0.3</v>
      </c>
      <c r="H10" s="10">
        <f>IFERROR(F10/G10,0)</f>
        <v>0</v>
      </c>
      <c r="I10" s="6">
        <f t="shared" ref="I10:I15" si="0">H10+C10</f>
        <v>500000</v>
      </c>
      <c r="J10" s="35">
        <f>IFERROR(I10/I$18,0)</f>
        <v>0.04</v>
      </c>
      <c r="K10" s="4">
        <f>I10*G$25</f>
        <v>150000</v>
      </c>
      <c r="M10" s="13">
        <v>0</v>
      </c>
      <c r="N10" s="37">
        <f>N$25</f>
        <v>0.96</v>
      </c>
      <c r="O10" s="10">
        <f>IFERROR(M10/N10,0)</f>
        <v>0</v>
      </c>
      <c r="P10" s="6">
        <f>O10+I10</f>
        <v>500000</v>
      </c>
      <c r="Q10" s="35">
        <f>IFERROR(P10/P$18,0)</f>
        <v>3.1057634990727587E-2</v>
      </c>
      <c r="R10" s="4">
        <f>P10*N$25</f>
        <v>480000</v>
      </c>
    </row>
    <row r="11" spans="2:18">
      <c r="B11" s="13" t="s">
        <v>59</v>
      </c>
      <c r="C11" s="14">
        <f>D11*C$18</f>
        <v>300000</v>
      </c>
      <c r="D11" s="29">
        <v>0.03</v>
      </c>
      <c r="F11" s="13">
        <v>0</v>
      </c>
      <c r="G11" s="37">
        <f>G$25</f>
        <v>0.3</v>
      </c>
      <c r="H11" s="10">
        <f>IFERROR(F11/G11,0)</f>
        <v>0</v>
      </c>
      <c r="I11" s="6">
        <f t="shared" si="0"/>
        <v>300000</v>
      </c>
      <c r="J11" s="35">
        <f>IFERROR(I11/I$18,0)</f>
        <v>2.4E-2</v>
      </c>
      <c r="K11" s="4">
        <f>I11*G$25</f>
        <v>90000</v>
      </c>
      <c r="M11" s="13">
        <v>0</v>
      </c>
      <c r="N11" s="37">
        <f>N$25</f>
        <v>0.96</v>
      </c>
      <c r="O11" s="10">
        <f>IFERROR(M11/N11,0)</f>
        <v>0</v>
      </c>
      <c r="P11" s="6">
        <f>O11+I11</f>
        <v>300000</v>
      </c>
      <c r="Q11" s="35">
        <f>IFERROR(P11/P$18,0)</f>
        <v>1.8634580994436552E-2</v>
      </c>
      <c r="R11" s="4">
        <f>P11*N$25</f>
        <v>288000</v>
      </c>
    </row>
    <row r="12" spans="2:18">
      <c r="B12" s="13" t="s">
        <v>59</v>
      </c>
      <c r="C12" s="14">
        <f>D12*C$18</f>
        <v>200000</v>
      </c>
      <c r="D12" s="29">
        <v>0.02</v>
      </c>
      <c r="F12" s="13">
        <v>0</v>
      </c>
      <c r="G12" s="37">
        <f>G$25</f>
        <v>0.3</v>
      </c>
      <c r="H12" s="10">
        <f>IFERROR(F12/G12,0)</f>
        <v>0</v>
      </c>
      <c r="I12" s="6">
        <f t="shared" si="0"/>
        <v>200000</v>
      </c>
      <c r="J12" s="35">
        <f>IFERROR(I12/I$18,0)</f>
        <v>1.6E-2</v>
      </c>
      <c r="K12" s="4">
        <f>I12*G$25</f>
        <v>60000</v>
      </c>
      <c r="M12" s="13">
        <v>0</v>
      </c>
      <c r="N12" s="37">
        <f>N$25</f>
        <v>0.96</v>
      </c>
      <c r="O12" s="10">
        <f>IFERROR(M12/N12,0)</f>
        <v>0</v>
      </c>
      <c r="P12" s="6">
        <f>O12+I12</f>
        <v>200000</v>
      </c>
      <c r="Q12" s="35">
        <f>IFERROR(P12/P$18,0)</f>
        <v>1.2423053996291036E-2</v>
      </c>
      <c r="R12" s="4">
        <f>P12*N$25</f>
        <v>192000</v>
      </c>
    </row>
    <row r="13" spans="2:18">
      <c r="D13" s="36"/>
    </row>
    <row r="14" spans="2:18">
      <c r="B14" s="13" t="s">
        <v>60</v>
      </c>
      <c r="C14" s="14">
        <f>D14*C$18</f>
        <v>0</v>
      </c>
      <c r="D14" s="29">
        <v>0</v>
      </c>
      <c r="F14" s="13">
        <v>500000</v>
      </c>
      <c r="G14" s="37">
        <f>G$25</f>
        <v>0.3</v>
      </c>
      <c r="H14" s="4">
        <f>IFERROR(F14/G14,0)</f>
        <v>1666666.6666666667</v>
      </c>
      <c r="I14" s="6">
        <f t="shared" si="0"/>
        <v>1666666.6666666667</v>
      </c>
      <c r="J14" s="35">
        <f>IFERROR(I14/I$18,0)</f>
        <v>0.13333333333333333</v>
      </c>
      <c r="K14" s="4">
        <f>I14*G$25</f>
        <v>500000</v>
      </c>
      <c r="M14" s="13">
        <v>455136.8815850392</v>
      </c>
      <c r="N14" s="37">
        <f>N$25</f>
        <v>0.96</v>
      </c>
      <c r="O14" s="4">
        <f>IFERROR(M14/N14,0)</f>
        <v>474100.91831774916</v>
      </c>
      <c r="P14" s="6">
        <f>O14+I14</f>
        <v>2140767.5849844161</v>
      </c>
      <c r="Q14" s="35">
        <f>IFERROR(P14/P$18,0)</f>
        <v>0.13297435650885481</v>
      </c>
      <c r="R14" s="4">
        <f>P14*N$25</f>
        <v>2055136.8815850394</v>
      </c>
    </row>
    <row r="15" spans="2:18">
      <c r="B15" s="13" t="s">
        <v>64</v>
      </c>
      <c r="C15" s="14">
        <f>D15*C$18</f>
        <v>0</v>
      </c>
      <c r="D15" s="29">
        <v>0</v>
      </c>
      <c r="F15" s="13">
        <v>250000</v>
      </c>
      <c r="G15" s="37">
        <f>G$25</f>
        <v>0.3</v>
      </c>
      <c r="H15" s="4">
        <f>IFERROR(F15/G15,0)</f>
        <v>833333.33333333337</v>
      </c>
      <c r="I15" s="6">
        <f t="shared" si="0"/>
        <v>833333.33333333337</v>
      </c>
      <c r="J15" s="35">
        <f>IFERROR(I15/I$18,0)</f>
        <v>6.6666666666666666E-2</v>
      </c>
      <c r="K15" s="4">
        <f>I15*G$25</f>
        <v>250000</v>
      </c>
      <c r="M15" s="13">
        <v>0</v>
      </c>
      <c r="N15" s="37">
        <f>N$25</f>
        <v>0.96</v>
      </c>
      <c r="O15" s="4">
        <f>IFERROR(M15/N15,0)</f>
        <v>0</v>
      </c>
      <c r="P15" s="6">
        <f>O15+I15</f>
        <v>833333.33333333337</v>
      </c>
      <c r="Q15" s="35">
        <f>IFERROR(P15/P$18,0)</f>
        <v>5.1762724984545982E-2</v>
      </c>
      <c r="R15" s="4">
        <f>P15*N$25</f>
        <v>800000</v>
      </c>
    </row>
    <row r="16" spans="2:18">
      <c r="B16" s="13" t="s">
        <v>91</v>
      </c>
      <c r="C16" s="14">
        <f>D16*C$18</f>
        <v>0</v>
      </c>
      <c r="D16" s="29">
        <v>0</v>
      </c>
      <c r="F16" s="13">
        <v>0</v>
      </c>
      <c r="G16" s="37">
        <f>G$25</f>
        <v>0.3</v>
      </c>
      <c r="H16" s="4">
        <f>IFERROR(F16/G16,0)</f>
        <v>0</v>
      </c>
      <c r="I16" s="6">
        <f t="shared" ref="I16" si="1">H16+C16</f>
        <v>0</v>
      </c>
      <c r="J16" s="35">
        <f>IFERROR(I16/I$18,0)</f>
        <v>0</v>
      </c>
      <c r="K16" s="4">
        <f>I16*G$25</f>
        <v>0</v>
      </c>
      <c r="M16" s="13">
        <v>3000000</v>
      </c>
      <c r="N16" s="37">
        <f>N$25</f>
        <v>0.96</v>
      </c>
      <c r="O16" s="4">
        <f>IFERROR(M16/N16,0)</f>
        <v>3125000</v>
      </c>
      <c r="P16" s="6">
        <f>O16+I16</f>
        <v>3125000</v>
      </c>
      <c r="Q16" s="35">
        <f>IFERROR(P16/P$18,0)</f>
        <v>0.19411021869204742</v>
      </c>
      <c r="R16" s="4">
        <f>P16*N$25</f>
        <v>3000000</v>
      </c>
    </row>
    <row r="17" spans="2:18">
      <c r="D17" s="36"/>
    </row>
    <row r="18" spans="2:18">
      <c r="B18" s="38" t="s">
        <v>20</v>
      </c>
      <c r="C18" s="12">
        <v>10000000</v>
      </c>
      <c r="D18" s="39">
        <f>SUM(D8:D12,D14:D16)</f>
        <v>1</v>
      </c>
      <c r="F18" s="8">
        <f>SUM(F8:F12,F14:F16)</f>
        <v>750000</v>
      </c>
      <c r="G18" s="38"/>
      <c r="H18" s="8">
        <f>SUM(H8:H12,H14:H16)</f>
        <v>2500000</v>
      </c>
      <c r="I18" s="8">
        <f>SUM(I8:I12,I14:I16)</f>
        <v>12500000</v>
      </c>
      <c r="J18" s="39">
        <f>SUM(J8:J12,J14:J16)</f>
        <v>1</v>
      </c>
      <c r="K18" s="8">
        <f>SUM(K8:K12,K14:K16)</f>
        <v>3750000</v>
      </c>
      <c r="M18" s="8">
        <f>SUM(M8:M12,M14:M16)</f>
        <v>3455136.8815850392</v>
      </c>
      <c r="N18" s="38"/>
      <c r="O18" s="8">
        <f>SUM(O8:O12,O14:O16)</f>
        <v>3599100.9183177492</v>
      </c>
      <c r="P18" s="8">
        <f>SUM(P8:P12,P14:P16)</f>
        <v>16099100.91831775</v>
      </c>
      <c r="Q18" s="39">
        <f>SUM(Q8:Q12,Q14:Q16)</f>
        <v>1</v>
      </c>
      <c r="R18" s="8">
        <f>SUM(R8:R12,R14:R16)</f>
        <v>15455136.881585039</v>
      </c>
    </row>
    <row r="21" spans="2:18">
      <c r="F21" s="34" t="s">
        <v>65</v>
      </c>
      <c r="M21" s="34" t="s">
        <v>89</v>
      </c>
    </row>
    <row r="22" spans="2:18">
      <c r="F22" s="2" t="s">
        <v>67</v>
      </c>
      <c r="G22" s="6">
        <f>F18</f>
        <v>750000</v>
      </c>
      <c r="M22" s="2" t="s">
        <v>67</v>
      </c>
      <c r="N22" s="6">
        <f>M18</f>
        <v>3455136.8815850392</v>
      </c>
      <c r="O22" s="10" t="s">
        <v>78</v>
      </c>
    </row>
    <row r="23" spans="2:18">
      <c r="F23" s="2" t="s">
        <v>66</v>
      </c>
      <c r="G23" s="13">
        <v>3000000</v>
      </c>
      <c r="M23" s="2" t="s">
        <v>66</v>
      </c>
      <c r="N23" s="13">
        <v>12000000</v>
      </c>
    </row>
    <row r="24" spans="2:18">
      <c r="F24" s="2" t="s">
        <v>103</v>
      </c>
      <c r="G24" s="6">
        <f>G23+G22</f>
        <v>3750000</v>
      </c>
      <c r="M24" s="2" t="s">
        <v>103</v>
      </c>
      <c r="N24" s="6">
        <f>N23+N22</f>
        <v>15455136.881585039</v>
      </c>
    </row>
    <row r="25" spans="2:18">
      <c r="F25" s="2" t="s">
        <v>62</v>
      </c>
      <c r="G25" s="37">
        <f>G23/C18</f>
        <v>0.3</v>
      </c>
      <c r="M25" s="2" t="s">
        <v>62</v>
      </c>
      <c r="N25" s="37">
        <f>N23/I18</f>
        <v>0.96</v>
      </c>
      <c r="O25" s="10" t="s">
        <v>82</v>
      </c>
    </row>
    <row r="26" spans="2:18">
      <c r="F26" s="2" t="s">
        <v>94</v>
      </c>
      <c r="G26" s="5">
        <f>G22/G24</f>
        <v>0.2</v>
      </c>
      <c r="M26" s="2" t="s">
        <v>94</v>
      </c>
      <c r="N26" s="5">
        <f>N22/N24</f>
        <v>0.22355912523181026</v>
      </c>
    </row>
    <row r="28" spans="2:18">
      <c r="B28" s="33" t="s">
        <v>54</v>
      </c>
    </row>
    <row r="30" spans="2:18">
      <c r="B30" s="2" t="s">
        <v>92</v>
      </c>
    </row>
    <row r="31" spans="2:18">
      <c r="B31" s="2" t="s">
        <v>90</v>
      </c>
    </row>
    <row r="32" spans="2:18">
      <c r="B32" s="2" t="s">
        <v>93</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L41"/>
  <sheetViews>
    <sheetView showGridLines="0" workbookViewId="0">
      <pane xSplit="2" topLeftCell="C1" activePane="topRight" state="frozen"/>
      <selection activeCell="B47" sqref="B47"/>
      <selection pane="topRight" activeCell="B47" sqref="B47"/>
    </sheetView>
  </sheetViews>
  <sheetFormatPr baseColWidth="10" defaultRowHeight="17" x14ac:dyDescent="0"/>
  <cols>
    <col min="1" max="1" width="5.33203125" style="2" customWidth="1"/>
    <col min="2" max="2" width="21.5" style="2" customWidth="1"/>
    <col min="3" max="3" width="18.6640625" style="2" customWidth="1"/>
    <col min="4" max="4" width="14.6640625" style="2" customWidth="1"/>
    <col min="5" max="5" width="9.83203125" style="2" customWidth="1"/>
    <col min="6" max="6" width="31.83203125" style="2" customWidth="1"/>
    <col min="7" max="11" width="18.6640625" style="2" customWidth="1"/>
    <col min="12" max="15" width="10.83203125" style="2"/>
    <col min="16" max="16" width="12.6640625" style="2" customWidth="1"/>
    <col min="17" max="16384" width="10.83203125" style="2"/>
  </cols>
  <sheetData>
    <row r="2" spans="2:12">
      <c r="B2" s="19" t="s">
        <v>112</v>
      </c>
    </row>
    <row r="3" spans="2:12">
      <c r="B3" s="34" t="s">
        <v>58</v>
      </c>
    </row>
    <row r="6" spans="2:12" ht="34">
      <c r="B6" s="28" t="s">
        <v>55</v>
      </c>
      <c r="C6" s="27" t="s">
        <v>414</v>
      </c>
      <c r="D6" s="27" t="s">
        <v>39</v>
      </c>
      <c r="F6" s="27" t="s">
        <v>61</v>
      </c>
      <c r="G6" s="27" t="s">
        <v>62</v>
      </c>
      <c r="H6" s="27" t="s">
        <v>117</v>
      </c>
      <c r="I6" s="27" t="s">
        <v>414</v>
      </c>
      <c r="J6" s="27" t="s">
        <v>39</v>
      </c>
      <c r="K6" s="27" t="s">
        <v>63</v>
      </c>
    </row>
    <row r="8" spans="2:12">
      <c r="B8" s="13" t="s">
        <v>57</v>
      </c>
      <c r="C8" s="14">
        <f>D8*C$19</f>
        <v>6000000</v>
      </c>
      <c r="D8" s="29">
        <v>0.6</v>
      </c>
      <c r="F8" s="13">
        <v>0</v>
      </c>
      <c r="G8" s="37">
        <f>G$27</f>
        <v>0.22500000000000001</v>
      </c>
      <c r="H8" s="10">
        <f>IFERROR(F8/G8,0)</f>
        <v>0</v>
      </c>
      <c r="I8" s="6">
        <f>H8+C8</f>
        <v>6000000</v>
      </c>
      <c r="J8" s="35">
        <f>IFERROR(I8/I$19,0)</f>
        <v>0.36000000000000004</v>
      </c>
      <c r="K8" s="4">
        <f>I8*G$27</f>
        <v>1350000</v>
      </c>
    </row>
    <row r="9" spans="2:12">
      <c r="B9" s="13" t="s">
        <v>57</v>
      </c>
      <c r="C9" s="14">
        <f>D9*C$19</f>
        <v>3000000</v>
      </c>
      <c r="D9" s="29">
        <v>0.3</v>
      </c>
      <c r="F9" s="13">
        <v>0</v>
      </c>
      <c r="G9" s="37">
        <f>G$27</f>
        <v>0.22500000000000001</v>
      </c>
      <c r="H9" s="10">
        <f>IFERROR(F9/G9,0)</f>
        <v>0</v>
      </c>
      <c r="I9" s="6">
        <f>H9+C9</f>
        <v>3000000</v>
      </c>
      <c r="J9" s="35">
        <f>IFERROR(I9/I$19,0)</f>
        <v>0.18000000000000002</v>
      </c>
      <c r="K9" s="4">
        <f>I9*G$27</f>
        <v>675000</v>
      </c>
    </row>
    <row r="10" spans="2:12">
      <c r="B10" s="13" t="s">
        <v>59</v>
      </c>
      <c r="C10" s="14">
        <f>D10*C$19</f>
        <v>500000</v>
      </c>
      <c r="D10" s="29">
        <v>0.05</v>
      </c>
      <c r="F10" s="13">
        <v>0</v>
      </c>
      <c r="G10" s="37">
        <f>G$27</f>
        <v>0.22500000000000001</v>
      </c>
      <c r="H10" s="10">
        <f>IFERROR(F10/G10,0)</f>
        <v>0</v>
      </c>
      <c r="I10" s="6">
        <f t="shared" ref="I10:I17" si="0">H10+C10</f>
        <v>500000</v>
      </c>
      <c r="J10" s="35">
        <f>IFERROR(I10/I$19,0)</f>
        <v>3.0000000000000006E-2</v>
      </c>
      <c r="K10" s="4">
        <f>I10*G$27</f>
        <v>112500</v>
      </c>
    </row>
    <row r="11" spans="2:12">
      <c r="B11" s="13" t="s">
        <v>59</v>
      </c>
      <c r="C11" s="14">
        <f>D11*C$19</f>
        <v>300000</v>
      </c>
      <c r="D11" s="29">
        <v>0.03</v>
      </c>
      <c r="F11" s="13">
        <v>0</v>
      </c>
      <c r="G11" s="37">
        <f>G$27</f>
        <v>0.22500000000000001</v>
      </c>
      <c r="H11" s="10">
        <f>IFERROR(F11/G11,0)</f>
        <v>0</v>
      </c>
      <c r="I11" s="6">
        <f t="shared" si="0"/>
        <v>300000</v>
      </c>
      <c r="J11" s="35">
        <f>IFERROR(I11/I$19,0)</f>
        <v>1.8000000000000002E-2</v>
      </c>
      <c r="K11" s="4">
        <f>I11*G$27</f>
        <v>67500</v>
      </c>
    </row>
    <row r="12" spans="2:12">
      <c r="B12" s="13" t="s">
        <v>59</v>
      </c>
      <c r="C12" s="14">
        <f>D12*C$19</f>
        <v>200000</v>
      </c>
      <c r="D12" s="29">
        <v>0.02</v>
      </c>
      <c r="F12" s="13">
        <v>0</v>
      </c>
      <c r="G12" s="37">
        <f>G$27</f>
        <v>0.22500000000000001</v>
      </c>
      <c r="H12" s="10">
        <f>IFERROR(F12/G12,0)</f>
        <v>0</v>
      </c>
      <c r="I12" s="6">
        <f t="shared" si="0"/>
        <v>200000</v>
      </c>
      <c r="J12" s="35">
        <f>IFERROR(I12/I$19,0)</f>
        <v>1.2000000000000002E-2</v>
      </c>
      <c r="K12" s="4">
        <f>I12*G$27</f>
        <v>45000</v>
      </c>
      <c r="L12" s="10"/>
    </row>
    <row r="13" spans="2:12">
      <c r="D13" s="36"/>
      <c r="L13" s="10"/>
    </row>
    <row r="14" spans="2:12">
      <c r="B14" s="13" t="s">
        <v>60</v>
      </c>
      <c r="C14" s="14">
        <f>D14*C$19</f>
        <v>0</v>
      </c>
      <c r="D14" s="29">
        <v>0</v>
      </c>
      <c r="F14" s="13">
        <v>500000</v>
      </c>
      <c r="G14" s="37">
        <f>G$27</f>
        <v>0.22500000000000001</v>
      </c>
      <c r="H14" s="4">
        <f>IFERROR(F14/G14,0)</f>
        <v>2222222.222222222</v>
      </c>
      <c r="I14" s="6">
        <f t="shared" si="0"/>
        <v>2222222.222222222</v>
      </c>
      <c r="J14" s="35">
        <f>IFERROR(I14/I$19,0)</f>
        <v>0.13333333333333333</v>
      </c>
      <c r="K14" s="4">
        <f>I14*G$27</f>
        <v>499999.99999999994</v>
      </c>
      <c r="L14" s="10" t="s">
        <v>82</v>
      </c>
    </row>
    <row r="15" spans="2:12">
      <c r="B15" s="13" t="s">
        <v>64</v>
      </c>
      <c r="C15" s="14">
        <f>D15*C$19</f>
        <v>0</v>
      </c>
      <c r="D15" s="29">
        <v>0</v>
      </c>
      <c r="F15" s="13">
        <v>250000</v>
      </c>
      <c r="G15" s="37">
        <f>G$27</f>
        <v>0.22500000000000001</v>
      </c>
      <c r="H15" s="4">
        <f>IFERROR(F15/G15,0)</f>
        <v>1111111.111111111</v>
      </c>
      <c r="I15" s="6">
        <f t="shared" si="0"/>
        <v>1111111.111111111</v>
      </c>
      <c r="J15" s="35">
        <f>IFERROR(I15/I$19,0)</f>
        <v>6.6666666666666666E-2</v>
      </c>
      <c r="K15" s="4">
        <f>I15*G$27</f>
        <v>249999.99999999997</v>
      </c>
      <c r="L15" s="10"/>
    </row>
    <row r="16" spans="2:12">
      <c r="D16" s="36"/>
      <c r="L16" s="10"/>
    </row>
    <row r="17" spans="2:12">
      <c r="B17" s="13" t="s">
        <v>29</v>
      </c>
      <c r="C17" s="14">
        <f>D17*C$19</f>
        <v>0</v>
      </c>
      <c r="D17" s="29">
        <v>0</v>
      </c>
      <c r="F17" s="13">
        <v>0</v>
      </c>
      <c r="G17" s="37">
        <f>G$27</f>
        <v>0.22500000000000001</v>
      </c>
      <c r="H17" s="6">
        <f>G31</f>
        <v>3333333.333333333</v>
      </c>
      <c r="I17" s="6">
        <f t="shared" si="0"/>
        <v>3333333.333333333</v>
      </c>
      <c r="J17" s="35">
        <f>IFERROR(I17/I$19,0)</f>
        <v>0.2</v>
      </c>
      <c r="K17" s="4">
        <f>I17*G$27</f>
        <v>750000</v>
      </c>
      <c r="L17" s="10" t="s">
        <v>83</v>
      </c>
    </row>
    <row r="18" spans="2:12">
      <c r="D18" s="36"/>
      <c r="L18" s="10"/>
    </row>
    <row r="19" spans="2:12">
      <c r="B19" s="38" t="s">
        <v>20</v>
      </c>
      <c r="C19" s="12">
        <v>10000000</v>
      </c>
      <c r="D19" s="39">
        <f>SUM(D8:D12,D14:D15,D17)</f>
        <v>1</v>
      </c>
      <c r="F19" s="8">
        <f>SUM(F8:F12,F14:F15,F17)</f>
        <v>750000</v>
      </c>
      <c r="G19" s="38"/>
      <c r="H19" s="8">
        <f>SUM(H8:H12,H14:H15,H17)</f>
        <v>6666666.666666666</v>
      </c>
      <c r="I19" s="8">
        <f>SUM(I8:I12,I14:I15,I17)</f>
        <v>16666666.666666664</v>
      </c>
      <c r="J19" s="39">
        <f>SUM(J8:J12,J14:J15,J17)</f>
        <v>1</v>
      </c>
      <c r="K19" s="8">
        <f>SUM(K8:K12,K14:K15,K17)</f>
        <v>3750000</v>
      </c>
    </row>
    <row r="21" spans="2:12">
      <c r="H21" s="10"/>
    </row>
    <row r="22" spans="2:12">
      <c r="F22" s="34" t="s">
        <v>65</v>
      </c>
      <c r="H22" s="10"/>
    </row>
    <row r="23" spans="2:12">
      <c r="F23" s="2" t="s">
        <v>67</v>
      </c>
      <c r="G23" s="6">
        <f>F19</f>
        <v>750000</v>
      </c>
      <c r="H23" s="10"/>
    </row>
    <row r="24" spans="2:12">
      <c r="F24" s="2" t="s">
        <v>113</v>
      </c>
      <c r="G24" s="6">
        <f>G25-G26*G30</f>
        <v>2250000</v>
      </c>
      <c r="H24" s="10" t="s">
        <v>80</v>
      </c>
    </row>
    <row r="25" spans="2:12">
      <c r="F25" s="2" t="s">
        <v>66</v>
      </c>
      <c r="G25" s="13">
        <v>3000000</v>
      </c>
      <c r="H25" s="10"/>
    </row>
    <row r="26" spans="2:12">
      <c r="F26" s="2" t="s">
        <v>103</v>
      </c>
      <c r="G26" s="6">
        <f>G25+G23</f>
        <v>3750000</v>
      </c>
      <c r="H26" s="10"/>
    </row>
    <row r="27" spans="2:12">
      <c r="F27" s="2" t="s">
        <v>62</v>
      </c>
      <c r="G27" s="37">
        <f>G24/C19</f>
        <v>0.22500000000000001</v>
      </c>
      <c r="H27" s="10" t="s">
        <v>81</v>
      </c>
    </row>
    <row r="28" spans="2:12">
      <c r="F28" s="2" t="s">
        <v>94</v>
      </c>
      <c r="G28" s="5">
        <f>G23/G26</f>
        <v>0.2</v>
      </c>
      <c r="H28" s="10"/>
    </row>
    <row r="29" spans="2:12">
      <c r="H29" s="10"/>
    </row>
    <row r="30" spans="2:12">
      <c r="F30" s="2" t="s">
        <v>115</v>
      </c>
      <c r="G30" s="29">
        <v>0.2</v>
      </c>
      <c r="H30" s="10" t="s">
        <v>78</v>
      </c>
    </row>
    <row r="31" spans="2:12">
      <c r="F31" s="2" t="s">
        <v>114</v>
      </c>
      <c r="G31" s="4">
        <f>G30*G26/G27</f>
        <v>3333333.333333333</v>
      </c>
      <c r="H31" s="10" t="s">
        <v>79</v>
      </c>
    </row>
    <row r="32" spans="2:12">
      <c r="H32" s="10"/>
    </row>
    <row r="33" spans="2:8">
      <c r="B33" s="33" t="s">
        <v>54</v>
      </c>
      <c r="H33" s="10"/>
    </row>
    <row r="34" spans="2:8">
      <c r="B34" s="33"/>
      <c r="H34" s="10"/>
    </row>
    <row r="35" spans="2:8">
      <c r="B35" s="2" t="s">
        <v>119</v>
      </c>
    </row>
    <row r="36" spans="2:8">
      <c r="B36" s="2" t="s">
        <v>118</v>
      </c>
    </row>
    <row r="37" spans="2:8">
      <c r="B37" s="2" t="s">
        <v>120</v>
      </c>
    </row>
    <row r="38" spans="2:8">
      <c r="B38" s="2" t="s">
        <v>121</v>
      </c>
    </row>
    <row r="39" spans="2:8">
      <c r="B39" s="2" t="s">
        <v>122</v>
      </c>
    </row>
    <row r="40" spans="2:8">
      <c r="B40" s="2" t="s">
        <v>123</v>
      </c>
    </row>
    <row r="41" spans="2:8">
      <c r="B41" s="2" t="s">
        <v>126</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19</vt:i4>
      </vt:variant>
    </vt:vector>
  </HeadingPairs>
  <TitlesOfParts>
    <vt:vector size="19" baseType="lpstr">
      <vt:lpstr>README</vt:lpstr>
      <vt:lpstr>Disclaimer</vt:lpstr>
      <vt:lpstr>Support</vt:lpstr>
      <vt:lpstr>Summary</vt:lpstr>
      <vt:lpstr>Cap Table</vt:lpstr>
      <vt:lpstr>Exit Waterfall</vt:lpstr>
      <vt:lpstr>1 - Equity Issuance</vt:lpstr>
      <vt:lpstr>1 - Equity Issuance, 2nd Round</vt:lpstr>
      <vt:lpstr>2 - Premoney Option Pool</vt:lpstr>
      <vt:lpstr>2 - Postmoney Option Pool</vt:lpstr>
      <vt:lpstr>2 - Option Pool, 2nd Round</vt:lpstr>
      <vt:lpstr>3 - Convertible Issuance</vt:lpstr>
      <vt:lpstr>3 - Conversion, Premoney</vt:lpstr>
      <vt:lpstr>3 - Conversion, % Ownership</vt:lpstr>
      <vt:lpstr>3 - Conversion, $ Invested</vt:lpstr>
      <vt:lpstr>4 - Option Pool + Conversion</vt:lpstr>
      <vt:lpstr>5 - Exit Waterfall Distribution</vt:lpstr>
      <vt:lpstr>6 - VC Valuation</vt:lpstr>
      <vt:lpstr>Changelog</vt:lpstr>
    </vt:vector>
  </TitlesOfParts>
  <Manager/>
  <Company>Unstructured Ventures, LLC</Company>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Cap Table</dc:title>
  <dc:subject/>
  <dc:creator>Taylor Davidson / Foresight</dc:creator>
  <cp:keywords/>
  <dc:description/>
  <cp:lastModifiedBy>Taylor</cp:lastModifiedBy>
  <cp:lastPrinted>2018-05-05T18:47:23Z</cp:lastPrinted>
  <dcterms:created xsi:type="dcterms:W3CDTF">2015-08-20T17:23:19Z</dcterms:created>
  <dcterms:modified xsi:type="dcterms:W3CDTF">2019-01-18T04:26:01Z</dcterms:modified>
  <cp:category/>
</cp:coreProperties>
</file>