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codeName="ThisWorkbook" defaultThemeVersion="166925"/>
  <mc:AlternateContent xmlns:mc="http://schemas.openxmlformats.org/markup-compatibility/2006">
    <mc:Choice Requires="x15">
      <x15ac:absPath xmlns:x15ac="http://schemas.microsoft.com/office/spreadsheetml/2010/11/ac" url="/Users/taylordavidson/Dropbox/Unstructured Ventures/1 - Template Financial Models/1 - Current Models/"/>
    </mc:Choice>
  </mc:AlternateContent>
  <xr:revisionPtr revIDLastSave="0" documentId="13_ncr:1_{887FF5D7-90B4-D640-BC06-119C627592BA}" xr6:coauthVersionLast="45" xr6:coauthVersionMax="45" xr10:uidLastSave="{00000000-0000-0000-0000-000000000000}"/>
  <bookViews>
    <workbookView xWindow="30320" yWindow="3240" windowWidth="32060" windowHeight="18840" xr2:uid="{ABEDE082-6FD0-774E-BCBE-A6808D9CB0D2}"/>
  </bookViews>
  <sheets>
    <sheet name="README" sheetId="9" r:id="rId1"/>
    <sheet name="License" sheetId="6" r:id="rId2"/>
    <sheet name="Exit Waterfall" sheetId="11" r:id="rId3"/>
    <sheet name="Changelog" sheetId="7" r:id="rId4"/>
  </sheets>
  <externalReferences>
    <externalReference r:id="rId5"/>
  </externalReferences>
  <definedNames>
    <definedName name="_xlnm.Print_Area" localSheetId="0">README!$B$2:$B$33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335" i="11" l="1"/>
  <c r="O334" i="11"/>
  <c r="O333" i="11"/>
  <c r="O332" i="11"/>
  <c r="O330" i="11"/>
  <c r="O329" i="11"/>
  <c r="O328" i="11"/>
  <c r="O327" i="11"/>
  <c r="O324" i="11"/>
  <c r="O323" i="11"/>
  <c r="O322" i="11"/>
  <c r="O321" i="11"/>
  <c r="O320" i="11"/>
  <c r="O319" i="11"/>
  <c r="O318" i="11"/>
  <c r="O317" i="11"/>
  <c r="O316" i="11"/>
  <c r="O315" i="11"/>
  <c r="O314" i="11"/>
  <c r="O313" i="11"/>
  <c r="O312" i="11"/>
  <c r="O311" i="11"/>
  <c r="O310" i="11"/>
  <c r="O309" i="11"/>
  <c r="O308" i="11"/>
  <c r="O307" i="11"/>
  <c r="O306" i="11"/>
  <c r="O305" i="11"/>
  <c r="O304" i="11"/>
  <c r="O303" i="11"/>
  <c r="O302" i="11"/>
  <c r="O301" i="11"/>
  <c r="O300" i="11"/>
  <c r="O299" i="11"/>
  <c r="O298" i="11"/>
  <c r="O297" i="11"/>
  <c r="O296" i="11"/>
  <c r="O295" i="11"/>
  <c r="O293" i="11"/>
  <c r="O292" i="11"/>
  <c r="O291" i="11"/>
  <c r="O290" i="11"/>
  <c r="O289" i="11"/>
  <c r="O288" i="11"/>
  <c r="O287" i="11"/>
  <c r="O286" i="11"/>
  <c r="O285" i="11"/>
  <c r="O284" i="11"/>
  <c r="O283" i="11"/>
  <c r="O282" i="11"/>
  <c r="O281" i="11"/>
  <c r="O280" i="11"/>
  <c r="O279" i="11"/>
  <c r="O278" i="11"/>
  <c r="O277" i="11"/>
  <c r="O276" i="11"/>
  <c r="O275" i="11"/>
  <c r="O274" i="11"/>
  <c r="O273" i="11"/>
  <c r="O272" i="11"/>
  <c r="O271" i="11"/>
  <c r="O270" i="11"/>
  <c r="O269" i="11"/>
  <c r="O268" i="11"/>
  <c r="O267" i="11"/>
  <c r="O266" i="11"/>
  <c r="O264" i="11"/>
  <c r="O263" i="11"/>
  <c r="O262" i="11"/>
  <c r="O261" i="11"/>
  <c r="O260" i="11"/>
  <c r="B260" i="11"/>
  <c r="O259" i="11"/>
  <c r="B259" i="11"/>
  <c r="O258" i="11"/>
  <c r="B258" i="11"/>
  <c r="O257" i="11"/>
  <c r="B257" i="11"/>
  <c r="O256" i="11"/>
  <c r="B256" i="11"/>
  <c r="O255" i="11"/>
  <c r="B255" i="11"/>
  <c r="O254" i="11"/>
  <c r="B254" i="11"/>
  <c r="B253" i="11"/>
  <c r="O252" i="11"/>
  <c r="O251" i="11"/>
  <c r="O250" i="11"/>
  <c r="O249" i="11"/>
  <c r="F249" i="11"/>
  <c r="O248" i="11"/>
  <c r="F248" i="11"/>
  <c r="O247" i="11"/>
  <c r="F247" i="11"/>
  <c r="B247" i="11"/>
  <c r="O246" i="11"/>
  <c r="F246" i="11"/>
  <c r="B246" i="11"/>
  <c r="O245" i="11"/>
  <c r="F245" i="11"/>
  <c r="B245" i="11"/>
  <c r="O244" i="11"/>
  <c r="F244" i="11"/>
  <c r="B244" i="11"/>
  <c r="O243" i="11"/>
  <c r="F243" i="11"/>
  <c r="B243" i="11"/>
  <c r="O242" i="11"/>
  <c r="F242" i="11"/>
  <c r="B242" i="11"/>
  <c r="O241" i="11"/>
  <c r="F241" i="11"/>
  <c r="B241" i="11"/>
  <c r="O240" i="11"/>
  <c r="F240" i="11"/>
  <c r="B240" i="11"/>
  <c r="O237" i="11"/>
  <c r="O236" i="11"/>
  <c r="F236" i="11"/>
  <c r="O235" i="11"/>
  <c r="F235" i="11"/>
  <c r="O234" i="11"/>
  <c r="F234" i="11"/>
  <c r="O233" i="11"/>
  <c r="F233" i="11"/>
  <c r="O232" i="11"/>
  <c r="F232" i="11"/>
  <c r="F231" i="11"/>
  <c r="O230" i="11"/>
  <c r="O229" i="11"/>
  <c r="O228" i="11"/>
  <c r="F228" i="11"/>
  <c r="O227" i="11"/>
  <c r="F227" i="11"/>
  <c r="O226" i="11"/>
  <c r="F226" i="11"/>
  <c r="O225" i="11"/>
  <c r="F225" i="11"/>
  <c r="O224" i="11"/>
  <c r="F224" i="11"/>
  <c r="O223" i="11"/>
  <c r="O222" i="11"/>
  <c r="F221" i="11"/>
  <c r="F220" i="11"/>
  <c r="O219" i="11"/>
  <c r="F219" i="11"/>
  <c r="O218" i="11"/>
  <c r="F218" i="11"/>
  <c r="O217" i="11"/>
  <c r="F217" i="11"/>
  <c r="O216" i="11"/>
  <c r="F216" i="11"/>
  <c r="O215" i="11"/>
  <c r="F215" i="11"/>
  <c r="O214" i="11"/>
  <c r="O213" i="11"/>
  <c r="F212" i="11"/>
  <c r="F211" i="11"/>
  <c r="O210" i="11"/>
  <c r="O209" i="11"/>
  <c r="F209" i="11"/>
  <c r="O208" i="11"/>
  <c r="F208" i="11"/>
  <c r="O207" i="11"/>
  <c r="F207" i="11"/>
  <c r="O206" i="11"/>
  <c r="O205" i="11"/>
  <c r="O204" i="11"/>
  <c r="O203" i="11"/>
  <c r="O202" i="11"/>
  <c r="O201" i="11"/>
  <c r="F201" i="11"/>
  <c r="O200" i="11"/>
  <c r="O199" i="11"/>
  <c r="O198" i="11"/>
  <c r="F198" i="11"/>
  <c r="O197" i="11"/>
  <c r="F197" i="11"/>
  <c r="O196" i="11"/>
  <c r="F196" i="11"/>
  <c r="O195" i="11"/>
  <c r="F195" i="11"/>
  <c r="O194" i="11"/>
  <c r="O193" i="11"/>
  <c r="O192" i="11"/>
  <c r="F192" i="11"/>
  <c r="B192" i="11"/>
  <c r="O191" i="11"/>
  <c r="F191" i="11"/>
  <c r="B191" i="11"/>
  <c r="O190" i="11"/>
  <c r="F190" i="11"/>
  <c r="B190" i="11"/>
  <c r="O189" i="11"/>
  <c r="O188" i="11"/>
  <c r="O187" i="11"/>
  <c r="F187" i="11"/>
  <c r="O186" i="11"/>
  <c r="F186" i="11"/>
  <c r="B186" i="11"/>
  <c r="O185" i="11"/>
  <c r="F185" i="11"/>
  <c r="B185" i="11"/>
  <c r="O184" i="11"/>
  <c r="F184" i="11"/>
  <c r="B184" i="11"/>
  <c r="O183" i="11"/>
  <c r="F183" i="11"/>
  <c r="O182" i="11"/>
  <c r="F182" i="11"/>
  <c r="O181" i="11"/>
  <c r="O180" i="11"/>
  <c r="O179" i="11"/>
  <c r="F179" i="11"/>
  <c r="O178" i="11"/>
  <c r="O177" i="11"/>
  <c r="O176" i="11"/>
  <c r="F176" i="11"/>
  <c r="O175" i="11"/>
  <c r="F175" i="11"/>
  <c r="O174" i="11"/>
  <c r="F174" i="11"/>
  <c r="O173" i="11"/>
  <c r="F173" i="11"/>
  <c r="O172" i="11"/>
  <c r="O171" i="11"/>
  <c r="O170" i="11"/>
  <c r="F170" i="11"/>
  <c r="B170" i="11"/>
  <c r="O169" i="11"/>
  <c r="F169" i="11"/>
  <c r="B169" i="11"/>
  <c r="O168" i="11"/>
  <c r="F168" i="11"/>
  <c r="B168" i="11"/>
  <c r="O167" i="11"/>
  <c r="O166" i="11"/>
  <c r="O165" i="11"/>
  <c r="F165" i="11"/>
  <c r="O164" i="11"/>
  <c r="F164" i="11"/>
  <c r="B164" i="11"/>
  <c r="O163" i="11"/>
  <c r="F163" i="11"/>
  <c r="B163" i="11"/>
  <c r="O162" i="11"/>
  <c r="F162" i="11"/>
  <c r="B162" i="11"/>
  <c r="O161" i="11"/>
  <c r="F161" i="11"/>
  <c r="O160" i="11"/>
  <c r="F160" i="11"/>
  <c r="O159" i="11"/>
  <c r="O158" i="11"/>
  <c r="O157" i="11"/>
  <c r="F157" i="11"/>
  <c r="O156" i="11"/>
  <c r="O155" i="11"/>
  <c r="O154" i="11"/>
  <c r="F154" i="11"/>
  <c r="O153" i="11"/>
  <c r="F153" i="11"/>
  <c r="O152" i="11"/>
  <c r="F152" i="11"/>
  <c r="O151" i="11"/>
  <c r="F151" i="11"/>
  <c r="O150" i="11"/>
  <c r="O149" i="11"/>
  <c r="O148" i="11"/>
  <c r="F148" i="11"/>
  <c r="B148" i="11"/>
  <c r="O147" i="11"/>
  <c r="F147" i="11"/>
  <c r="B147" i="11"/>
  <c r="O146" i="11"/>
  <c r="F146" i="11"/>
  <c r="B146" i="11"/>
  <c r="O145" i="11"/>
  <c r="O144" i="11"/>
  <c r="O143" i="11"/>
  <c r="F143" i="11"/>
  <c r="O142" i="11"/>
  <c r="F142" i="11"/>
  <c r="B142" i="11"/>
  <c r="O141" i="11"/>
  <c r="F141" i="11"/>
  <c r="B141" i="11"/>
  <c r="O140" i="11"/>
  <c r="F140" i="11"/>
  <c r="B140" i="11"/>
  <c r="O139" i="11"/>
  <c r="F139" i="11"/>
  <c r="O138" i="11"/>
  <c r="F138" i="11"/>
  <c r="O137" i="11"/>
  <c r="O136" i="11"/>
  <c r="O135" i="11"/>
  <c r="F135" i="11"/>
  <c r="O134" i="11"/>
  <c r="O133" i="11"/>
  <c r="F132" i="11"/>
  <c r="F131" i="11"/>
  <c r="F130" i="11"/>
  <c r="F129" i="11"/>
  <c r="F126" i="11"/>
  <c r="B126" i="11"/>
  <c r="F125" i="11"/>
  <c r="B125" i="11"/>
  <c r="F124" i="11"/>
  <c r="B124" i="11"/>
  <c r="F121" i="11"/>
  <c r="F120" i="11"/>
  <c r="B120" i="11"/>
  <c r="F119" i="11"/>
  <c r="B119" i="11"/>
  <c r="F118" i="11"/>
  <c r="B118" i="11"/>
  <c r="F117" i="11"/>
  <c r="F116" i="11"/>
  <c r="F113" i="11"/>
  <c r="O112" i="11"/>
  <c r="O111" i="11"/>
  <c r="F110" i="11"/>
  <c r="K108" i="11"/>
  <c r="M107" i="11" a="1"/>
  <c r="M107" i="11" s="1"/>
  <c r="L107" i="11" a="1"/>
  <c r="L107" i="11" s="1"/>
  <c r="K107" i="11" a="1"/>
  <c r="K107" i="11" s="1"/>
  <c r="J107" i="11"/>
  <c r="J107" i="11" a="1"/>
  <c r="I107" i="11" a="1"/>
  <c r="I107" i="11" s="1"/>
  <c r="H107" i="11" a="1"/>
  <c r="H107" i="11" s="1"/>
  <c r="G107" i="11" a="1"/>
  <c r="G107" i="11" s="1"/>
  <c r="F105" i="11"/>
  <c r="H104" i="11"/>
  <c r="I104" i="11" s="1"/>
  <c r="J104" i="11" s="1"/>
  <c r="K104" i="11" s="1"/>
  <c r="L104" i="11" s="1"/>
  <c r="M104" i="11" s="1"/>
  <c r="F104" i="11"/>
  <c r="F103" i="11"/>
  <c r="K102" i="11"/>
  <c r="J102" i="11"/>
  <c r="I102" i="11"/>
  <c r="H102" i="11"/>
  <c r="G102" i="11"/>
  <c r="F102" i="11"/>
  <c r="O101" i="11"/>
  <c r="O100" i="11"/>
  <c r="O98" i="11"/>
  <c r="O97" i="11"/>
  <c r="O96" i="11"/>
  <c r="O95" i="11"/>
  <c r="O94" i="11"/>
  <c r="O93" i="11"/>
  <c r="B93" i="11"/>
  <c r="O92" i="11"/>
  <c r="O91" i="11"/>
  <c r="B91" i="11"/>
  <c r="O89" i="11"/>
  <c r="O88" i="11"/>
  <c r="O87" i="11"/>
  <c r="O86" i="11"/>
  <c r="O85" i="11"/>
  <c r="O84" i="11"/>
  <c r="O83" i="11"/>
  <c r="O82" i="11"/>
  <c r="O80" i="11"/>
  <c r="J79" i="11"/>
  <c r="B178" i="11" s="1"/>
  <c r="I79" i="11"/>
  <c r="B156" i="11" s="1"/>
  <c r="B77" i="11"/>
  <c r="B76" i="11"/>
  <c r="F72" i="11"/>
  <c r="F71" i="11"/>
  <c r="O69" i="11"/>
  <c r="K68" i="11"/>
  <c r="L68" i="11" s="1"/>
  <c r="L76" i="11" s="1" a="1"/>
  <c r="L76" i="11" s="1"/>
  <c r="J68" i="11"/>
  <c r="J76" i="11" s="1" a="1"/>
  <c r="J76" i="11" s="1"/>
  <c r="G68" i="11"/>
  <c r="L67" i="11"/>
  <c r="K67" i="11"/>
  <c r="B95" i="11" s="1"/>
  <c r="J67" i="11"/>
  <c r="I67" i="11"/>
  <c r="H67" i="11"/>
  <c r="G67" i="11"/>
  <c r="B82" i="11" s="1"/>
  <c r="O65" i="11"/>
  <c r="O64" i="11"/>
  <c r="M64" i="11"/>
  <c r="M103" i="11" s="1"/>
  <c r="L64" i="11"/>
  <c r="L103" i="11" s="1"/>
  <c r="K64" i="11"/>
  <c r="K103" i="11" s="1"/>
  <c r="J64" i="11"/>
  <c r="J103" i="11" s="1"/>
  <c r="J105" i="11" s="1"/>
  <c r="I64" i="11"/>
  <c r="I103" i="11" s="1"/>
  <c r="I105" i="11" s="1"/>
  <c r="H64" i="11"/>
  <c r="H103" i="11" s="1"/>
  <c r="G64" i="11"/>
  <c r="G103" i="11" s="1"/>
  <c r="F64" i="11"/>
  <c r="O63" i="11"/>
  <c r="F63" i="11"/>
  <c r="B63" i="11"/>
  <c r="O62" i="11"/>
  <c r="F62" i="11"/>
  <c r="B62" i="11"/>
  <c r="O61" i="11"/>
  <c r="F61" i="11"/>
  <c r="B61" i="11"/>
  <c r="O60" i="11"/>
  <c r="F60" i="11"/>
  <c r="B60" i="11"/>
  <c r="O59" i="11"/>
  <c r="F59" i="11"/>
  <c r="B59" i="11"/>
  <c r="O58" i="11"/>
  <c r="F58" i="11"/>
  <c r="B58" i="11"/>
  <c r="O57" i="11"/>
  <c r="F57" i="11"/>
  <c r="B57" i="11"/>
  <c r="F56" i="11"/>
  <c r="B56" i="11"/>
  <c r="B55" i="11"/>
  <c r="O54" i="11"/>
  <c r="L52" i="11"/>
  <c r="K52" i="11"/>
  <c r="J52" i="11"/>
  <c r="I52" i="11"/>
  <c r="H52" i="11"/>
  <c r="G52" i="11"/>
  <c r="O50" i="11"/>
  <c r="O49" i="11"/>
  <c r="O48" i="11"/>
  <c r="J48" i="11"/>
  <c r="I48" i="11"/>
  <c r="H48" i="11"/>
  <c r="G48" i="11"/>
  <c r="M48" i="11" s="1"/>
  <c r="F48" i="11"/>
  <c r="AC45" i="11"/>
  <c r="F45" i="11"/>
  <c r="O44" i="11"/>
  <c r="O42" i="11"/>
  <c r="J41" i="11"/>
  <c r="I41" i="11"/>
  <c r="H41" i="11"/>
  <c r="G41" i="11"/>
  <c r="F40" i="11"/>
  <c r="L39" i="11"/>
  <c r="K39" i="11"/>
  <c r="I39" i="11"/>
  <c r="I45" i="11" s="1"/>
  <c r="H39" i="11"/>
  <c r="H45" i="11" s="1"/>
  <c r="F39" i="11"/>
  <c r="L38" i="11"/>
  <c r="K38" i="11"/>
  <c r="J38" i="11"/>
  <c r="I38" i="11"/>
  <c r="M38" i="11" s="1"/>
  <c r="H38" i="11"/>
  <c r="G38" i="11"/>
  <c r="F38" i="11"/>
  <c r="O37" i="11"/>
  <c r="O36" i="11"/>
  <c r="M36" i="11"/>
  <c r="F36" i="11"/>
  <c r="B36" i="11"/>
  <c r="O35" i="11"/>
  <c r="M35" i="11"/>
  <c r="F35" i="11"/>
  <c r="B35" i="11"/>
  <c r="O34" i="11"/>
  <c r="M34" i="11"/>
  <c r="F34" i="11"/>
  <c r="B34" i="11"/>
  <c r="O33" i="11"/>
  <c r="M33" i="11"/>
  <c r="F33" i="11"/>
  <c r="B33" i="11"/>
  <c r="O32" i="11"/>
  <c r="M32" i="11"/>
  <c r="F32" i="11"/>
  <c r="B32" i="11"/>
  <c r="O31" i="11"/>
  <c r="M31" i="11"/>
  <c r="F31" i="11"/>
  <c r="B31" i="11"/>
  <c r="O30" i="11"/>
  <c r="M30" i="11"/>
  <c r="F30" i="11"/>
  <c r="B30" i="11"/>
  <c r="O29" i="11"/>
  <c r="M29" i="11"/>
  <c r="F29" i="11"/>
  <c r="B29" i="11"/>
  <c r="M28" i="11"/>
  <c r="F28" i="11"/>
  <c r="B28" i="11"/>
  <c r="O26" i="11"/>
  <c r="O25" i="11"/>
  <c r="O24" i="11"/>
  <c r="L24" i="11"/>
  <c r="G108" i="11" s="1"/>
  <c r="K24" i="11"/>
  <c r="J24" i="11"/>
  <c r="J39" i="11" s="1"/>
  <c r="J45" i="11" s="1"/>
  <c r="I24" i="11"/>
  <c r="H24" i="11"/>
  <c r="G24" i="11"/>
  <c r="G39" i="11" s="1"/>
  <c r="O23" i="11"/>
  <c r="M22" i="11"/>
  <c r="M21" i="11"/>
  <c r="O20" i="11"/>
  <c r="M20" i="11"/>
  <c r="O19" i="11"/>
  <c r="M19" i="11"/>
  <c r="O18" i="11"/>
  <c r="M18" i="11"/>
  <c r="O17" i="11"/>
  <c r="M17" i="11"/>
  <c r="O16" i="11"/>
  <c r="M16" i="11"/>
  <c r="O15" i="11"/>
  <c r="M15" i="11"/>
  <c r="M24" i="11" s="1"/>
  <c r="M14" i="11"/>
  <c r="O13" i="11"/>
  <c r="O12" i="11"/>
  <c r="O10" i="11"/>
  <c r="O6" i="11"/>
  <c r="G6" i="11"/>
  <c r="L106" i="11" l="1"/>
  <c r="H106" i="11"/>
  <c r="K106" i="11"/>
  <c r="K109" i="11" s="1"/>
  <c r="K114" i="11" s="1"/>
  <c r="G106" i="11"/>
  <c r="G109" i="11" s="1"/>
  <c r="G114" i="11" s="1"/>
  <c r="I106" i="11"/>
  <c r="M106" i="11"/>
  <c r="M25" i="11"/>
  <c r="J106" i="11"/>
  <c r="J109" i="11" s="1"/>
  <c r="J114" i="11" s="1"/>
  <c r="I25" i="11"/>
  <c r="J113" i="11"/>
  <c r="J110" i="11"/>
  <c r="B233" i="11"/>
  <c r="B217" i="11"/>
  <c r="B226" i="11" s="1"/>
  <c r="B175" i="11"/>
  <c r="B159" i="11"/>
  <c r="H71" i="11" a="1"/>
  <c r="H71" i="11" s="1"/>
  <c r="G45" i="11"/>
  <c r="K25" i="11"/>
  <c r="J73" i="11" a="1"/>
  <c r="J73" i="11" s="1"/>
  <c r="M39" i="11"/>
  <c r="I113" i="11"/>
  <c r="B92" i="11"/>
  <c r="B83" i="11"/>
  <c r="H79" i="11"/>
  <c r="B134" i="11" s="1"/>
  <c r="H68" i="11"/>
  <c r="J71" i="11" s="1" a="1"/>
  <c r="J71" i="11" s="1"/>
  <c r="B96" i="11"/>
  <c r="B87" i="11"/>
  <c r="L79" i="11"/>
  <c r="L70" i="11" a="1"/>
  <c r="L70" i="11" s="1"/>
  <c r="I71" i="11" a="1"/>
  <c r="I71" i="11" s="1"/>
  <c r="H25" i="11"/>
  <c r="J25" i="11"/>
  <c r="L82" i="11" a="1"/>
  <c r="L82" i="11" s="1"/>
  <c r="I68" i="11"/>
  <c r="G71" i="11" a="1"/>
  <c r="G71" i="11" s="1"/>
  <c r="L73" i="11" a="1"/>
  <c r="L73" i="11" s="1"/>
  <c r="L74" i="11" s="1" a="1"/>
  <c r="L74" i="11" s="1"/>
  <c r="B84" i="11"/>
  <c r="G25" i="11"/>
  <c r="B94" i="11"/>
  <c r="B85" i="11"/>
  <c r="I70" i="11" a="1"/>
  <c r="I70" i="11" s="1"/>
  <c r="J72" i="11" a="1"/>
  <c r="J72" i="11" s="1"/>
  <c r="G73" i="11" a="1"/>
  <c r="G73" i="11" s="1"/>
  <c r="K73" i="11" a="1"/>
  <c r="K73" i="11" s="1"/>
  <c r="G76" i="11" a="1"/>
  <c r="G76" i="11" s="1"/>
  <c r="K76" i="11" a="1"/>
  <c r="K76" i="11" s="1"/>
  <c r="G79" i="11"/>
  <c r="B112" i="11" s="1"/>
  <c r="K79" i="11"/>
  <c r="B200" i="11" s="1"/>
  <c r="G105" i="11"/>
  <c r="K105" i="11"/>
  <c r="B218" i="11"/>
  <c r="B227" i="11" s="1"/>
  <c r="B181" i="11"/>
  <c r="B234" i="11"/>
  <c r="B197" i="11"/>
  <c r="O7" i="11"/>
  <c r="M108" i="11"/>
  <c r="I108" i="11"/>
  <c r="L108" i="11"/>
  <c r="H108" i="11"/>
  <c r="L25" i="11"/>
  <c r="B86" i="11"/>
  <c r="H105" i="11"/>
  <c r="L102" i="11"/>
  <c r="J108" i="11"/>
  <c r="L86" i="11" l="1" a="1"/>
  <c r="L86" i="11" s="1"/>
  <c r="I86" i="11" a="1"/>
  <c r="I86" i="11" s="1"/>
  <c r="G86" i="11" a="1"/>
  <c r="G86" i="11" s="1"/>
  <c r="K113" i="11"/>
  <c r="K110" i="11"/>
  <c r="M182" i="11"/>
  <c r="I182" i="11"/>
  <c r="L182" i="11"/>
  <c r="H182" i="11"/>
  <c r="J182" i="11"/>
  <c r="K182" i="11"/>
  <c r="G182" i="11"/>
  <c r="J91" i="11" a="1"/>
  <c r="J91" i="11" s="1"/>
  <c r="M159" i="11"/>
  <c r="I159" i="11"/>
  <c r="L159" i="11"/>
  <c r="G159" i="11"/>
  <c r="K159" i="11"/>
  <c r="J159" i="11"/>
  <c r="H159" i="11"/>
  <c r="J93" i="11" a="1"/>
  <c r="J93" i="11" s="1"/>
  <c r="J96" i="11" a="1"/>
  <c r="J96" i="11" s="1"/>
  <c r="G96" i="11" a="1"/>
  <c r="G96" i="11" s="1"/>
  <c r="K83" i="11" a="1"/>
  <c r="K83" i="11" s="1"/>
  <c r="I83" i="11" a="1"/>
  <c r="I83" i="11" s="1"/>
  <c r="L83" i="11" a="1"/>
  <c r="L83" i="11" s="1"/>
  <c r="L88" i="11" s="1"/>
  <c r="M188" i="11"/>
  <c r="M189" i="11" s="1"/>
  <c r="I188" i="11"/>
  <c r="I189" i="11" s="1"/>
  <c r="L183" i="11"/>
  <c r="H183" i="11"/>
  <c r="L188" i="11"/>
  <c r="L189" i="11" s="1"/>
  <c r="H188" i="11"/>
  <c r="H189" i="11" s="1"/>
  <c r="K183" i="11"/>
  <c r="G183" i="11"/>
  <c r="J188" i="11"/>
  <c r="J189" i="11" s="1"/>
  <c r="M183" i="11"/>
  <c r="I183" i="11"/>
  <c r="K188" i="11"/>
  <c r="K189" i="11" s="1"/>
  <c r="G188" i="11"/>
  <c r="G189" i="11" s="1"/>
  <c r="J183" i="11"/>
  <c r="G113" i="11"/>
  <c r="G110" i="11"/>
  <c r="B235" i="11"/>
  <c r="B219" i="11"/>
  <c r="B228" i="11" s="1"/>
  <c r="B208" i="11"/>
  <c r="H77" i="11" a="1"/>
  <c r="H77" i="11" s="1"/>
  <c r="L75" i="11" a="1"/>
  <c r="L75" i="11" s="1"/>
  <c r="H72" i="11" a="1"/>
  <c r="H72" i="11" s="1"/>
  <c r="H92" i="11" s="1" a="1"/>
  <c r="H92" i="11" s="1"/>
  <c r="G70" i="11" a="1"/>
  <c r="G70" i="11" s="1"/>
  <c r="L84" i="11" a="1"/>
  <c r="L84" i="11" s="1"/>
  <c r="I84" i="11" a="1"/>
  <c r="I84" i="11" s="1"/>
  <c r="G84" i="11" a="1"/>
  <c r="G84" i="11" s="1"/>
  <c r="K84" i="11" a="1"/>
  <c r="K84" i="11" s="1"/>
  <c r="I76" i="11" a="1"/>
  <c r="I76" i="11" s="1"/>
  <c r="I73" i="11" a="1"/>
  <c r="I73" i="11" s="1"/>
  <c r="G78" i="11" a="1"/>
  <c r="G78" i="11" s="1"/>
  <c r="I82" i="11" a="1"/>
  <c r="I82" i="11" s="1"/>
  <c r="J92" i="11" a="1"/>
  <c r="J92" i="11" s="1"/>
  <c r="G92" i="11" a="1"/>
  <c r="G92" i="11" s="1"/>
  <c r="I77" i="11" a="1"/>
  <c r="I77" i="11" s="1"/>
  <c r="I78" i="11" a="1"/>
  <c r="I78" i="11" s="1"/>
  <c r="H109" i="11"/>
  <c r="H114" i="11" s="1"/>
  <c r="L105" i="11"/>
  <c r="M102" i="11"/>
  <c r="M105" i="11" s="1"/>
  <c r="B231" i="11"/>
  <c r="B215" i="11"/>
  <c r="B224" i="11" s="1"/>
  <c r="B115" i="11"/>
  <c r="B131" i="11"/>
  <c r="J122" i="11"/>
  <c r="J123" i="11" s="1"/>
  <c r="M117" i="11"/>
  <c r="I117" i="11"/>
  <c r="M122" i="11"/>
  <c r="M123" i="11" s="1"/>
  <c r="I122" i="11"/>
  <c r="I123" i="11" s="1"/>
  <c r="L117" i="11"/>
  <c r="H117" i="11"/>
  <c r="G122" i="11"/>
  <c r="G123" i="11" s="1"/>
  <c r="J117" i="11"/>
  <c r="L122" i="11"/>
  <c r="L123" i="11" s="1"/>
  <c r="K117" i="11"/>
  <c r="K122" i="11"/>
  <c r="K123" i="11" s="1"/>
  <c r="H122" i="11"/>
  <c r="H123" i="11" s="1"/>
  <c r="G117" i="11"/>
  <c r="I85" i="11" a="1"/>
  <c r="I85" i="11" s="1"/>
  <c r="G85" i="11" a="1"/>
  <c r="G85" i="11" s="1"/>
  <c r="L85" i="11" a="1"/>
  <c r="L85" i="11" s="1"/>
  <c r="J95" i="11" a="1"/>
  <c r="J95" i="11" s="1"/>
  <c r="K77" i="11" a="1"/>
  <c r="K77" i="11" s="1"/>
  <c r="H73" i="11" a="1"/>
  <c r="H73" i="11" s="1"/>
  <c r="K75" i="11" a="1"/>
  <c r="K75" i="11" s="1"/>
  <c r="G77" i="11" a="1"/>
  <c r="G77" i="11" s="1"/>
  <c r="H76" i="11" a="1"/>
  <c r="H76" i="11" s="1"/>
  <c r="G75" i="11" a="1"/>
  <c r="G75" i="11" s="1"/>
  <c r="L78" i="11" a="1"/>
  <c r="L78" i="11" s="1"/>
  <c r="L71" i="11" a="1"/>
  <c r="L71" i="11" s="1"/>
  <c r="M71" i="11" s="1"/>
  <c r="M109" i="11"/>
  <c r="M114" i="11" s="1"/>
  <c r="H113" i="11"/>
  <c r="H110" i="11"/>
  <c r="O8" i="11"/>
  <c r="L77" i="11" a="1"/>
  <c r="L77" i="11" s="1"/>
  <c r="L72" i="11" a="1"/>
  <c r="L72" i="11" s="1"/>
  <c r="K70" i="11" a="1"/>
  <c r="K70" i="11" s="1"/>
  <c r="L94" i="11" a="1"/>
  <c r="L94" i="11" s="1"/>
  <c r="J94" i="11" a="1"/>
  <c r="J94" i="11" s="1"/>
  <c r="H94" i="11" a="1"/>
  <c r="H94" i="11" s="1"/>
  <c r="K71" i="11" a="1"/>
  <c r="K71" i="11" s="1"/>
  <c r="K87" i="11" a="1"/>
  <c r="K87" i="11" s="1"/>
  <c r="I87" i="11" a="1"/>
  <c r="I87" i="11" s="1"/>
  <c r="G87" i="11" a="1"/>
  <c r="G87" i="11" s="1"/>
  <c r="L87" i="11" a="1"/>
  <c r="L87" i="11" s="1"/>
  <c r="B216" i="11"/>
  <c r="B225" i="11" s="1"/>
  <c r="B232" i="11"/>
  <c r="B137" i="11"/>
  <c r="B153" i="11"/>
  <c r="I75" i="11" a="1"/>
  <c r="I75" i="11" s="1"/>
  <c r="G165" i="11" s="1"/>
  <c r="M45" i="11"/>
  <c r="K72" i="11" a="1"/>
  <c r="K72" i="11" s="1"/>
  <c r="G72" i="11" a="1"/>
  <c r="G72" i="11" s="1"/>
  <c r="I72" i="11" a="1"/>
  <c r="I72" i="11" s="1"/>
  <c r="H70" i="11" a="1"/>
  <c r="H70" i="11" s="1"/>
  <c r="H86" i="11" s="1" a="1"/>
  <c r="H86" i="11" s="1"/>
  <c r="I109" i="11"/>
  <c r="L109" i="11"/>
  <c r="L114" i="11" s="1"/>
  <c r="J70" i="11" a="1"/>
  <c r="J70" i="11" s="1"/>
  <c r="J181" i="11" l="1"/>
  <c r="M181" i="11"/>
  <c r="I181" i="11"/>
  <c r="I185" i="11" s="1"/>
  <c r="I191" i="11" s="1"/>
  <c r="H181" i="11"/>
  <c r="L181" i="11"/>
  <c r="K181" i="11"/>
  <c r="G181" i="11"/>
  <c r="J82" i="11" a="1"/>
  <c r="J82" i="11" s="1"/>
  <c r="J75" i="11" a="1"/>
  <c r="J75" i="11" s="1"/>
  <c r="J77" i="11" a="1"/>
  <c r="J77" i="11" s="1"/>
  <c r="K95" i="11" a="1"/>
  <c r="K95" i="11" s="1"/>
  <c r="K91" i="11" a="1"/>
  <c r="K91" i="11" s="1"/>
  <c r="I114" i="11"/>
  <c r="I110" i="11"/>
  <c r="I187" i="11"/>
  <c r="I165" i="11"/>
  <c r="L160" i="11"/>
  <c r="H160" i="11"/>
  <c r="H163" i="11" s="1"/>
  <c r="H169" i="11" s="1"/>
  <c r="I160" i="11"/>
  <c r="M160" i="11"/>
  <c r="G160" i="11"/>
  <c r="K160" i="11"/>
  <c r="K163" i="11" s="1"/>
  <c r="K169" i="11" s="1"/>
  <c r="J160" i="11"/>
  <c r="I93" i="11" a="1"/>
  <c r="I93" i="11" s="1"/>
  <c r="I95" i="11" a="1"/>
  <c r="I95" i="11" s="1"/>
  <c r="I91" i="11" a="1"/>
  <c r="I91" i="11" s="1"/>
  <c r="K93" i="11" a="1"/>
  <c r="K93" i="11" s="1"/>
  <c r="L93" i="11" a="1"/>
  <c r="L93" i="11" s="1"/>
  <c r="L91" i="11" a="1"/>
  <c r="L91" i="11" s="1"/>
  <c r="L95" i="11" a="1"/>
  <c r="L95" i="11" s="1"/>
  <c r="J85" i="11" a="1"/>
  <c r="J85" i="11" s="1"/>
  <c r="I92" i="11" a="1"/>
  <c r="I92" i="11" s="1"/>
  <c r="I88" i="11"/>
  <c r="J84" i="11" a="1"/>
  <c r="J84" i="11" s="1"/>
  <c r="L96" i="11" a="1"/>
  <c r="L96" i="11" s="1"/>
  <c r="J116" i="11"/>
  <c r="J118" i="11" s="1"/>
  <c r="M116" i="11"/>
  <c r="I116" i="11"/>
  <c r="I118" i="11" s="1"/>
  <c r="G116" i="11"/>
  <c r="G118" i="11" s="1"/>
  <c r="L116" i="11"/>
  <c r="L119" i="11" s="1"/>
  <c r="L125" i="11" s="1"/>
  <c r="K116" i="11"/>
  <c r="H116" i="11"/>
  <c r="M72" i="11"/>
  <c r="G95" i="11" a="1"/>
  <c r="G95" i="11" s="1"/>
  <c r="G91" i="11" a="1"/>
  <c r="G91" i="11" s="1"/>
  <c r="G93" i="11" a="1"/>
  <c r="G93" i="11" s="1"/>
  <c r="H87" i="11" a="1"/>
  <c r="H87" i="11" s="1"/>
  <c r="H93" i="11" a="1"/>
  <c r="H93" i="11" s="1"/>
  <c r="G94" i="11" a="1"/>
  <c r="G94" i="11" s="1"/>
  <c r="H75" i="11" a="1"/>
  <c r="H75" i="11" s="1"/>
  <c r="M187" i="11"/>
  <c r="M165" i="11"/>
  <c r="M143" i="11"/>
  <c r="M110" i="11"/>
  <c r="M163" i="11"/>
  <c r="M169" i="11" s="1"/>
  <c r="M113" i="11"/>
  <c r="M118" i="11" s="1"/>
  <c r="K115" i="11"/>
  <c r="G115" i="11"/>
  <c r="J115" i="11"/>
  <c r="I115" i="11"/>
  <c r="I119" i="11" s="1"/>
  <c r="I125" i="11" s="1"/>
  <c r="M115" i="11"/>
  <c r="M119" i="11" s="1"/>
  <c r="M125" i="11" s="1"/>
  <c r="H115" i="11"/>
  <c r="M70" i="11"/>
  <c r="L115" i="11"/>
  <c r="G82" i="11" a="1"/>
  <c r="G82" i="11" s="1"/>
  <c r="G88" i="11" s="1"/>
  <c r="G74" i="11" a="1"/>
  <c r="G74" i="11" s="1"/>
  <c r="G83" i="11" a="1"/>
  <c r="G83" i="11" s="1"/>
  <c r="K96" i="11" a="1"/>
  <c r="K96" i="11" s="1"/>
  <c r="K165" i="11"/>
  <c r="K94" i="11" a="1"/>
  <c r="K94" i="11" s="1"/>
  <c r="H165" i="11"/>
  <c r="L187" i="11"/>
  <c r="L165" i="11"/>
  <c r="L113" i="11"/>
  <c r="L110" i="11"/>
  <c r="L121" i="11"/>
  <c r="L163" i="11"/>
  <c r="L169" i="11" s="1"/>
  <c r="J165" i="11"/>
  <c r="L166" i="11"/>
  <c r="L167" i="11" s="1"/>
  <c r="H166" i="11"/>
  <c r="H167" i="11" s="1"/>
  <c r="H204" i="11" s="1"/>
  <c r="K161" i="11"/>
  <c r="G161" i="11"/>
  <c r="J166" i="11"/>
  <c r="J167" i="11" s="1"/>
  <c r="J204" i="11" s="1"/>
  <c r="I166" i="11"/>
  <c r="I167" i="11" s="1"/>
  <c r="J161" i="11"/>
  <c r="M166" i="11"/>
  <c r="M167" i="11" s="1"/>
  <c r="G166" i="11"/>
  <c r="G167" i="11" s="1"/>
  <c r="G204" i="11" s="1"/>
  <c r="I161" i="11"/>
  <c r="K166" i="11"/>
  <c r="K167" i="11" s="1"/>
  <c r="K204" i="11" s="1"/>
  <c r="M161" i="11"/>
  <c r="L161" i="11"/>
  <c r="H161" i="11"/>
  <c r="I74" i="11" a="1"/>
  <c r="I74" i="11" s="1"/>
  <c r="I163" i="11" s="1"/>
  <c r="I169" i="11" s="1"/>
  <c r="M138" i="11"/>
  <c r="I138" i="11"/>
  <c r="L138" i="11"/>
  <c r="H138" i="11"/>
  <c r="J138" i="11"/>
  <c r="G138" i="11"/>
  <c r="K138" i="11"/>
  <c r="H91" i="11" a="1"/>
  <c r="H91" i="11" s="1"/>
  <c r="H95" i="11" a="1"/>
  <c r="H95" i="11" s="1"/>
  <c r="M204" i="11"/>
  <c r="J83" i="11" a="1"/>
  <c r="J83" i="11" s="1"/>
  <c r="H96" i="11" a="1"/>
  <c r="H96" i="11" s="1"/>
  <c r="J86" i="11" a="1"/>
  <c r="J86" i="11" s="1"/>
  <c r="J137" i="11"/>
  <c r="M137" i="11"/>
  <c r="M141" i="11" s="1"/>
  <c r="M147" i="11" s="1"/>
  <c r="I137" i="11"/>
  <c r="I143" i="11" s="1"/>
  <c r="L137" i="11"/>
  <c r="L143" i="11" s="1"/>
  <c r="H137" i="11"/>
  <c r="K137" i="11"/>
  <c r="G137" i="11"/>
  <c r="H78" i="11" a="1"/>
  <c r="H78" i="11" s="1"/>
  <c r="H82" i="11" a="1"/>
  <c r="H82" i="11" s="1"/>
  <c r="J87" i="11" a="1"/>
  <c r="J87" i="11" s="1"/>
  <c r="I94" i="11" a="1"/>
  <c r="I94" i="11" s="1"/>
  <c r="J203" i="11"/>
  <c r="M203" i="11"/>
  <c r="I203" i="11"/>
  <c r="H203" i="11"/>
  <c r="G203" i="11"/>
  <c r="L203" i="11"/>
  <c r="K203" i="11"/>
  <c r="K78" i="11" a="1"/>
  <c r="K78" i="11" s="1"/>
  <c r="K74" i="11" a="1"/>
  <c r="K74" i="11" s="1"/>
  <c r="K82" i="11" a="1"/>
  <c r="K82" i="11" s="1"/>
  <c r="O9" i="11"/>
  <c r="H118" i="11"/>
  <c r="M144" i="11"/>
  <c r="M145" i="11" s="1"/>
  <c r="I144" i="11"/>
  <c r="I145" i="11" s="1"/>
  <c r="I204" i="11" s="1"/>
  <c r="L139" i="11"/>
  <c r="H139" i="11"/>
  <c r="L144" i="11"/>
  <c r="L145" i="11" s="1"/>
  <c r="L204" i="11" s="1"/>
  <c r="H144" i="11"/>
  <c r="H145" i="11" s="1"/>
  <c r="K139" i="11"/>
  <c r="G139" i="11"/>
  <c r="I139" i="11"/>
  <c r="M139" i="11"/>
  <c r="K144" i="11"/>
  <c r="K145" i="11" s="1"/>
  <c r="J144" i="11"/>
  <c r="J145" i="11" s="1"/>
  <c r="G144" i="11"/>
  <c r="G145" i="11" s="1"/>
  <c r="J139" i="11"/>
  <c r="H74" i="11" a="1"/>
  <c r="H74" i="11" s="1"/>
  <c r="H85" i="11" a="1"/>
  <c r="H85" i="11" s="1"/>
  <c r="K85" i="11" a="1"/>
  <c r="K85" i="11" s="1"/>
  <c r="K92" i="11" a="1"/>
  <c r="K92" i="11" s="1"/>
  <c r="L92" i="11" a="1"/>
  <c r="L92" i="11" s="1"/>
  <c r="H84" i="11" a="1"/>
  <c r="H84" i="11" s="1"/>
  <c r="J78" i="11" a="1"/>
  <c r="J78" i="11" s="1"/>
  <c r="J74" i="11" a="1"/>
  <c r="J74" i="11" s="1"/>
  <c r="M185" i="11" s="1"/>
  <c r="M191" i="11" s="1"/>
  <c r="H83" i="11" a="1"/>
  <c r="H83" i="11" s="1"/>
  <c r="I96" i="11" a="1"/>
  <c r="I96" i="11" s="1"/>
  <c r="J97" i="11"/>
  <c r="K118" i="11"/>
  <c r="K86" i="11" a="1"/>
  <c r="K86" i="11" s="1"/>
  <c r="G124" i="11" l="1"/>
  <c r="G187" i="11"/>
  <c r="G185" i="11"/>
  <c r="G191" i="11" s="1"/>
  <c r="H124" i="11"/>
  <c r="O11" i="11"/>
  <c r="G141" i="11"/>
  <c r="G147" i="11" s="1"/>
  <c r="G143" i="11"/>
  <c r="H121" i="11"/>
  <c r="H231" i="11" s="1"/>
  <c r="H119" i="11"/>
  <c r="H125" i="11" s="1"/>
  <c r="G121" i="11"/>
  <c r="G231" i="11" s="1"/>
  <c r="G119" i="11"/>
  <c r="G125" i="11" s="1"/>
  <c r="J124" i="11"/>
  <c r="J127" i="11"/>
  <c r="I97" i="11"/>
  <c r="I141" i="11"/>
  <c r="I147" i="11" s="1"/>
  <c r="K97" i="11"/>
  <c r="J88" i="11"/>
  <c r="H187" i="11"/>
  <c r="H185" i="11"/>
  <c r="H191" i="11" s="1"/>
  <c r="K143" i="11"/>
  <c r="K141" i="11"/>
  <c r="K147" i="11" s="1"/>
  <c r="H97" i="11"/>
  <c r="L231" i="11"/>
  <c r="L118" i="11"/>
  <c r="L185" i="11"/>
  <c r="L191" i="11" s="1"/>
  <c r="K121" i="11"/>
  <c r="K231" i="11" s="1"/>
  <c r="K119" i="11"/>
  <c r="K125" i="11" s="1"/>
  <c r="L97" i="11"/>
  <c r="G163" i="11"/>
  <c r="G169" i="11" s="1"/>
  <c r="K124" i="11"/>
  <c r="K127" i="11"/>
  <c r="K88" i="11"/>
  <c r="H88" i="11"/>
  <c r="H143" i="11"/>
  <c r="H141" i="11"/>
  <c r="H147" i="11" s="1"/>
  <c r="J143" i="11"/>
  <c r="J141" i="11"/>
  <c r="J147" i="11" s="1"/>
  <c r="L141" i="11"/>
  <c r="L147" i="11" s="1"/>
  <c r="M124" i="11"/>
  <c r="M121" i="11"/>
  <c r="M231" i="11" s="1"/>
  <c r="I124" i="11"/>
  <c r="I121" i="11"/>
  <c r="I231" i="11" s="1"/>
  <c r="K187" i="11"/>
  <c r="K185" i="11"/>
  <c r="K191" i="11" s="1"/>
  <c r="J121" i="11"/>
  <c r="J231" i="11" s="1"/>
  <c r="J119" i="11"/>
  <c r="J125" i="11" s="1"/>
  <c r="G97" i="11"/>
  <c r="J163" i="11"/>
  <c r="J169" i="11" s="1"/>
  <c r="J185" i="11"/>
  <c r="J191" i="11" s="1"/>
  <c r="J187" i="11"/>
  <c r="J130" i="11" l="1"/>
  <c r="J135" i="11"/>
  <c r="J140" i="11" s="1"/>
  <c r="J128" i="11"/>
  <c r="I127" i="11"/>
  <c r="L124" i="11"/>
  <c r="L127" i="11"/>
  <c r="K232" i="11"/>
  <c r="K135" i="11"/>
  <c r="K140" i="11" s="1"/>
  <c r="K128" i="11"/>
  <c r="K130" i="11"/>
  <c r="O14" i="11"/>
  <c r="G127" i="11"/>
  <c r="M127" i="11"/>
  <c r="H127" i="11"/>
  <c r="M130" i="11" l="1"/>
  <c r="M128" i="11"/>
  <c r="M135" i="11"/>
  <c r="H128" i="11"/>
  <c r="H135" i="11"/>
  <c r="H130" i="11"/>
  <c r="K131" i="11"/>
  <c r="J129" i="11"/>
  <c r="J136" i="11"/>
  <c r="K129" i="11"/>
  <c r="K136" i="11"/>
  <c r="I130" i="11"/>
  <c r="I135" i="11"/>
  <c r="I128" i="11"/>
  <c r="J146" i="11"/>
  <c r="J149" i="11"/>
  <c r="J232" i="11"/>
  <c r="G135" i="11"/>
  <c r="G128" i="11"/>
  <c r="G130" i="11"/>
  <c r="O21" i="11"/>
  <c r="K146" i="11"/>
  <c r="K149" i="11"/>
  <c r="L128" i="11"/>
  <c r="L130" i="11"/>
  <c r="J131" i="11"/>
  <c r="G140" i="11" l="1"/>
  <c r="G232" i="11"/>
  <c r="I129" i="11"/>
  <c r="I136" i="11"/>
  <c r="H129" i="11"/>
  <c r="H136" i="11"/>
  <c r="M140" i="11"/>
  <c r="M232" i="11"/>
  <c r="L135" i="11"/>
  <c r="K157" i="11"/>
  <c r="K150" i="11"/>
  <c r="K151" i="11" s="1"/>
  <c r="K152" i="11"/>
  <c r="K153" i="11" s="1"/>
  <c r="K154" i="11" s="1"/>
  <c r="O27" i="11"/>
  <c r="O28" i="11"/>
  <c r="O38" i="11" s="1"/>
  <c r="O39" i="11" s="1"/>
  <c r="G129" i="11"/>
  <c r="G136" i="11"/>
  <c r="K158" i="11"/>
  <c r="H140" i="11"/>
  <c r="H232" i="11"/>
  <c r="K132" i="11"/>
  <c r="L129" i="11"/>
  <c r="L131" i="11" s="1"/>
  <c r="L136" i="11"/>
  <c r="I140" i="11"/>
  <c r="I232" i="11"/>
  <c r="J132" i="11"/>
  <c r="G131" i="11"/>
  <c r="J150" i="11"/>
  <c r="J151" i="11" s="1"/>
  <c r="J152" i="11"/>
  <c r="J157" i="11" s="1"/>
  <c r="I131" i="11"/>
  <c r="H131" i="11"/>
  <c r="O22" i="11"/>
  <c r="M129" i="11"/>
  <c r="M131" i="11" s="1"/>
  <c r="M136" i="11"/>
  <c r="M132" i="11" l="1"/>
  <c r="J162" i="11"/>
  <c r="J233" i="11"/>
  <c r="L132" i="11"/>
  <c r="J158" i="11"/>
  <c r="I146" i="11"/>
  <c r="I149" i="11"/>
  <c r="L140" i="11"/>
  <c r="L232" i="11"/>
  <c r="O40" i="11"/>
  <c r="O41" i="11" s="1"/>
  <c r="O43" i="11" s="1"/>
  <c r="O45" i="11" s="1"/>
  <c r="O46" i="11" s="1"/>
  <c r="O47" i="11" s="1"/>
  <c r="O51" i="11" s="1"/>
  <c r="O52" i="11" s="1"/>
  <c r="O53" i="11" s="1"/>
  <c r="O55" i="11" s="1"/>
  <c r="O56" i="11" s="1"/>
  <c r="O66" i="11" s="1"/>
  <c r="O67" i="11" s="1"/>
  <c r="O68" i="11" s="1"/>
  <c r="O70" i="11" s="1"/>
  <c r="O71" i="11" s="1"/>
  <c r="O72" i="11" s="1"/>
  <c r="O73" i="11" s="1"/>
  <c r="O74" i="11" s="1"/>
  <c r="O75" i="11" s="1"/>
  <c r="O76" i="11" s="1"/>
  <c r="O77" i="11" s="1"/>
  <c r="O78" i="11" s="1"/>
  <c r="O79" i="11" s="1"/>
  <c r="O81" i="11" s="1"/>
  <c r="O90" i="11" s="1"/>
  <c r="O102" i="11" s="1"/>
  <c r="O103" i="11" s="1"/>
  <c r="O104" i="11" s="1"/>
  <c r="O105" i="11" s="1"/>
  <c r="O106" i="11" s="1"/>
  <c r="O107" i="11" s="1"/>
  <c r="O108" i="11" s="1"/>
  <c r="O109" i="11" s="1"/>
  <c r="O110" i="11" s="1"/>
  <c r="O113" i="11" s="1"/>
  <c r="O114" i="11" s="1"/>
  <c r="O115" i="11" s="1"/>
  <c r="O116" i="11" s="1"/>
  <c r="O117" i="11" s="1"/>
  <c r="O118" i="11" s="1"/>
  <c r="O119" i="11" s="1"/>
  <c r="O120" i="11" s="1"/>
  <c r="O121" i="11" s="1"/>
  <c r="O122" i="11" s="1"/>
  <c r="O123" i="11" s="1"/>
  <c r="O124" i="11" s="1"/>
  <c r="O125" i="11" s="1"/>
  <c r="O126" i="11" s="1"/>
  <c r="O127" i="11" s="1"/>
  <c r="O128" i="11" s="1"/>
  <c r="O129" i="11" s="1"/>
  <c r="O130" i="11" s="1"/>
  <c r="O131" i="11" s="1"/>
  <c r="O132" i="11" s="1"/>
  <c r="O211" i="11" s="1"/>
  <c r="O212" i="11" s="1"/>
  <c r="O220" i="11" s="1"/>
  <c r="O221" i="11" s="1"/>
  <c r="O231" i="11" s="1"/>
  <c r="O238" i="11" s="1"/>
  <c r="O239" i="11" s="1"/>
  <c r="O253" i="11" s="1"/>
  <c r="O265" i="11" s="1"/>
  <c r="O294" i="11" s="1"/>
  <c r="O325" i="11" s="1"/>
  <c r="O326" i="11" s="1"/>
  <c r="O331" i="11" s="1"/>
  <c r="I132" i="11"/>
  <c r="G132" i="11"/>
  <c r="G146" i="11"/>
  <c r="G149" i="11"/>
  <c r="H132" i="11"/>
  <c r="J153" i="11"/>
  <c r="H146" i="11"/>
  <c r="H149" i="11"/>
  <c r="K162" i="11"/>
  <c r="K233" i="11"/>
  <c r="M146" i="11"/>
  <c r="M149" i="11"/>
  <c r="K168" i="11" l="1"/>
  <c r="K171" i="11"/>
  <c r="J168" i="11"/>
  <c r="J171" i="11"/>
  <c r="M152" i="11"/>
  <c r="M150" i="11"/>
  <c r="J154" i="11"/>
  <c r="G150" i="11"/>
  <c r="G157" i="11"/>
  <c r="G152" i="11"/>
  <c r="H152" i="11"/>
  <c r="H150" i="11"/>
  <c r="H157" i="11"/>
  <c r="L146" i="11"/>
  <c r="L149" i="11"/>
  <c r="I152" i="11"/>
  <c r="I157" i="11"/>
  <c r="I150" i="11"/>
  <c r="I151" i="11" l="1"/>
  <c r="I158" i="11"/>
  <c r="I162" i="11"/>
  <c r="I233" i="11"/>
  <c r="H162" i="11"/>
  <c r="H233" i="11"/>
  <c r="K179" i="11"/>
  <c r="K174" i="11"/>
  <c r="K172" i="11"/>
  <c r="I153" i="11"/>
  <c r="H151" i="11"/>
  <c r="H158" i="11"/>
  <c r="G162" i="11"/>
  <c r="G233" i="11"/>
  <c r="M151" i="11"/>
  <c r="M153" i="11" s="1"/>
  <c r="M158" i="11"/>
  <c r="J174" i="11"/>
  <c r="J179" i="11"/>
  <c r="J172" i="11"/>
  <c r="L152" i="11"/>
  <c r="L150" i="11"/>
  <c r="H153" i="11"/>
  <c r="G151" i="11"/>
  <c r="G153" i="11" s="1"/>
  <c r="G158" i="11"/>
  <c r="M157" i="11"/>
  <c r="G154" i="11" l="1"/>
  <c r="M154" i="11"/>
  <c r="M162" i="11"/>
  <c r="M233" i="11"/>
  <c r="J184" i="11"/>
  <c r="J234" i="11"/>
  <c r="J236" i="11" s="1"/>
  <c r="I154" i="11"/>
  <c r="K184" i="11"/>
  <c r="K234" i="11"/>
  <c r="K236" i="11" s="1"/>
  <c r="L153" i="11"/>
  <c r="K173" i="11"/>
  <c r="K180" i="11"/>
  <c r="L157" i="11"/>
  <c r="L151" i="11"/>
  <c r="L158" i="11"/>
  <c r="J175" i="11"/>
  <c r="G168" i="11"/>
  <c r="G171" i="11"/>
  <c r="I168" i="11"/>
  <c r="I171" i="11"/>
  <c r="H154" i="11"/>
  <c r="J173" i="11"/>
  <c r="J180" i="11"/>
  <c r="K175" i="11"/>
  <c r="H168" i="11"/>
  <c r="H171" i="11"/>
  <c r="I174" i="11" l="1"/>
  <c r="I179" i="11"/>
  <c r="I172" i="11"/>
  <c r="K176" i="11"/>
  <c r="L154" i="11"/>
  <c r="J190" i="11"/>
  <c r="J193" i="11"/>
  <c r="G172" i="11"/>
  <c r="G174" i="11"/>
  <c r="M168" i="11"/>
  <c r="M171" i="11"/>
  <c r="J176" i="11"/>
  <c r="L162" i="11"/>
  <c r="L233" i="11"/>
  <c r="H172" i="11"/>
  <c r="H179" i="11"/>
  <c r="H174" i="11"/>
  <c r="K190" i="11"/>
  <c r="K193" i="11"/>
  <c r="J194" i="11" l="1"/>
  <c r="J196" i="11"/>
  <c r="K194" i="11"/>
  <c r="K196" i="11"/>
  <c r="H173" i="11"/>
  <c r="H175" i="11" s="1"/>
  <c r="H180" i="11"/>
  <c r="G173" i="11"/>
  <c r="G175" i="11" s="1"/>
  <c r="G180" i="11"/>
  <c r="I173" i="11"/>
  <c r="I175" i="11" s="1"/>
  <c r="I180" i="11"/>
  <c r="H184" i="11"/>
  <c r="H234" i="11"/>
  <c r="H236" i="11" s="1"/>
  <c r="M172" i="11"/>
  <c r="M174" i="11"/>
  <c r="G179" i="11"/>
  <c r="I184" i="11"/>
  <c r="I234" i="11"/>
  <c r="I236" i="11" s="1"/>
  <c r="L168" i="11"/>
  <c r="L171" i="11"/>
  <c r="G176" i="11" l="1"/>
  <c r="I176" i="11"/>
  <c r="H176" i="11"/>
  <c r="G184" i="11"/>
  <c r="G234" i="11"/>
  <c r="G236" i="11" s="1"/>
  <c r="K197" i="11"/>
  <c r="J195" i="11"/>
  <c r="J197" i="11" s="1"/>
  <c r="J205" i="11"/>
  <c r="J206" i="11" s="1"/>
  <c r="J202" i="11"/>
  <c r="M173" i="11"/>
  <c r="M175" i="11" s="1"/>
  <c r="M180" i="11"/>
  <c r="H190" i="11"/>
  <c r="H193" i="11"/>
  <c r="K201" i="11"/>
  <c r="K207" i="11" s="1"/>
  <c r="K209" i="11" s="1"/>
  <c r="J201" i="11"/>
  <c r="J207" i="11" s="1"/>
  <c r="J209" i="11" s="1"/>
  <c r="L172" i="11"/>
  <c r="L174" i="11"/>
  <c r="L179" i="11"/>
  <c r="I190" i="11"/>
  <c r="I193" i="11"/>
  <c r="M179" i="11"/>
  <c r="K195" i="11"/>
  <c r="K205" i="11"/>
  <c r="K206" i="11" s="1"/>
  <c r="K202" i="11"/>
  <c r="J198" i="11" l="1"/>
  <c r="M176" i="11"/>
  <c r="L184" i="11"/>
  <c r="L234" i="11"/>
  <c r="L236" i="11" s="1"/>
  <c r="K198" i="11"/>
  <c r="I196" i="11"/>
  <c r="I201" i="11"/>
  <c r="I207" i="11" s="1"/>
  <c r="I194" i="11"/>
  <c r="L173" i="11"/>
  <c r="L175" i="11" s="1"/>
  <c r="L180" i="11"/>
  <c r="K208" i="11"/>
  <c r="K211" i="11" s="1"/>
  <c r="K212" i="11" s="1"/>
  <c r="K186" i="11"/>
  <c r="K192" i="11" s="1"/>
  <c r="K120" i="11"/>
  <c r="K126" i="11" s="1"/>
  <c r="K164" i="11"/>
  <c r="K170" i="11" s="1"/>
  <c r="K142" i="11"/>
  <c r="K148" i="11" s="1"/>
  <c r="M184" i="11"/>
  <c r="M234" i="11"/>
  <c r="M236" i="11" s="1"/>
  <c r="H196" i="11"/>
  <c r="H194" i="11"/>
  <c r="G190" i="11"/>
  <c r="G193" i="11"/>
  <c r="J208" i="11"/>
  <c r="J211" i="11" s="1"/>
  <c r="J212" i="11" s="1"/>
  <c r="J186" i="11"/>
  <c r="J192" i="11" s="1"/>
  <c r="J164" i="11"/>
  <c r="J170" i="11" s="1"/>
  <c r="J142" i="11"/>
  <c r="J148" i="11" s="1"/>
  <c r="J120" i="11"/>
  <c r="J126" i="11" s="1"/>
  <c r="L176" i="11" l="1"/>
  <c r="H195" i="11"/>
  <c r="H205" i="11"/>
  <c r="H206" i="11" s="1"/>
  <c r="H202" i="11"/>
  <c r="K217" i="11"/>
  <c r="K226" i="11" s="1"/>
  <c r="J217" i="11"/>
  <c r="J226" i="11" s="1"/>
  <c r="G194" i="11"/>
  <c r="G196" i="11"/>
  <c r="G201" i="11"/>
  <c r="G207" i="11" s="1"/>
  <c r="H197" i="11"/>
  <c r="K216" i="11"/>
  <c r="K225" i="11" s="1"/>
  <c r="J219" i="11"/>
  <c r="J228" i="11" s="1"/>
  <c r="J218" i="11"/>
  <c r="J227" i="11" s="1"/>
  <c r="K218" i="11"/>
  <c r="K227" i="11" s="1"/>
  <c r="L190" i="11"/>
  <c r="L193" i="11"/>
  <c r="J215" i="11"/>
  <c r="H201" i="11"/>
  <c r="H207" i="11" s="1"/>
  <c r="M190" i="11"/>
  <c r="M193" i="11"/>
  <c r="I195" i="11"/>
  <c r="I197" i="11" s="1"/>
  <c r="I205" i="11"/>
  <c r="I206" i="11" s="1"/>
  <c r="I209" i="11" s="1"/>
  <c r="I202" i="11"/>
  <c r="K219" i="11"/>
  <c r="K228" i="11" s="1"/>
  <c r="K215" i="11"/>
  <c r="J216" i="11"/>
  <c r="J225" i="11" s="1"/>
  <c r="I208" i="11" l="1"/>
  <c r="I211" i="11" s="1"/>
  <c r="I212" i="11" s="1"/>
  <c r="I186" i="11"/>
  <c r="I192" i="11" s="1"/>
  <c r="I164" i="11"/>
  <c r="I170" i="11" s="1"/>
  <c r="I142" i="11"/>
  <c r="I148" i="11" s="1"/>
  <c r="I120" i="11"/>
  <c r="I126" i="11" s="1"/>
  <c r="I198" i="11"/>
  <c r="I216" i="11"/>
  <c r="I225" i="11" s="1"/>
  <c r="I218" i="11"/>
  <c r="I227" i="11" s="1"/>
  <c r="I215" i="11"/>
  <c r="I217" i="11"/>
  <c r="I226" i="11" s="1"/>
  <c r="M196" i="11"/>
  <c r="M201" i="11"/>
  <c r="M207" i="11" s="1"/>
  <c r="M194" i="11"/>
  <c r="L196" i="11"/>
  <c r="L201" i="11"/>
  <c r="L207" i="11" s="1"/>
  <c r="L194" i="11"/>
  <c r="H198" i="11"/>
  <c r="H209" i="11"/>
  <c r="K220" i="11"/>
  <c r="K221" i="11" s="1"/>
  <c r="K224" i="11"/>
  <c r="J220" i="11"/>
  <c r="J221" i="11" s="1"/>
  <c r="J224" i="11"/>
  <c r="G195" i="11"/>
  <c r="G197" i="11" s="1"/>
  <c r="G205" i="11"/>
  <c r="G206" i="11" s="1"/>
  <c r="G209" i="11" s="1"/>
  <c r="G202" i="11"/>
  <c r="G198" i="11" l="1"/>
  <c r="G216" i="11"/>
  <c r="G225" i="11" s="1"/>
  <c r="G217" i="11"/>
  <c r="G226" i="11" s="1"/>
  <c r="G219" i="11"/>
  <c r="G228" i="11" s="1"/>
  <c r="G208" i="11"/>
  <c r="G211" i="11" s="1"/>
  <c r="G212" i="11" s="1"/>
  <c r="G186" i="11"/>
  <c r="G192" i="11" s="1"/>
  <c r="G120" i="11"/>
  <c r="G126" i="11" s="1"/>
  <c r="G164" i="11"/>
  <c r="G170" i="11" s="1"/>
  <c r="G142" i="11"/>
  <c r="G148" i="11" s="1"/>
  <c r="M195" i="11"/>
  <c r="M205" i="11"/>
  <c r="M206" i="11" s="1"/>
  <c r="M202" i="11"/>
  <c r="L195" i="11"/>
  <c r="L205" i="11"/>
  <c r="L206" i="11" s="1"/>
  <c r="L202" i="11"/>
  <c r="K247" i="11"/>
  <c r="K260" i="11" s="1"/>
  <c r="K245" i="11"/>
  <c r="K258" i="11" s="1"/>
  <c r="K243" i="11"/>
  <c r="K256" i="11" s="1"/>
  <c r="K241" i="11"/>
  <c r="K254" i="11" s="1"/>
  <c r="K246" i="11"/>
  <c r="K259" i="11" s="1"/>
  <c r="K244" i="11"/>
  <c r="K257" i="11" s="1"/>
  <c r="K240" i="11"/>
  <c r="K242" i="11"/>
  <c r="K255" i="11" s="1"/>
  <c r="L197" i="11"/>
  <c r="I219" i="11"/>
  <c r="I228" i="11" s="1"/>
  <c r="J246" i="11"/>
  <c r="J259" i="11" s="1"/>
  <c r="J244" i="11"/>
  <c r="J257" i="11" s="1"/>
  <c r="J242" i="11"/>
  <c r="J255" i="11" s="1"/>
  <c r="J240" i="11"/>
  <c r="J243" i="11"/>
  <c r="J256" i="11" s="1"/>
  <c r="J241" i="11"/>
  <c r="J254" i="11" s="1"/>
  <c r="J245" i="11"/>
  <c r="J258" i="11" s="1"/>
  <c r="J247" i="11"/>
  <c r="J260" i="11" s="1"/>
  <c r="M209" i="11"/>
  <c r="I224" i="11"/>
  <c r="I220" i="11"/>
  <c r="I221" i="11" s="1"/>
  <c r="H186" i="11"/>
  <c r="H192" i="11" s="1"/>
  <c r="H208" i="11"/>
  <c r="H164" i="11"/>
  <c r="H170" i="11" s="1"/>
  <c r="H142" i="11"/>
  <c r="H148" i="11" s="1"/>
  <c r="H120" i="11"/>
  <c r="H126" i="11" s="1"/>
  <c r="L209" i="11"/>
  <c r="M197" i="11"/>
  <c r="M198" i="11" l="1"/>
  <c r="L186" i="11"/>
  <c r="L192" i="11" s="1"/>
  <c r="L208" i="11"/>
  <c r="L211" i="11" s="1"/>
  <c r="L212" i="11" s="1"/>
  <c r="L142" i="11"/>
  <c r="L148" i="11" s="1"/>
  <c r="L164" i="11"/>
  <c r="L170" i="11" s="1"/>
  <c r="L120" i="11"/>
  <c r="L126" i="11" s="1"/>
  <c r="J253" i="11"/>
  <c r="J248" i="11"/>
  <c r="G218" i="11"/>
  <c r="G227" i="11" s="1"/>
  <c r="I246" i="11"/>
  <c r="I259" i="11" s="1"/>
  <c r="I244" i="11"/>
  <c r="I257" i="11" s="1"/>
  <c r="I242" i="11"/>
  <c r="I255" i="11" s="1"/>
  <c r="I240" i="11"/>
  <c r="I245" i="11"/>
  <c r="I258" i="11" s="1"/>
  <c r="I243" i="11"/>
  <c r="I256" i="11" s="1"/>
  <c r="I247" i="11"/>
  <c r="I260" i="11" s="1"/>
  <c r="I241" i="11"/>
  <c r="I254" i="11" s="1"/>
  <c r="H211" i="11"/>
  <c r="H212" i="11" s="1"/>
  <c r="G9" i="11" s="1"/>
  <c r="H218" i="11"/>
  <c r="H227" i="11" s="1"/>
  <c r="H215" i="11"/>
  <c r="H217" i="11"/>
  <c r="H226" i="11" s="1"/>
  <c r="H216" i="11"/>
  <c r="H225" i="11" s="1"/>
  <c r="H219" i="11"/>
  <c r="H228" i="11" s="1"/>
  <c r="M186" i="11"/>
  <c r="M192" i="11" s="1"/>
  <c r="M164" i="11"/>
  <c r="M170" i="11" s="1"/>
  <c r="M208" i="11"/>
  <c r="M211" i="11" s="1"/>
  <c r="M212" i="11" s="1"/>
  <c r="M142" i="11"/>
  <c r="M148" i="11" s="1"/>
  <c r="M120" i="11"/>
  <c r="M126" i="11" s="1"/>
  <c r="K248" i="11"/>
  <c r="K253" i="11"/>
  <c r="L198" i="11"/>
  <c r="L218" i="11"/>
  <c r="L227" i="11" s="1"/>
  <c r="G215" i="11"/>
  <c r="G224" i="11" l="1"/>
  <c r="G220" i="11"/>
  <c r="G221" i="11" s="1"/>
  <c r="L215" i="11"/>
  <c r="K261" i="11"/>
  <c r="K249" i="11"/>
  <c r="I253" i="11"/>
  <c r="I248" i="11"/>
  <c r="M217" i="11"/>
  <c r="M226" i="11" s="1"/>
  <c r="M219" i="11"/>
  <c r="M228" i="11" s="1"/>
  <c r="L219" i="11"/>
  <c r="L228" i="11" s="1"/>
  <c r="L217" i="11"/>
  <c r="L226" i="11" s="1"/>
  <c r="H224" i="11"/>
  <c r="H220" i="11"/>
  <c r="H221" i="11" s="1"/>
  <c r="M218" i="11"/>
  <c r="M227" i="11" s="1"/>
  <c r="M215" i="11"/>
  <c r="L216" i="11"/>
  <c r="L225" i="11" s="1"/>
  <c r="J249" i="11"/>
  <c r="J261" i="11"/>
  <c r="M216" i="11"/>
  <c r="M225" i="11" s="1"/>
  <c r="H247" i="11" l="1"/>
  <c r="H260" i="11" s="1"/>
  <c r="H245" i="11"/>
  <c r="H258" i="11" s="1"/>
  <c r="H243" i="11"/>
  <c r="H256" i="11" s="1"/>
  <c r="H241" i="11"/>
  <c r="H254" i="11" s="1"/>
  <c r="H240" i="11"/>
  <c r="H246" i="11"/>
  <c r="H259" i="11" s="1"/>
  <c r="H244" i="11"/>
  <c r="H257" i="11" s="1"/>
  <c r="H242" i="11"/>
  <c r="H255" i="11" s="1"/>
  <c r="M224" i="11"/>
  <c r="M220" i="11"/>
  <c r="M221" i="11" s="1"/>
  <c r="I249" i="11"/>
  <c r="I261" i="11"/>
  <c r="L224" i="11"/>
  <c r="L220" i="11"/>
  <c r="L221" i="11" s="1"/>
  <c r="G247" i="11"/>
  <c r="G260" i="11" s="1"/>
  <c r="G245" i="11"/>
  <c r="G258" i="11" s="1"/>
  <c r="G243" i="11"/>
  <c r="G256" i="11" s="1"/>
  <c r="G241" i="11"/>
  <c r="G254" i="11" s="1"/>
  <c r="G242" i="11"/>
  <c r="G255" i="11" s="1"/>
  <c r="G240" i="11"/>
  <c r="G246" i="11"/>
  <c r="G259" i="11" s="1"/>
  <c r="G244" i="11"/>
  <c r="G257" i="11" s="1"/>
  <c r="G248" i="11" l="1"/>
  <c r="G253" i="11"/>
  <c r="L247" i="11"/>
  <c r="L260" i="11" s="1"/>
  <c r="L245" i="11"/>
  <c r="L258" i="11" s="1"/>
  <c r="L243" i="11"/>
  <c r="L256" i="11" s="1"/>
  <c r="L241" i="11"/>
  <c r="L254" i="11" s="1"/>
  <c r="L244" i="11"/>
  <c r="L257" i="11" s="1"/>
  <c r="L242" i="11"/>
  <c r="L255" i="11" s="1"/>
  <c r="L246" i="11"/>
  <c r="L259" i="11" s="1"/>
  <c r="L240" i="11"/>
  <c r="M246" i="11"/>
  <c r="M259" i="11" s="1"/>
  <c r="M244" i="11"/>
  <c r="M257" i="11" s="1"/>
  <c r="M242" i="11"/>
  <c r="M255" i="11" s="1"/>
  <c r="M240" i="11"/>
  <c r="M241" i="11"/>
  <c r="M254" i="11" s="1"/>
  <c r="M247" i="11"/>
  <c r="M260" i="11" s="1"/>
  <c r="M245" i="11"/>
  <c r="M258" i="11" s="1"/>
  <c r="M243" i="11"/>
  <c r="M256" i="11" s="1"/>
  <c r="H253" i="11"/>
  <c r="H248" i="11"/>
  <c r="H261" i="11" l="1"/>
  <c r="H249" i="11"/>
  <c r="M253" i="11"/>
  <c r="M248" i="11"/>
  <c r="L253" i="11"/>
  <c r="L248" i="11"/>
  <c r="G261" i="11"/>
  <c r="G249" i="11"/>
  <c r="M249" i="11" l="1"/>
  <c r="M261" i="11"/>
  <c r="L261" i="11"/>
  <c r="L249" i="11"/>
  <c r="B2" i="9" l="1"/>
  <c r="D13" i="9" l="1"/>
  <c r="D20" i="9" l="1"/>
  <c r="B12" i="9"/>
  <c r="B7" i="9"/>
  <c r="B6" i="9"/>
  <c r="B5"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<sst xmlns="http://schemas.openxmlformats.org/spreadsheetml/2006/main" count="391" uniqueCount="229">
  <si>
    <t>This is an example waterfall distribution, primarily created to show how different preference structures impacts distribution of proceeds</t>
  </si>
  <si>
    <t>Exit Valuation</t>
  </si>
  <si>
    <t>$</t>
  </si>
  <si>
    <t>Base assumption, used to create the midpoint of the range of exit valuations below. Change as you wish. By default I calculate it at 2x the last round share price * the total fully-diluted shares, but feel free to write over the formula, I do that simply to automatically create a decent starting point.</t>
  </si>
  <si>
    <t>Distribution to equity shareholders</t>
  </si>
  <si>
    <t>#</t>
  </si>
  <si>
    <t>Price per Share</t>
  </si>
  <si>
    <t>average; distribution to shareholders may vary based on the waterfall and distributions to different classes of shareholders</t>
  </si>
  <si>
    <t>Exit Date</t>
  </si>
  <si>
    <t>-</t>
  </si>
  <si>
    <t>Assumed 2 years in future from today (which will also be two years from the last investment round on the cap table if the dates are unchanged). Change for your specific situation or expectation</t>
  </si>
  <si>
    <t>Waterfall Analysis</t>
  </si>
  <si>
    <t>%</t>
  </si>
  <si>
    <t>Increase and decrease of enterprise values examined in waterfall, per step. You can also overwrite the exit valuations directly and use whatever values you want.</t>
  </si>
  <si>
    <t>Use iterations / resolve circulars?</t>
  </si>
  <si>
    <t>y/n</t>
  </si>
  <si>
    <t>If the capital structure involves rounds with a mixture of full participating and participating preferred with a cap option, the methods necessary to calculate this accurately require iterative calculations. If you select "no", the results are an approximation. For exact calcs, it is necessary to select "yes" and turn on iterations in Excel, under Preferences &gt; Calculation&gt; Limit Iterations</t>
  </si>
  <si>
    <t>Does proceeds distributed = total proceeds?</t>
  </si>
  <si>
    <t>Do the total proceeds distributed equal the total proceeds from the exit? If this is "No", then you have to turn iterations / circulars on to resolve the differences, it's not possible to calculate accurately without circulars.</t>
  </si>
  <si>
    <t>Pre-Distribution Cap Table</t>
  </si>
  <si>
    <t>This isn't always part of an exit waterfall, but it's nice to be clear in how the different investors have ownership in different share classes.</t>
  </si>
  <si>
    <t>Investors</t>
  </si>
  <si>
    <t>C</t>
  </si>
  <si>
    <t>B</t>
  </si>
  <si>
    <t>A</t>
  </si>
  <si>
    <t>Seed</t>
  </si>
  <si>
    <t>Common</t>
  </si>
  <si>
    <t>Options</t>
  </si>
  <si>
    <t>Total</t>
  </si>
  <si>
    <t>Options Exercised</t>
  </si>
  <si>
    <t>Option Pool</t>
  </si>
  <si>
    <t>Note that the ungranted and unexercised options are cancelled, and not included in the fully-diluted shares at exit.</t>
  </si>
  <si>
    <t>Total Fully-Diluted Shares</t>
  </si>
  <si>
    <t>Invested and Converted Capital</t>
  </si>
  <si>
    <t xml:space="preserve">This detail is important and gets used in defining the liquidation preferences. By default it is calculated </t>
  </si>
  <si>
    <t>Share Price per Round</t>
  </si>
  <si>
    <t>na</t>
  </si>
  <si>
    <t>This detail is important and gets used in defining the liquidation preferences</t>
  </si>
  <si>
    <t>Investment Date</t>
  </si>
  <si>
    <t>Assumes all investments in the same share class have the same date, feel free to adjust, or assume an "average" investment date</t>
  </si>
  <si>
    <t>Dividends</t>
  </si>
  <si>
    <t>Type of Dividends / Interest</t>
  </si>
  <si>
    <t>Liquidation Preferences</t>
  </si>
  <si>
    <t>The model assumes a standard 1x invested capital liquidation preference for all preferred shareholders. The lines below refer to specifics around if the preferred has participation rights.</t>
  </si>
  <si>
    <t>Liquidation Preferences, multiple of Invested Capital</t>
  </si>
  <si>
    <t>Optional: What are the participation rights of this Preferred share class?</t>
  </si>
  <si>
    <t>Non Participating Preferred</t>
  </si>
  <si>
    <t>The dropdowns here for the preferred outline three scenarios for the preferred: non participating, full participation, and participating with a cap. They refer to three different ways in which a preferred share class could have participation rights. Details, check out https://capgenius.com/2011/03/31/participatingpfd/</t>
  </si>
  <si>
    <t>Optional: If there is a cap on participation, what is the cap, as a multiple of invested capital?</t>
  </si>
  <si>
    <t>Only applies if "participating preferred with a cap" is selected in the dropdown above. See the link in the previous note to understand what this means.</t>
  </si>
  <si>
    <t>Optional: Cap on Participation</t>
  </si>
  <si>
    <t>Optional: 1 Preferred Shares converts to N Common Shares</t>
  </si>
  <si>
    <t>Exit Waterfall, showing distribution to shares</t>
  </si>
  <si>
    <t>Here I've created a range of valuations to show how the waterfall changes - how different shareholders earn more / less - based on different exits. You don't necessarily need to do a lot of different exit valuations, but it can be useful to understand.</t>
  </si>
  <si>
    <t>Equals the fully-diluted shares above</t>
  </si>
  <si>
    <t>Residual Amount</t>
  </si>
  <si>
    <t>Meaning, the amount left over after the liquidation preferences are paid to the share class more senior to this one.</t>
  </si>
  <si>
    <t>Remaining Shares, all Investors</t>
  </si>
  <si>
    <t>Meaning, the number of shares that have not been paid - yet - before this share class is taken care of.</t>
  </si>
  <si>
    <t>Shares in this share class.</t>
  </si>
  <si>
    <t>Liquidation Preference</t>
  </si>
  <si>
    <t>What the liquidation preference would be, if it was taken. Ignores any accumulated interest and adding it to preference, assumes 1x liquidation preference</t>
  </si>
  <si>
    <t>Cap on Participation</t>
  </si>
  <si>
    <t>What the cap on the participation would be, if it applies. Assumes 1x liquidation preference, so invested capital  = liquidation preference. This tests to see if there is a cap on the participation. "na" means it's not applicable (i.e. the preferred doesn't have participation rights, "0" means there is no cap, a number means there is a cap, and it calculates the cap on participation. Note this is in addition to the liquidation preference above.</t>
  </si>
  <si>
    <t>Note: Implied Proceeds if Convert to Common</t>
  </si>
  <si>
    <t>The "implied" is important here, because the actual may be different. The formula does an odd-looking IF statement, and this is only done to try and make it easier to not use circulars in the model.</t>
  </si>
  <si>
    <t>Participate with common?</t>
  </si>
  <si>
    <t>Preferred Shares participate with Common</t>
  </si>
  <si>
    <t>why is this calculated? To catch the case for participating preferred with a cap where the proceeds are over the cap, but less than would be earned by converting to common. This is called the zone of indifference, and for exit values within this area, the proceeds to this shareholder will be static over different exit values. a note on the formula: the INDEX(MATCH) construction is merely looking to see which participation it should use for the actual participation rights of this shareholder class.</t>
  </si>
  <si>
    <t>the amount of the implied proceeds attributable to participation of the preferred with the common, if they participated.</t>
  </si>
  <si>
    <t>Convert to common?</t>
  </si>
  <si>
    <t>This tests multiple conditions to see what earns the investor more: convert to common, or take the terms of their preferred? This flag helps tell the other formulas what to do.</t>
  </si>
  <si>
    <t>Shares Convert to Common</t>
  </si>
  <si>
    <t>So, remember that it is gnerally the choice of preferred shareholders to take the distribution under the terms of the rights of their preferred shares, or convert their shares to common. We are assming a 1:1 conversion ratio, although that may not always be the case.</t>
  </si>
  <si>
    <t>Proceeds from Conversion to Common</t>
  </si>
  <si>
    <t>This is all pretty straightforward, except the participation is a little tricky. Generally this can cause issues with circular references in Excel. But essentially it's just testing to see if there is any participation.</t>
  </si>
  <si>
    <t>So, what does the shareholder get? Either convert to common * common share price, or liquidation preference (maximum the amount available to distribute to this share class), or liquidation preference + participation with the common.</t>
  </si>
  <si>
    <t>Proceeds per share</t>
  </si>
  <si>
    <t>The price per share that they receive. This may vary from the average price per share for *all* shareholders.</t>
  </si>
  <si>
    <t>Common Shares</t>
  </si>
  <si>
    <t>Preferred Participate with Common</t>
  </si>
  <si>
    <t>Preferred Converted to Common</t>
  </si>
  <si>
    <t>Total Common, Converted to Common, Participate with Common</t>
  </si>
  <si>
    <t>Amount Post Preferences</t>
  </si>
  <si>
    <t>Total Proceeds, all shareholders</t>
  </si>
  <si>
    <t>A summary, to make sure the per-share class numbers add up to the exit valuation.</t>
  </si>
  <si>
    <t>Check: Proceeds = Exit Value?</t>
  </si>
  <si>
    <t>A check to make sure total proceeds distributed = total proceeds from exit. Zero means they are equal. If this is not equal to zero, first thing to do is use the "yes/no" dropdown on D12 to choose "yes", so that the model uses the formulas that account for liquidation preferences in different rounds.</t>
  </si>
  <si>
    <t>Summary - Proceeds</t>
  </si>
  <si>
    <t>Detail - Liquidation Preferences</t>
  </si>
  <si>
    <t>This detail helps understand what preferences are used; it is also used for the estimates in the "non-circulars" calculations.</t>
  </si>
  <si>
    <t>Exit Waterfall, showing proceeds to shareholders</t>
  </si>
  <si>
    <t>Pretty simple, just showing what each shareholder gets in each scenario, taking into account the different share classes they own.</t>
  </si>
  <si>
    <t>You may need to adjust these if you change the setup of shareholders above, or insert or delete rows if you change the pre-distribution cap table</t>
  </si>
  <si>
    <t>Exit Waterfall, showing ROI to shareholders</t>
  </si>
  <si>
    <t>The formula calculates the return (proceeds - invested capital) in aggregate for all classes of shares each shareholder owns.</t>
  </si>
  <si>
    <t>Note: Participation for Preferred Shareholders</t>
  </si>
  <si>
    <t>Used in the participation calculations on this sheet. Do not delete. You can rename the what the participation types are called, but you can't change the order of the "meaning" of the different participation types.</t>
  </si>
  <si>
    <t>Participating Preferred with a Cap</t>
  </si>
  <si>
    <t>Full Participating Preferred</t>
  </si>
  <si>
    <t>Note: Dividend Options</t>
  </si>
  <si>
    <t>Used to set the dividen options. Do not delete</t>
  </si>
  <si>
    <t>Non Cumulative</t>
  </si>
  <si>
    <t>Cumulative</t>
  </si>
  <si>
    <t>Not Declared</t>
  </si>
  <si>
    <t>Investor</t>
  </si>
  <si>
    <t>This is a reference calculation that I use when calculating the participation for the full participating and participating with a cap options, if iterative calculations are turned off.</t>
  </si>
  <si>
    <t>This is used if dividends are declared to preferred shareholders and paid at exit</t>
  </si>
  <si>
    <t>Waterfall Distribution of Proceeds</t>
  </si>
  <si>
    <t>Assuming all issued and outstanding options are vested and exercised</t>
  </si>
  <si>
    <t>Investments through convertible instruments should be tracked under the share class that they own, not the round they invested in</t>
  </si>
  <si>
    <t>not including costs to purchase options in the invested capital</t>
  </si>
  <si>
    <t>this is a check of the invested capital from above matches the share price * issued and outstanding shares</t>
  </si>
  <si>
    <t>For dividends that are paid at exit, as a distribution to shareholders.</t>
  </si>
  <si>
    <t>Not declared = no dividends, non cumulative = a one-time dividend (investment amount * interest rate), cumulative is for dividends paid annually, so interest rate * investment amount * # of years from investment to exit</t>
  </si>
  <si>
    <t>Annual or One-Time Dividend or Interest Rate</t>
  </si>
  <si>
    <t>annual or one-time rate, if dividends are declared</t>
  </si>
  <si>
    <t>created from default assumption of exit valuation, and a range of alternative exit valuations</t>
  </si>
  <si>
    <t>Repayment of debt (investors on cap table)</t>
  </si>
  <si>
    <t>repayment of debt, prior to distribution to equity shareholders</t>
  </si>
  <si>
    <t>Repayment of debt (not on cap table)</t>
  </si>
  <si>
    <t>repayment of debt, to investors not on the cap table. These two lines are separated only because investors on the cap table have prebuilt structures to calculate their returns, investors on the cap table do not. The formula in the inputs assumes the debt repayment is the same across all exit ranges, but feel free to adjust if need be.</t>
  </si>
  <si>
    <t>A chart that shows the % of proceeds distributed to each shareholder class. Helpful as a quick visualization</t>
  </si>
  <si>
    <t>A chart that shows the total proceeds distributed to each shareholder class. Helpful as a quick visualization</t>
  </si>
  <si>
    <t>Seniority of Shareholder Classes</t>
  </si>
  <si>
    <t>Invested Capital (Shares * Share Price)</t>
  </si>
  <si>
    <t>Invested Capital (Sum of above)</t>
  </si>
  <si>
    <t>Shareholder Class</t>
  </si>
  <si>
    <t>this can be expanded to as many rows for as many investors as you want to model. Simply insert rows in each section that tracks each investor - this section for shares, later ones for invested capital, proceeds, % ROI, etc. - and copy the formulas down, and everything will work automatically.</t>
  </si>
  <si>
    <t>Shares per Calculation Block</t>
  </si>
  <si>
    <t>Name for Calculation Block</t>
  </si>
  <si>
    <t>from the shareholder classes above</t>
  </si>
  <si>
    <t>in case you want to rename the calculation blocks, if you move around the seniority of the shareholder classes.</t>
  </si>
  <si>
    <t>set which round is senior to, or pari-passu to, the other rounds. By default it assumes each subsequent round is senior to the previous, but this structure allows you to determine the seniority or pari-passu treatment completely flexibly</t>
  </si>
  <si>
    <t>calculated from the settings in the row above, allocates the share classes to the calculation blocks. If you assume pari-passu treatment, the calcs will assume to use the settings (liquidation preference terms, dividends, conversion settings) from the share class logged here.</t>
  </si>
  <si>
    <t>Total per Calculation Block</t>
  </si>
  <si>
    <t>Liquidation Preferences per Calculation Block</t>
  </si>
  <si>
    <t>Liquidation Preferences Allocation, % of Calculation Blocks per Shareholder Class</t>
  </si>
  <si>
    <t>Share Allocation, % of Calculation Blocks per Shareholder Class</t>
  </si>
  <si>
    <t>Invested Capital per Calculation Block</t>
  </si>
  <si>
    <t>Check: Proceeds to Calculation Blocks = Proceeds to Shareholder Classes?</t>
  </si>
  <si>
    <t>A check to make sure total proceeds to the calculation blocks = total proceeds to the shareholder classes. Should equal zero in all cells in this row</t>
  </si>
  <si>
    <t>Summary - Proceeds per share</t>
  </si>
  <si>
    <t>Check, proceeds to individual shareholders = proceeds to shareholder classes?</t>
  </si>
  <si>
    <t>Options for Dropdowns</t>
  </si>
  <si>
    <t>Do not delete</t>
  </si>
  <si>
    <t>this section allocates the shareholder classes to the calculation blocks. This is used to calculate the proceeds to shareholders after the proceeds to each calculation block has happened.</t>
  </si>
  <si>
    <t>this section allocates the liquidation preferences to the calculation blocks. This is used to calculate the proceeds to shareholders after the proceeds to each calculation block has happened. It assumes the preference terms from the relevant calculation block (i.e. it does not blend participation rights, cap on participation, etc. if they differ by share class.</t>
  </si>
  <si>
    <t>this is a helper calc to show more detailed information; if it was nonparticipating, what would the proceeds be?</t>
  </si>
  <si>
    <t>this is a helper calc to show more detailed information; if it was participating with a cap, what would the proceeds be?</t>
  </si>
  <si>
    <t>this is a helper calc to show more detailed information; if it was full participating, what would the proceeds be?</t>
  </si>
  <si>
    <t>"yes" means the shares have participation rights, "no" means they do not, or that they are not exercising those rights and are converting to common</t>
  </si>
  <si>
    <t>no</t>
  </si>
  <si>
    <t>Per Share Class above, treat as Senior or Pari-Passu to</t>
  </si>
  <si>
    <t>by default, the model assumes each shareholder class is senior to the round before it. This section allows you to break from that assumption, and create groups to treat some shareholder classes as pari-passu, or to re-order the seniority</t>
  </si>
  <si>
    <t>Average Cap on Participation</t>
  </si>
  <si>
    <t>Average Conversion Ratio, 1 Preferred Share to N Common Shares</t>
  </si>
  <si>
    <t>Participating Rights assumed per Calculation Block</t>
  </si>
  <si>
    <t>calculated per calculation block from the shares allocated to each block</t>
  </si>
  <si>
    <t>calculated using the weighted average of shares allocated to each calculation block</t>
  </si>
  <si>
    <t>by structural default, the model assumes the same participation rights for all shareholders allocated to this calculation block, regardless of the participation rights in the per round assumptions. You should structure the pari-passu allocations so that this term is the same for all calculation blocks</t>
  </si>
  <si>
    <t>by structural default, the model assumes the same dividend structure for all shareholders allocated to this calculation block, regardless of the per round assumptions. You should structure the pari-passu allocations so that this term is the same for all calculation blocks</t>
  </si>
  <si>
    <t>weighted average of conversion ratio for shares allocated to this calculation block</t>
  </si>
  <si>
    <t>weighted average for all shares allocated to this calculation block</t>
  </si>
  <si>
    <t>Average Investment Date, per Calculation Block</t>
  </si>
  <si>
    <t>License Agreement</t>
  </si>
  <si>
    <t>This license agreement is also at https://foresight.is/license</t>
  </si>
  <si>
    <t>This License Agreement (“the Agreement”) between you, the licensee, and Unstructured Ventures, LLC (the “Company”) a limited liability corporation headquartered and registered in the Commonwealth of Pennsylvania and organized under the laws of the state of Delaware. The Company owns the financial model templates (the “Product”) and any edits, additions, customizations to the financial model templates, and custom models (the "Service") delivered under this Agreement. This Agreement grants you a non-exclusive, non-transferable right to use and incorporate the Product and Service in personal and corporate projects for the organization that purchased the Product and/or Service.</t>
  </si>
  <si>
    <t>You agree as follows:</t>
  </si>
  <si>
    <t>1. Scope of use</t>
  </si>
  <si>
    <t xml:space="preserve">    * Use and incorporate the Product and/or Service in personal and commercial projects for your company including financial models, business plans, pitch decks, etc.</t>
  </si>
  <si>
    <t xml:space="preserve">    * You may modify the Product and/or Service to better serve your project.</t>
  </si>
  <si>
    <t xml:space="preserve">    * You are granted unlimited usage of the Product and/or Service purchased in your organization.</t>
  </si>
  <si>
    <t xml:space="preserve">    * If an organization is the licensee, all employees of the organization may use the same license.</t>
  </si>
  <si>
    <t>2. Limitations and non-use</t>
  </si>
  <si>
    <t xml:space="preserve">    * You may not redistribute, sublicense or resell the Product and/or Service.</t>
  </si>
  <si>
    <t xml:space="preserve">    * You may not distribute, license or sell derivative, recompiled, reverse engineered, or modified versions of the Product and/or Service.</t>
  </si>
  <si>
    <t xml:space="preserve">    * You may not use the Product and/or Service as in projects for other organizations.</t>
  </si>
  <si>
    <t xml:space="preserve">    * If your customers would like to use the Product and/or Service as a part of their own product, you must obtain a separate license for each client.</t>
  </si>
  <si>
    <t xml:space="preserve">    * The Product and/or Service is provided “as is” without a warranty of any kind, either expressed or implied.</t>
  </si>
  <si>
    <t xml:space="preserve">    * The Company owns all right, title, intellectual property, and interest in the Product and/or Service.</t>
  </si>
  <si>
    <t xml:space="preserve">    * The design, text, graphics, selection and arrangement in the Product and/or Service are the copyright © of the Company, all rights reserved.</t>
  </si>
  <si>
    <t>The Company’s liability to you for costs, damages, or other losses arising from your use of the Product and/or Service — including third-party claims against you — is limited to a refund of your license fee of the Product and the fees paid related to the Service in question. The Company may not be held liable for any consequential damages related to your use of the Product and/orService. We are not financial advisors, planners, brokers, or tax advisors, and the Company, Product, and Service are not intended to provide legal, tax, or financial advice. Your financial situation is unique, and any information and advice obtained through the Product and/or Service may not be appropriate for your situation. Accordingly, before making any final decisions or implementing any financial strategy, you should consider obtaining additional information and advice from your accountant or other financial advisers who are fully aware of your individual situation.</t>
  </si>
  <si>
    <t>TO THE FULLEST EXTENT PERMITTED BY LAW, WE AND OUR AFFILIATES, SUPPLIERS AND DISTRIBUTORS MAKE NO WARRANTIES, EITHER EXPRESS OR IMPLIED, ABOUT THE PRODUCTS AND SERVICES. THE PRODUCTS AND SERVICES ARE PROVIDED "AS IS." WE ALSO DISCLAIM ANY WARRANTIES OF MERCHANTABILITY, FITNESS FOR A PARTICULAR PURPOSE AND NON-INFRINGEMENT.  INFORMATION AND OPINIONS RECEIVED VIA THE PRODUCT, SERVICE, AND WEBSITE SHOULD NOT BE RELIED UPON FOR PERSONAL, MEDICAL, LEGAL OR FINANCIAL DECISIONS AND YOU SHOULD CONSULT AN APPROPRIATE PROFESSIONAL FOR SPECIFIC ADVICE TAILORED TO YOUR SITUATION.</t>
  </si>
  <si>
    <t>TO THE FULLEST EXTENT PERMITTED BY LAW, IN NO EVENT WILL WE, OUR AFFILIATES, SUPPLIERS OR DISTRIBUTORS BE LIABLE FOR ANY INDIRECT, SPECIAL, INCIDENTAL, PUNITIVE, EXEMPLARY OR CONSEQUENTIAL DAMAGES OR ANY LOSS OF USE, DATA, BUSINESS, OR PROFITS, REGARDLESS OF LEGAL THEORY, WHETHER OR NOT WE HAVE BEEN WARNED OF THE POSSIBILITY OF SUCH DAMAGES, AND EVEN IF A REMEDY FAILS OF ITS ESSENTIAL PURPOSE.</t>
  </si>
  <si>
    <t>This Agreement is governed by the laws of the Commonwealth of Pennsylvania and the applicable laws of the United States of America. Legal proceedings related to this Agreement may only be brought in the courts of Pennsylvania. You agree to service of process at the e-mail address on your original order. Notices may be sent to Unstructured Ventures, LLC by email to hello@unstructuredventures.com or by post to Unstructured Ventures, LLC, 6360 Broad St, #5226, Pittsburgh, PA, 15206, USA.</t>
  </si>
  <si>
    <t>CHANGELOG</t>
  </si>
  <si>
    <t>v1.0.0 - April 7, 2020</t>
  </si>
  <si>
    <t>Questions, ask hello@foresight.is anytime.</t>
  </si>
  <si>
    <t>Creating Changelog in the first version of the Exit Waterfall Tool distributed as a stand alone model.</t>
  </si>
  <si>
    <t>v1.0.1 - April 9, 2020</t>
  </si>
  <si>
    <t>Edited row 44 - dividends selection for the data validation to draw from the correct set of cells across the entire row</t>
  </si>
  <si>
    <t>Edited proceeds per share class to included dividends (not included in the default B, A, and Seed rounds)</t>
  </si>
  <si>
    <t>Edited dividends calculation for each round, to correct for the noncumulative option</t>
  </si>
  <si>
    <t>by Foresight</t>
  </si>
  <si>
    <t>Copyright 2020 Unstructured Ventures, LLC</t>
  </si>
  <si>
    <t>LICENSE</t>
  </si>
  <si>
    <t>SUPPORT</t>
  </si>
  <si>
    <t>Support independent entrepreneurs.</t>
  </si>
  <si>
    <t>Use of this model signifies acceptance of license</t>
  </si>
  <si>
    <t>GOAL</t>
  </si>
  <si>
    <t>UPDATES</t>
  </si>
  <si>
    <t>Goal of this model is to create an easy way for anyone to model a startup business. The model uses external market data where applicable and estimates by Taylor when necessary. You should adjust all metrics and inputs to fit your business.</t>
  </si>
  <si>
    <t>If you purchase this through https://foresight.is, updates are distributed automatically through my transaction provider (as long as you do not unsubscribe.) If you purchase through any other website, updates to the model require registration with Foresight; email Taylor at hello@foresight.is with your payment receipt to register.</t>
  </si>
  <si>
    <t>HOW TO USE</t>
  </si>
  <si>
    <t>DOCUMENTATION</t>
  </si>
  <si>
    <t>1) Any number in blue with grey shaded background is an input (i.e. an assumption or data point that can be changed), anything in black is the result of a formula. Change blue at will, change anything in black with caution.</t>
  </si>
  <si>
    <t>2) Notes on what's changed in versions of the template are on the "Changelog" sheet.</t>
  </si>
  <si>
    <t>3) As with all templates, feel free to create your own model from scratch, using this as a guide. The intent is for this model to be easy to plug and play and answer the major business questions, but I would expect you to need to make changes or build custom analyses for your specific business.</t>
  </si>
  <si>
    <t>SKU</t>
  </si>
  <si>
    <t>tool</t>
  </si>
  <si>
    <t>foresight.is</t>
  </si>
  <si>
    <t>hello</t>
  </si>
  <si>
    <t>exit</t>
  </si>
  <si>
    <t>waterfall</t>
  </si>
  <si>
    <t>% of Options Exercised</t>
  </si>
  <si>
    <t>v1.0.2 - April 24, 2020</t>
  </si>
  <si>
    <t>Added new option to change the fully-diluted shares used for each exit valuation level; namely, this is for modeling any options or warrants that would not be exercised at that effective share price. At the moment it's just a manual input, requiring the user to build their own logic for how many of the options or warrants would not be exercised, but it opens up for that possibility, and could be extended in future if people find this valuable.</t>
  </si>
  <si>
    <t>cap-table</t>
  </si>
  <si>
    <t>Calculation to allow for options or warrants to not be executed based on price per share for each exit valuation. There is prebuilt logic here, but you may have to adjust for your particular situation</t>
  </si>
  <si>
    <t># of Options Not Exercised</t>
  </si>
  <si>
    <t>Optional: If Options, Strike Price</t>
  </si>
  <si>
    <t>Total Issued and Outstanding Shares</t>
  </si>
  <si>
    <t>% of Issued and Outstanding Shares</t>
  </si>
  <si>
    <t>this is to capture debt repayments (convertible notes, etc.) that are not captured through the distribution to equity shareholders. This is a manual calculation because of the complexity in calculating at different exit valuations, but many debt repayments are highly specific to the situation and may need to be adjusted.</t>
  </si>
  <si>
    <t>expectation is that each note - or similar notes summed to total investment - are on their own rows</t>
  </si>
  <si>
    <t>v 2.56 - 29 May 2020</t>
  </si>
  <si>
    <t>Exit Waterfall - moved the structure for handling unconverted convertible notes. This is manual; structuring this for each note under the specific terms of the note and testing for the different specific methods can be hard for convertible notes.</t>
  </si>
  <si>
    <t>Exit Waterfall - changed % of options exercised calc to use common share price instead of blended overall share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</si>
</sst>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quot;[&quot;0&quot;]&quot;"/>
    <numFmt numFmtId="165" formatCode="_(* #,##0_);_(* \(#,##0\);_(* &quot;-&quot;??_);_(@_)"/>
    <numFmt numFmtId="166" formatCode="_(* #,##0.0000_);_(* \(#,##0.0000\);_(* &quot;-&quot;??_);_(@_)"/>
    <numFmt numFmtId="167" formatCode="_(* #,##0.0_);_(* \(#,##0.0\);_(* &quot;-&quot;??_);_(@_)"/>
    <numFmt numFmtId="168" formatCode="_(* #,##0.00000_);_(* \(#,##0.00000\);_(* &quot;-&quot;??_);_(@_)"/>
    <numFmt numFmtId="169" formatCode="_(* #,##0.000_);_(* \(#,##0.000\);_(* &quot;-&quot;??_);_(@_)"/>
    <numFmt numFmtId="170" formatCode="_-* #,##0.00_-;\-* #,##0.00_-;_-* &quot;-&quot;??_-;_-@_-"/>
    <numFmt numFmtId="171" formatCode="_-* #,##0_-;\-* #,##0_-;_-* &quot;-&quot;??_-;_-@_-"/>
  </numFmts>
  <fonts count="13">
    <font>
      <sz val="12"/>
      <color theme="1"/>
      <name val="Calibri"/>
      <family val="2"/>
      <scheme val="minor"/>
    </font>
    <font>
      <sz val="12"/>
      <color theme="1"/>
      <name val="Calibri"/>
      <family val="2"/>
      <scheme val="minor"/>
    </font>
    <font>
      <b/>
      <sz val="14"/>
      <color theme="1"/>
      <name val="Open Sans Regular"/>
    </font>
    <font>
      <sz val="14"/>
      <color theme="1"/>
      <name val="Open Sans Regular"/>
    </font>
    <font>
      <i/>
      <sz val="14"/>
      <color theme="1"/>
      <name val="Open Sans Regular"/>
    </font>
    <font>
      <sz val="14"/>
      <color rgb="FF0000FF"/>
      <name val="Open Sans Regular"/>
    </font>
    <font>
      <sz val="14"/>
      <name val="Open Sans Regular"/>
    </font>
    <font>
      <b/>
      <i/>
      <sz val="14"/>
      <color theme="1"/>
      <name val="Open Sans Regular"/>
    </font>
    <font>
      <sz val="11"/>
      <name val="Arial"/>
      <family val="1"/>
    </font>
    <font>
      <sz val="12"/>
      <color theme="1"/>
      <name val="Arial Narrow"/>
      <family val="2"/>
    </font>
    <font>
      <sz val="14"/>
      <color rgb="FF000000"/>
      <name val="Open Sans Regular"/>
    </font>
    <font>
      <b/>
      <u/>
      <sz val="14"/>
      <color theme="1"/>
      <name val="Open Sans Regular"/>
    </font>
    <font>
      <sz val="12"/>
      <color theme="1"/>
      <name val="Avenir Book"/>
      <family val="2"/>
    </font>
  </fonts>
  <fills count="4">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s>
  <borders count="3">
    <border>
      <left/>
      <right/>
      <top/>
      <bottom/>
      <diagonal/>
    </border>
    <border>
      <left/>
      <right/>
      <top/>
      <bottom style="thin">
        <color auto="1"/>
      </bottom>
      <diagonal/>
    </border>
    <border>
      <left/>
      <right/>
      <top style="thin">
        <color auto="1"/>
      </top>
      <bottom/>
      <diagonal/>
    </border>
  </borders>
  <cellStyleXfs count="12">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43" fontId="8" fillId="0" borderId="0" applyFont="0" applyFill="0" applyBorder="0" applyAlignment="0" applyProtection="0"/>
    <xf numFmtId="0" fontId="9" fillId="0" borderId="0"/>
    <xf numFmtId="170" fontId="9" fillId="0" borderId="0" applyFont="0" applyFill="0" applyBorder="0" applyAlignment="0" applyProtection="0"/>
    <xf numFmtId="0" fontId="1" fillId="0" borderId="0"/>
    <xf numFmtId="0" fontId="1" fillId="0" borderId="0"/>
    <xf numFmtId="0" fontId="1" fillId="0" borderId="0"/>
    <xf numFmtId="43" fontId="8" fillId="0" borderId="0" applyFont="0" applyFill="0" applyBorder="0" applyAlignment="0" applyProtection="0"/>
    <xf numFmtId="170" fontId="9" fillId="0" borderId="0" applyFont="0" applyFill="0" applyBorder="0" applyAlignment="0" applyProtection="0"/>
  </cellStyleXfs>
  <cellXfs count="107">
    <xf numFmtId="0" fontId="0" fillId="0" borderId="0" xfId="0"/>
    <xf numFmtId="43" fontId="2" fillId="0" borderId="0" xfId="1" applyFont="1"/>
    <xf numFmtId="43" fontId="3" fillId="0" borderId="0" xfId="1" applyFont="1" applyAlignment="1">
      <alignment horizontal="center"/>
    </xf>
    <xf numFmtId="164" fontId="3" fillId="0" borderId="0" xfId="1" applyNumberFormat="1" applyFont="1" applyFill="1" applyAlignment="1">
      <alignment horizontal="center"/>
    </xf>
    <xf numFmtId="0" fontId="3" fillId="0" borderId="0" xfId="1" applyNumberFormat="1" applyFont="1" applyAlignment="1">
      <alignment horizontal="left"/>
    </xf>
    <xf numFmtId="43" fontId="3" fillId="0" borderId="0" xfId="1" applyFont="1"/>
    <xf numFmtId="43" fontId="5" fillId="2" borderId="0" xfId="1" applyFont="1" applyFill="1" applyAlignment="1">
      <alignment horizontal="center"/>
    </xf>
    <xf numFmtId="165" fontId="5" fillId="2" borderId="0" xfId="1" applyNumberFormat="1" applyFont="1" applyFill="1"/>
    <xf numFmtId="14" fontId="5" fillId="2" borderId="0" xfId="1" applyNumberFormat="1" applyFont="1" applyFill="1" applyAlignment="1">
      <alignment horizontal="right"/>
    </xf>
    <xf numFmtId="9" fontId="5" fillId="2" borderId="0" xfId="2" applyFont="1" applyFill="1"/>
    <xf numFmtId="165" fontId="5" fillId="2" borderId="0" xfId="1" applyNumberFormat="1" applyFont="1" applyFill="1" applyAlignment="1">
      <alignment horizontal="right"/>
    </xf>
    <xf numFmtId="0" fontId="3" fillId="0" borderId="0" xfId="1" applyNumberFormat="1" applyFont="1"/>
    <xf numFmtId="43" fontId="4" fillId="0" borderId="0" xfId="1" applyFont="1"/>
    <xf numFmtId="165" fontId="3" fillId="0" borderId="0" xfId="1" applyNumberFormat="1" applyFont="1" applyAlignment="1">
      <alignment horizontal="center"/>
    </xf>
    <xf numFmtId="165" fontId="3" fillId="0" borderId="2" xfId="1" applyNumberFormat="1" applyFont="1" applyBorder="1" applyAlignment="1">
      <alignment horizontal="center"/>
    </xf>
    <xf numFmtId="9" fontId="3" fillId="0" borderId="0" xfId="2" applyFont="1" applyBorder="1" applyAlignment="1">
      <alignment horizontal="right"/>
    </xf>
    <xf numFmtId="165" fontId="6" fillId="0" borderId="0" xfId="1" applyNumberFormat="1" applyFont="1" applyFill="1" applyAlignment="1">
      <alignment horizontal="center"/>
    </xf>
    <xf numFmtId="166" fontId="5" fillId="2" borderId="0" xfId="1" applyNumberFormat="1" applyFont="1" applyFill="1"/>
    <xf numFmtId="165" fontId="6" fillId="0" borderId="0" xfId="1" applyNumberFormat="1" applyFont="1" applyFill="1" applyAlignment="1">
      <alignment horizontal="right"/>
    </xf>
    <xf numFmtId="43" fontId="3" fillId="0" borderId="0" xfId="1" applyFont="1" applyAlignment="1">
      <alignment horizontal="right"/>
    </xf>
    <xf numFmtId="167" fontId="5" fillId="2" borderId="0" xfId="1" applyNumberFormat="1" applyFont="1" applyFill="1"/>
    <xf numFmtId="168" fontId="3" fillId="0" borderId="0" xfId="1" applyNumberFormat="1" applyFont="1"/>
    <xf numFmtId="43" fontId="4" fillId="0" borderId="0" xfId="1" applyFont="1" applyAlignment="1">
      <alignment horizontal="center"/>
    </xf>
    <xf numFmtId="167" fontId="5" fillId="2" borderId="0" xfId="1" applyNumberFormat="1" applyFont="1" applyFill="1" applyAlignment="1">
      <alignment horizontal="left"/>
    </xf>
    <xf numFmtId="167" fontId="6" fillId="0" borderId="0" xfId="1" applyNumberFormat="1" applyFont="1" applyFill="1"/>
    <xf numFmtId="43" fontId="3" fillId="0" borderId="0" xfId="1" applyFont="1" applyAlignment="1">
      <alignment horizontal="left"/>
    </xf>
    <xf numFmtId="43" fontId="3" fillId="0" borderId="0" xfId="1" applyFont="1" applyBorder="1" applyAlignment="1">
      <alignment horizontal="center"/>
    </xf>
    <xf numFmtId="43" fontId="3" fillId="0" borderId="0" xfId="1" applyFont="1" applyFill="1" applyAlignment="1">
      <alignment horizontal="left"/>
    </xf>
    <xf numFmtId="43" fontId="7" fillId="0" borderId="0" xfId="1" applyFont="1"/>
    <xf numFmtId="43" fontId="3" fillId="0" borderId="0" xfId="1" applyFont="1" applyFill="1" applyAlignment="1">
      <alignment horizontal="center"/>
    </xf>
    <xf numFmtId="43" fontId="3" fillId="0" borderId="0" xfId="1" applyFont="1" applyFill="1"/>
    <xf numFmtId="0" fontId="3" fillId="0" borderId="0" xfId="1" applyNumberFormat="1" applyFont="1" applyFill="1" applyAlignment="1">
      <alignment horizontal="left"/>
    </xf>
    <xf numFmtId="165" fontId="3" fillId="0" borderId="0" xfId="1" applyNumberFormat="1" applyFont="1" applyFill="1" applyAlignment="1">
      <alignment horizontal="right"/>
    </xf>
    <xf numFmtId="43" fontId="4" fillId="0" borderId="0" xfId="1" applyFont="1" applyFill="1"/>
    <xf numFmtId="165" fontId="3" fillId="0" borderId="0" xfId="1" applyNumberFormat="1" applyFont="1" applyFill="1"/>
    <xf numFmtId="168" fontId="3" fillId="0" borderId="0" xfId="1" applyNumberFormat="1" applyFont="1" applyFill="1"/>
    <xf numFmtId="43" fontId="4" fillId="0" borderId="0" xfId="1" applyFont="1" applyFill="1" applyAlignment="1">
      <alignment horizontal="center"/>
    </xf>
    <xf numFmtId="0" fontId="4" fillId="0" borderId="0" xfId="1" applyNumberFormat="1" applyFont="1" applyFill="1"/>
    <xf numFmtId="9" fontId="3" fillId="0" borderId="0" xfId="2" applyFont="1" applyFill="1" applyAlignment="1">
      <alignment horizontal="right"/>
    </xf>
    <xf numFmtId="9" fontId="3" fillId="0" borderId="2" xfId="2" applyFont="1" applyBorder="1"/>
    <xf numFmtId="165" fontId="3" fillId="0" borderId="0" xfId="1" applyNumberFormat="1" applyFont="1" applyFill="1" applyBorder="1" applyAlignment="1">
      <alignment horizontal="center"/>
    </xf>
    <xf numFmtId="165" fontId="5" fillId="2" borderId="1" xfId="1" applyNumberFormat="1" applyFont="1" applyFill="1" applyBorder="1" applyAlignment="1">
      <alignment horizontal="right"/>
    </xf>
    <xf numFmtId="43" fontId="3" fillId="0" borderId="1" xfId="1" applyFont="1" applyBorder="1" applyAlignment="1">
      <alignment horizontal="right"/>
    </xf>
    <xf numFmtId="14" fontId="6" fillId="0" borderId="0" xfId="1" applyNumberFormat="1" applyFont="1" applyFill="1" applyAlignment="1">
      <alignment horizontal="right"/>
    </xf>
    <xf numFmtId="0" fontId="2" fillId="0" borderId="0" xfId="5" applyFont="1" applyAlignment="1">
      <alignment wrapText="1"/>
    </xf>
    <xf numFmtId="0" fontId="3" fillId="0" borderId="0" xfId="5" applyFont="1"/>
    <xf numFmtId="0" fontId="4" fillId="0" borderId="0" xfId="5" applyFont="1" applyAlignment="1">
      <alignment wrapText="1"/>
    </xf>
    <xf numFmtId="0" fontId="3" fillId="0" borderId="0" xfId="5" applyFont="1" applyAlignment="1">
      <alignment wrapText="1"/>
    </xf>
    <xf numFmtId="171" fontId="3" fillId="0" borderId="0" xfId="6" applyNumberFormat="1" applyFont="1"/>
    <xf numFmtId="0" fontId="2" fillId="0" borderId="0" xfId="6" applyNumberFormat="1" applyFont="1"/>
    <xf numFmtId="0" fontId="3" fillId="0" borderId="0" xfId="6" applyNumberFormat="1" applyFont="1" applyAlignment="1">
      <alignment wrapText="1"/>
    </xf>
    <xf numFmtId="0" fontId="3" fillId="0" borderId="0" xfId="6" applyNumberFormat="1" applyFont="1"/>
    <xf numFmtId="0" fontId="3" fillId="0" borderId="0" xfId="9" applyFont="1"/>
    <xf numFmtId="0" fontId="3" fillId="0" borderId="0" xfId="9" applyFont="1" applyAlignment="1">
      <alignment horizontal="center"/>
    </xf>
    <xf numFmtId="165" fontId="3" fillId="0" borderId="0" xfId="10" applyNumberFormat="1" applyFont="1" applyAlignment="1">
      <alignment horizontal="center"/>
    </xf>
    <xf numFmtId="0" fontId="3" fillId="0" borderId="0" xfId="9" applyFont="1" applyAlignment="1">
      <alignment horizontal="left"/>
    </xf>
    <xf numFmtId="43" fontId="5" fillId="2" borderId="0" xfId="1" applyFont="1" applyFill="1" applyAlignment="1">
      <alignment horizontal="right"/>
    </xf>
    <xf numFmtId="43" fontId="5" fillId="0" borderId="0" xfId="1" applyFont="1" applyFill="1" applyAlignment="1">
      <alignment horizontal="right"/>
    </xf>
    <xf numFmtId="43" fontId="3" fillId="0" borderId="0" xfId="1" applyFont="1" applyFill="1" applyAlignment="1">
      <alignment horizontal="right"/>
    </xf>
    <xf numFmtId="165" fontId="3" fillId="0" borderId="0" xfId="9" applyNumberFormat="1" applyFont="1"/>
    <xf numFmtId="165" fontId="3" fillId="0" borderId="0" xfId="9" applyNumberFormat="1" applyFont="1" applyAlignment="1">
      <alignment horizontal="left"/>
    </xf>
    <xf numFmtId="165" fontId="3" fillId="0" borderId="0" xfId="9" applyNumberFormat="1" applyFont="1" applyAlignment="1">
      <alignment horizontal="right"/>
    </xf>
    <xf numFmtId="43" fontId="3" fillId="0" borderId="0" xfId="1" applyFont="1" applyBorder="1"/>
    <xf numFmtId="9" fontId="3" fillId="0" borderId="0" xfId="2" applyFont="1" applyBorder="1"/>
    <xf numFmtId="43" fontId="5" fillId="2" borderId="0" xfId="1" applyFont="1" applyFill="1" applyBorder="1" applyAlignment="1">
      <alignment horizontal="right"/>
    </xf>
    <xf numFmtId="0" fontId="4" fillId="0" borderId="0" xfId="9" applyFont="1"/>
    <xf numFmtId="9" fontId="3" fillId="0" borderId="0" xfId="2" applyFont="1"/>
    <xf numFmtId="165" fontId="3" fillId="0" borderId="0" xfId="10" applyNumberFormat="1" applyFont="1" applyAlignment="1">
      <alignment horizontal="left"/>
    </xf>
    <xf numFmtId="168" fontId="3" fillId="0" borderId="0" xfId="9" applyNumberFormat="1" applyFont="1"/>
    <xf numFmtId="43" fontId="3" fillId="0" borderId="0" xfId="9" applyNumberFormat="1" applyFont="1" applyAlignment="1">
      <alignment horizontal="center"/>
    </xf>
    <xf numFmtId="166" fontId="3" fillId="0" borderId="0" xfId="9" applyNumberFormat="1" applyFont="1"/>
    <xf numFmtId="43" fontId="3" fillId="0" borderId="0" xfId="9" applyNumberFormat="1" applyFont="1"/>
    <xf numFmtId="43" fontId="3" fillId="0" borderId="0" xfId="9" applyNumberFormat="1" applyFont="1" applyAlignment="1">
      <alignment horizontal="left"/>
    </xf>
    <xf numFmtId="165" fontId="3" fillId="0" borderId="2" xfId="9" applyNumberFormat="1" applyFont="1" applyBorder="1"/>
    <xf numFmtId="165" fontId="4" fillId="0" borderId="0" xfId="9" applyNumberFormat="1" applyFont="1"/>
    <xf numFmtId="169" fontId="3" fillId="0" borderId="0" xfId="1" applyNumberFormat="1" applyFont="1"/>
    <xf numFmtId="43" fontId="4" fillId="0" borderId="0" xfId="10" applyFont="1"/>
    <xf numFmtId="43" fontId="3" fillId="0" borderId="0" xfId="10" applyFont="1"/>
    <xf numFmtId="43" fontId="3" fillId="0" borderId="0" xfId="10" applyFont="1" applyFill="1"/>
    <xf numFmtId="0" fontId="7" fillId="0" borderId="0" xfId="9" applyFont="1"/>
    <xf numFmtId="43" fontId="6" fillId="0" borderId="0" xfId="1" applyFont="1" applyFill="1" applyAlignment="1">
      <alignment horizontal="left"/>
    </xf>
    <xf numFmtId="164" fontId="3" fillId="0" borderId="0" xfId="9" applyNumberFormat="1" applyFont="1"/>
    <xf numFmtId="165" fontId="3" fillId="0" borderId="0" xfId="1" applyNumberFormat="1" applyFont="1" applyBorder="1" applyAlignment="1">
      <alignment horizontal="center"/>
    </xf>
    <xf numFmtId="0" fontId="2" fillId="3" borderId="0" xfId="7" applyFont="1" applyFill="1"/>
    <xf numFmtId="0" fontId="3" fillId="3" borderId="0" xfId="8" applyFont="1" applyFill="1"/>
    <xf numFmtId="0" fontId="3" fillId="3" borderId="0" xfId="7" applyFont="1" applyFill="1"/>
    <xf numFmtId="0" fontId="3" fillId="3" borderId="0" xfId="7" applyFont="1" applyFill="1" applyAlignment="1">
      <alignment wrapText="1"/>
    </xf>
    <xf numFmtId="0" fontId="3" fillId="3" borderId="0" xfId="5" applyFont="1" applyFill="1" applyAlignment="1" applyProtection="1">
      <alignment wrapText="1"/>
      <protection hidden="1"/>
    </xf>
    <xf numFmtId="0" fontId="10" fillId="3" borderId="0" xfId="5" applyFont="1" applyFill="1" applyAlignment="1" applyProtection="1">
      <alignment wrapText="1"/>
      <protection hidden="1"/>
    </xf>
    <xf numFmtId="0" fontId="11" fillId="3" borderId="0" xfId="8" applyFont="1" applyFill="1"/>
    <xf numFmtId="0" fontId="11" fillId="3" borderId="0" xfId="8" applyFont="1" applyFill="1" applyAlignment="1">
      <alignment vertical="top" wrapText="1"/>
    </xf>
    <xf numFmtId="0" fontId="3" fillId="3" borderId="0" xfId="7" applyFont="1" applyFill="1" applyAlignment="1" applyProtection="1">
      <alignment wrapText="1"/>
      <protection hidden="1"/>
    </xf>
    <xf numFmtId="0" fontId="3" fillId="3" borderId="0" xfId="8" applyFont="1" applyFill="1" applyAlignment="1">
      <alignment vertical="top" wrapText="1"/>
    </xf>
    <xf numFmtId="0" fontId="11" fillId="3" borderId="0" xfId="8" applyFont="1" applyFill="1" applyAlignment="1">
      <alignment wrapText="1"/>
    </xf>
    <xf numFmtId="0" fontId="2" fillId="3" borderId="0" xfId="8" applyFont="1" applyFill="1" applyAlignment="1">
      <alignment wrapText="1"/>
    </xf>
    <xf numFmtId="0" fontId="3" fillId="3" borderId="0" xfId="8" applyFont="1" applyFill="1" applyAlignment="1">
      <alignment wrapText="1"/>
    </xf>
    <xf numFmtId="0" fontId="3" fillId="3" borderId="0" xfId="8" applyFont="1" applyFill="1" applyAlignment="1">
      <alignment horizontal="left" vertical="top" wrapText="1"/>
    </xf>
    <xf numFmtId="0" fontId="2" fillId="3" borderId="0" xfId="8" applyFont="1" applyFill="1"/>
    <xf numFmtId="171" fontId="12" fillId="0" borderId="0" xfId="11" applyNumberFormat="1" applyFont="1"/>
    <xf numFmtId="0" fontId="12" fillId="0" borderId="0" xfId="11" applyNumberFormat="1" applyFont="1" applyAlignment="1">
      <alignment wrapText="1"/>
    </xf>
    <xf numFmtId="43" fontId="2" fillId="0" borderId="0" xfId="1" applyFont="1" applyFill="1"/>
    <xf numFmtId="43" fontId="4" fillId="0" borderId="0" xfId="1" applyFont="1" applyBorder="1" applyAlignment="1">
      <alignment horizontal="left"/>
    </xf>
    <xf numFmtId="165" fontId="5" fillId="0" borderId="0" xfId="1" applyNumberFormat="1" applyFont="1" applyFill="1"/>
    <xf numFmtId="43" fontId="5" fillId="2" borderId="0" xfId="1" applyFont="1" applyFill="1"/>
    <xf numFmtId="43" fontId="4" fillId="0" borderId="0" xfId="10" applyFont="1" applyFill="1"/>
    <xf numFmtId="43" fontId="7" fillId="0" borderId="0" xfId="1" applyFont="1" applyFill="1"/>
    <xf numFmtId="165" fontId="3" fillId="0" borderId="0" xfId="1" applyNumberFormat="1" applyFont="1" applyAlignment="1">
      <alignment horizontal="left"/>
    </xf>
  </cellXfs>
  <cellStyles count="12">
    <cellStyle name="Comma 10 2 3" xfId="1" xr:uid="{0EFED501-CC13-C341-AE3E-E3E92CFCAF6D}"/>
    <cellStyle name="Comma 2" xfId="4" xr:uid="{30424F1B-ABEE-0A46-B457-A85571708E44}"/>
    <cellStyle name="Comma 2 2" xfId="6" xr:uid="{4FA122F3-AF6F-3F42-87F3-8A035629E1DC}"/>
    <cellStyle name="Comma 2 3" xfId="10" xr:uid="{6D15DC4D-9B1E-654F-BCF1-D951EA9A7B64}"/>
    <cellStyle name="Comma 4" xfId="11" xr:uid="{F3CF1E68-8E7F-9349-AA2B-EE70C9CF875B}"/>
    <cellStyle name="Normal" xfId="0" builtinId="0"/>
    <cellStyle name="Normal 2" xfId="3" xr:uid="{2DC41DED-75A1-5C43-9283-82506FF9A0F1}"/>
    <cellStyle name="Normal 2 2" xfId="5" xr:uid="{40B5D5E7-8A21-424A-90DF-E3646F386BE7}"/>
    <cellStyle name="Normal 2 3" xfId="9" xr:uid="{F35C7E17-A790-884C-A4B8-B2BBA83E1571}"/>
    <cellStyle name="Normal 8 2" xfId="7" xr:uid="{9D050445-8096-1C44-BF94-52E21EF35771}"/>
    <cellStyle name="Normal 8 2 3" xfId="8" xr:uid="{7927FD7F-B303-2845-9242-52E648488FAB}"/>
    <cellStyle name="Percent 16 3" xfId="2" xr:uid="{EF94C47E-4314-6543-941B-7779A02D58CE}"/>
  </cellStyles>
  <dxfs count="1">
    <dxf>
      <font>
        <color rgb="FF9C0006"/>
      </font>
      <fill>
        <patternFill>
          <bgColor rgb="FFFFC7CE"/>
        </patternFill>
      </fill>
    </dxf>
  </dxfs>
  <tableStyles count="0" defaultTableStyle="TableStyleMedium2" defaultPivotStyle="PivotStyleLight16"/>
  <colors>
    <mruColors>
      <color rgb="FF63BE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 of Proceeds to each Shareholder</a:t>
            </a:r>
            <a:r>
              <a:rPr lang="en-US" baseline="0"/>
              <a:t> Class</a:t>
            </a:r>
            <a:endParaRPr lang="en-US"/>
          </a:p>
        </c:rich>
      </c:tx>
      <c:overlay val="0"/>
    </c:title>
    <c:autoTitleDeleted val="0"/>
    <c:plotArea>
      <c:layout/>
      <c:areaChart>
        <c:grouping val="percentStacked"/>
        <c:varyColors val="0"/>
        <c:ser>
          <c:idx val="0"/>
          <c:order val="0"/>
          <c:tx>
            <c:strRef>
              <c:f>'Exit Waterfall'!$B$215</c:f>
              <c:strCache>
                <c:ptCount val="1"/>
                <c:pt idx="0">
                  <c:v> Preferred, C </c:v>
                </c:pt>
              </c:strCache>
            </c:strRef>
          </c:tx>
          <c:cat>
            <c:numRef>
              <c:f>'Exit Waterfall'!$G$102:$M$102</c:f>
              <c:numCache>
                <c:formatCode>_(* #,##0_);_(* \(#,##0\);_(* "-"??_);_(@_)</c:formatCode>
                <c:ptCount val="7"/>
                <c:pt idx="0">
                  <c:v>0</c:v>
                </c:pt>
                <c:pt idx="1">
                  <c:v>0</c:v>
                </c:pt>
                <c:pt idx="2">
                  <c:v>0</c:v>
                </c:pt>
                <c:pt idx="3">
                  <c:v>0</c:v>
                </c:pt>
                <c:pt idx="4">
                  <c:v>0</c:v>
                </c:pt>
                <c:pt idx="5">
                  <c:v>0</c:v>
                </c:pt>
                <c:pt idx="6">
                  <c:v>0</c:v>
                </c:pt>
              </c:numCache>
            </c:numRef>
          </c:cat>
          <c:val>
            <c:numRef>
              <c:f>'Exit Waterfall'!$G$215:$M$215</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D2F3-414D-8D48-0319351F32B9}"/>
            </c:ext>
          </c:extLst>
        </c:ser>
        <c:ser>
          <c:idx val="1"/>
          <c:order val="1"/>
          <c:tx>
            <c:strRef>
              <c:f>'Exit Waterfall'!$B$216</c:f>
              <c:strCache>
                <c:ptCount val="1"/>
                <c:pt idx="0">
                  <c:v> Preferred, B </c:v>
                </c:pt>
              </c:strCache>
            </c:strRef>
          </c:tx>
          <c:spPr>
            <a:ln w="25400">
              <a:noFill/>
            </a:ln>
          </c:spPr>
          <c:cat>
            <c:numRef>
              <c:f>'Exit Waterfall'!$G$102:$M$102</c:f>
              <c:numCache>
                <c:formatCode>_(* #,##0_);_(* \(#,##0\);_(* "-"??_);_(@_)</c:formatCode>
                <c:ptCount val="7"/>
                <c:pt idx="0">
                  <c:v>0</c:v>
                </c:pt>
                <c:pt idx="1">
                  <c:v>0</c:v>
                </c:pt>
                <c:pt idx="2">
                  <c:v>0</c:v>
                </c:pt>
                <c:pt idx="3">
                  <c:v>0</c:v>
                </c:pt>
                <c:pt idx="4">
                  <c:v>0</c:v>
                </c:pt>
                <c:pt idx="5">
                  <c:v>0</c:v>
                </c:pt>
                <c:pt idx="6">
                  <c:v>0</c:v>
                </c:pt>
              </c:numCache>
            </c:numRef>
          </c:cat>
          <c:val>
            <c:numRef>
              <c:f>'Exit Waterfall'!$G$216:$M$216</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D2F3-414D-8D48-0319351F32B9}"/>
            </c:ext>
          </c:extLst>
        </c:ser>
        <c:ser>
          <c:idx val="2"/>
          <c:order val="2"/>
          <c:tx>
            <c:strRef>
              <c:f>'Exit Waterfall'!$B$217</c:f>
              <c:strCache>
                <c:ptCount val="1"/>
                <c:pt idx="0">
                  <c:v> Preferred, A </c:v>
                </c:pt>
              </c:strCache>
            </c:strRef>
          </c:tx>
          <c:spPr>
            <a:ln w="25400">
              <a:noFill/>
            </a:ln>
          </c:spPr>
          <c:cat>
            <c:numRef>
              <c:f>'Exit Waterfall'!$G$102:$M$102</c:f>
              <c:numCache>
                <c:formatCode>_(* #,##0_);_(* \(#,##0\);_(* "-"??_);_(@_)</c:formatCode>
                <c:ptCount val="7"/>
                <c:pt idx="0">
                  <c:v>0</c:v>
                </c:pt>
                <c:pt idx="1">
                  <c:v>0</c:v>
                </c:pt>
                <c:pt idx="2">
                  <c:v>0</c:v>
                </c:pt>
                <c:pt idx="3">
                  <c:v>0</c:v>
                </c:pt>
                <c:pt idx="4">
                  <c:v>0</c:v>
                </c:pt>
                <c:pt idx="5">
                  <c:v>0</c:v>
                </c:pt>
                <c:pt idx="6">
                  <c:v>0</c:v>
                </c:pt>
              </c:numCache>
            </c:numRef>
          </c:cat>
          <c:val>
            <c:numRef>
              <c:f>'Exit Waterfall'!$G$217:$M$217</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D2F3-414D-8D48-0319351F32B9}"/>
            </c:ext>
          </c:extLst>
        </c:ser>
        <c:ser>
          <c:idx val="3"/>
          <c:order val="3"/>
          <c:tx>
            <c:strRef>
              <c:f>'Exit Waterfall'!$B$218</c:f>
              <c:strCache>
                <c:ptCount val="1"/>
                <c:pt idx="0">
                  <c:v> Preferred, Seed </c:v>
                </c:pt>
              </c:strCache>
            </c:strRef>
          </c:tx>
          <c:spPr>
            <a:ln w="25400">
              <a:noFill/>
            </a:ln>
          </c:spPr>
          <c:cat>
            <c:numRef>
              <c:f>'Exit Waterfall'!$G$102:$M$102</c:f>
              <c:numCache>
                <c:formatCode>_(* #,##0_);_(* \(#,##0\);_(* "-"??_);_(@_)</c:formatCode>
                <c:ptCount val="7"/>
                <c:pt idx="0">
                  <c:v>0</c:v>
                </c:pt>
                <c:pt idx="1">
                  <c:v>0</c:v>
                </c:pt>
                <c:pt idx="2">
                  <c:v>0</c:v>
                </c:pt>
                <c:pt idx="3">
                  <c:v>0</c:v>
                </c:pt>
                <c:pt idx="4">
                  <c:v>0</c:v>
                </c:pt>
                <c:pt idx="5">
                  <c:v>0</c:v>
                </c:pt>
                <c:pt idx="6">
                  <c:v>0</c:v>
                </c:pt>
              </c:numCache>
            </c:numRef>
          </c:cat>
          <c:val>
            <c:numRef>
              <c:f>'Exit Waterfall'!$G$218:$M$218</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D2F3-414D-8D48-0319351F32B9}"/>
            </c:ext>
          </c:extLst>
        </c:ser>
        <c:ser>
          <c:idx val="4"/>
          <c:order val="4"/>
          <c:tx>
            <c:strRef>
              <c:f>'Exit Waterfall'!$B$219</c:f>
              <c:strCache>
                <c:ptCount val="1"/>
                <c:pt idx="0">
                  <c:v> Common (including Options) </c:v>
                </c:pt>
              </c:strCache>
            </c:strRef>
          </c:tx>
          <c:spPr>
            <a:ln w="25400">
              <a:noFill/>
            </a:ln>
          </c:spPr>
          <c:cat>
            <c:numRef>
              <c:f>'Exit Waterfall'!$G$102:$M$102</c:f>
              <c:numCache>
                <c:formatCode>_(* #,##0_);_(* \(#,##0\);_(* "-"??_);_(@_)</c:formatCode>
                <c:ptCount val="7"/>
                <c:pt idx="0">
                  <c:v>0</c:v>
                </c:pt>
                <c:pt idx="1">
                  <c:v>0</c:v>
                </c:pt>
                <c:pt idx="2">
                  <c:v>0</c:v>
                </c:pt>
                <c:pt idx="3">
                  <c:v>0</c:v>
                </c:pt>
                <c:pt idx="4">
                  <c:v>0</c:v>
                </c:pt>
                <c:pt idx="5">
                  <c:v>0</c:v>
                </c:pt>
                <c:pt idx="6">
                  <c:v>0</c:v>
                </c:pt>
              </c:numCache>
            </c:numRef>
          </c:cat>
          <c:val>
            <c:numRef>
              <c:f>'Exit Waterfall'!$G$219:$M$219</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D2F3-414D-8D48-0319351F32B9}"/>
            </c:ext>
          </c:extLst>
        </c:ser>
        <c:dLbls>
          <c:showLegendKey val="0"/>
          <c:showVal val="0"/>
          <c:showCatName val="0"/>
          <c:showSerName val="0"/>
          <c:showPercent val="0"/>
          <c:showBubbleSize val="0"/>
        </c:dLbls>
        <c:axId val="-2086365544"/>
        <c:axId val="-2088348760"/>
      </c:areaChart>
      <c:catAx>
        <c:axId val="-2086365544"/>
        <c:scaling>
          <c:orientation val="minMax"/>
        </c:scaling>
        <c:delete val="0"/>
        <c:axPos val="b"/>
        <c:numFmt formatCode="_(* #,##0_);_(* \(#,##0\);_(* &quot;-&quot;??_);_(@_)" sourceLinked="1"/>
        <c:majorTickMark val="none"/>
        <c:minorTickMark val="none"/>
        <c:tickLblPos val="nextTo"/>
        <c:crossAx val="-2088348760"/>
        <c:crosses val="autoZero"/>
        <c:auto val="1"/>
        <c:lblAlgn val="ctr"/>
        <c:lblOffset val="100"/>
        <c:noMultiLvlLbl val="0"/>
      </c:catAx>
      <c:valAx>
        <c:axId val="-2088348760"/>
        <c:scaling>
          <c:orientation val="minMax"/>
        </c:scaling>
        <c:delete val="0"/>
        <c:axPos val="l"/>
        <c:majorGridlines/>
        <c:numFmt formatCode="0%" sourceLinked="1"/>
        <c:majorTickMark val="none"/>
        <c:minorTickMark val="none"/>
        <c:tickLblPos val="nextTo"/>
        <c:crossAx val="-2086365544"/>
        <c:crosses val="autoZero"/>
        <c:crossBetween val="midCat"/>
      </c:valAx>
    </c:plotArea>
    <c:legend>
      <c:legendPos val="b"/>
      <c:overlay val="0"/>
    </c:legend>
    <c:plotVisOnly val="1"/>
    <c:dispBlanksAs val="zero"/>
    <c:showDLblsOverMax val="0"/>
  </c:chart>
  <c:spPr>
    <a:ln>
      <a:noFill/>
    </a:ln>
  </c:sp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Total</a:t>
            </a:r>
            <a:r>
              <a:rPr lang="en-US" baseline="0"/>
              <a:t> Proceeds Distributed to Shareholder Class</a:t>
            </a:r>
            <a:endParaRPr lang="en-US"/>
          </a:p>
        </c:rich>
      </c:tx>
      <c:overlay val="0"/>
    </c:title>
    <c:autoTitleDeleted val="0"/>
    <c:plotArea>
      <c:layout/>
      <c:areaChart>
        <c:grouping val="stacked"/>
        <c:varyColors val="0"/>
        <c:ser>
          <c:idx val="0"/>
          <c:order val="0"/>
          <c:tx>
            <c:strRef>
              <c:f>'Exit Waterfall'!$B$215</c:f>
              <c:strCache>
                <c:ptCount val="1"/>
                <c:pt idx="0">
                  <c:v> Preferred, C </c:v>
                </c:pt>
              </c:strCache>
            </c:strRef>
          </c:tx>
          <c:cat>
            <c:numRef>
              <c:f>'Exit Waterfall'!$G$102:$M$102</c:f>
              <c:numCache>
                <c:formatCode>_(* #,##0_);_(* \(#,##0\);_(* "-"??_);_(@_)</c:formatCode>
                <c:ptCount val="7"/>
                <c:pt idx="0">
                  <c:v>0</c:v>
                </c:pt>
                <c:pt idx="1">
                  <c:v>0</c:v>
                </c:pt>
                <c:pt idx="2">
                  <c:v>0</c:v>
                </c:pt>
                <c:pt idx="3">
                  <c:v>0</c:v>
                </c:pt>
                <c:pt idx="4">
                  <c:v>0</c:v>
                </c:pt>
                <c:pt idx="5">
                  <c:v>0</c:v>
                </c:pt>
                <c:pt idx="6">
                  <c:v>0</c:v>
                </c:pt>
              </c:numCache>
            </c:numRef>
          </c:cat>
          <c:val>
            <c:numRef>
              <c:f>'Exit Waterfall'!$G$215:$M$215</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CFD6-AE4C-8263-499CD4E19C93}"/>
            </c:ext>
          </c:extLst>
        </c:ser>
        <c:ser>
          <c:idx val="1"/>
          <c:order val="1"/>
          <c:tx>
            <c:strRef>
              <c:f>'Exit Waterfall'!$B$216</c:f>
              <c:strCache>
                <c:ptCount val="1"/>
                <c:pt idx="0">
                  <c:v> Preferred, B </c:v>
                </c:pt>
              </c:strCache>
            </c:strRef>
          </c:tx>
          <c:spPr>
            <a:ln w="25400">
              <a:noFill/>
            </a:ln>
          </c:spPr>
          <c:cat>
            <c:numRef>
              <c:f>'Exit Waterfall'!$G$102:$M$102</c:f>
              <c:numCache>
                <c:formatCode>_(* #,##0_);_(* \(#,##0\);_(* "-"??_);_(@_)</c:formatCode>
                <c:ptCount val="7"/>
                <c:pt idx="0">
                  <c:v>0</c:v>
                </c:pt>
                <c:pt idx="1">
                  <c:v>0</c:v>
                </c:pt>
                <c:pt idx="2">
                  <c:v>0</c:v>
                </c:pt>
                <c:pt idx="3">
                  <c:v>0</c:v>
                </c:pt>
                <c:pt idx="4">
                  <c:v>0</c:v>
                </c:pt>
                <c:pt idx="5">
                  <c:v>0</c:v>
                </c:pt>
                <c:pt idx="6">
                  <c:v>0</c:v>
                </c:pt>
              </c:numCache>
            </c:numRef>
          </c:cat>
          <c:val>
            <c:numRef>
              <c:f>'Exit Waterfall'!$G$216:$M$216</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CFD6-AE4C-8263-499CD4E19C93}"/>
            </c:ext>
          </c:extLst>
        </c:ser>
        <c:ser>
          <c:idx val="2"/>
          <c:order val="2"/>
          <c:tx>
            <c:strRef>
              <c:f>'Exit Waterfall'!$B$217</c:f>
              <c:strCache>
                <c:ptCount val="1"/>
                <c:pt idx="0">
                  <c:v> Preferred, A </c:v>
                </c:pt>
              </c:strCache>
            </c:strRef>
          </c:tx>
          <c:spPr>
            <a:ln w="25400">
              <a:noFill/>
            </a:ln>
          </c:spPr>
          <c:cat>
            <c:numRef>
              <c:f>'Exit Waterfall'!$G$102:$M$102</c:f>
              <c:numCache>
                <c:formatCode>_(* #,##0_);_(* \(#,##0\);_(* "-"??_);_(@_)</c:formatCode>
                <c:ptCount val="7"/>
                <c:pt idx="0">
                  <c:v>0</c:v>
                </c:pt>
                <c:pt idx="1">
                  <c:v>0</c:v>
                </c:pt>
                <c:pt idx="2">
                  <c:v>0</c:v>
                </c:pt>
                <c:pt idx="3">
                  <c:v>0</c:v>
                </c:pt>
                <c:pt idx="4">
                  <c:v>0</c:v>
                </c:pt>
                <c:pt idx="5">
                  <c:v>0</c:v>
                </c:pt>
                <c:pt idx="6">
                  <c:v>0</c:v>
                </c:pt>
              </c:numCache>
            </c:numRef>
          </c:cat>
          <c:val>
            <c:numRef>
              <c:f>'Exit Waterfall'!$G$217:$M$217</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CFD6-AE4C-8263-499CD4E19C93}"/>
            </c:ext>
          </c:extLst>
        </c:ser>
        <c:ser>
          <c:idx val="3"/>
          <c:order val="3"/>
          <c:tx>
            <c:strRef>
              <c:f>'Exit Waterfall'!$B$218</c:f>
              <c:strCache>
                <c:ptCount val="1"/>
                <c:pt idx="0">
                  <c:v> Preferred, Seed </c:v>
                </c:pt>
              </c:strCache>
            </c:strRef>
          </c:tx>
          <c:spPr>
            <a:ln w="25400">
              <a:noFill/>
            </a:ln>
          </c:spPr>
          <c:cat>
            <c:numRef>
              <c:f>'Exit Waterfall'!$G$102:$M$102</c:f>
              <c:numCache>
                <c:formatCode>_(* #,##0_);_(* \(#,##0\);_(* "-"??_);_(@_)</c:formatCode>
                <c:ptCount val="7"/>
                <c:pt idx="0">
                  <c:v>0</c:v>
                </c:pt>
                <c:pt idx="1">
                  <c:v>0</c:v>
                </c:pt>
                <c:pt idx="2">
                  <c:v>0</c:v>
                </c:pt>
                <c:pt idx="3">
                  <c:v>0</c:v>
                </c:pt>
                <c:pt idx="4">
                  <c:v>0</c:v>
                </c:pt>
                <c:pt idx="5">
                  <c:v>0</c:v>
                </c:pt>
                <c:pt idx="6">
                  <c:v>0</c:v>
                </c:pt>
              </c:numCache>
            </c:numRef>
          </c:cat>
          <c:val>
            <c:numRef>
              <c:f>'Exit Waterfall'!$G$218:$M$218</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CFD6-AE4C-8263-499CD4E19C93}"/>
            </c:ext>
          </c:extLst>
        </c:ser>
        <c:ser>
          <c:idx val="4"/>
          <c:order val="4"/>
          <c:tx>
            <c:strRef>
              <c:f>'Exit Waterfall'!$B$219</c:f>
              <c:strCache>
                <c:ptCount val="1"/>
                <c:pt idx="0">
                  <c:v> Common (including Options) </c:v>
                </c:pt>
              </c:strCache>
            </c:strRef>
          </c:tx>
          <c:spPr>
            <a:ln w="25400">
              <a:noFill/>
            </a:ln>
          </c:spPr>
          <c:cat>
            <c:numRef>
              <c:f>'Exit Waterfall'!$G$102:$M$102</c:f>
              <c:numCache>
                <c:formatCode>_(* #,##0_);_(* \(#,##0\);_(* "-"??_);_(@_)</c:formatCode>
                <c:ptCount val="7"/>
                <c:pt idx="0">
                  <c:v>0</c:v>
                </c:pt>
                <c:pt idx="1">
                  <c:v>0</c:v>
                </c:pt>
                <c:pt idx="2">
                  <c:v>0</c:v>
                </c:pt>
                <c:pt idx="3">
                  <c:v>0</c:v>
                </c:pt>
                <c:pt idx="4">
                  <c:v>0</c:v>
                </c:pt>
                <c:pt idx="5">
                  <c:v>0</c:v>
                </c:pt>
                <c:pt idx="6">
                  <c:v>0</c:v>
                </c:pt>
              </c:numCache>
            </c:numRef>
          </c:cat>
          <c:val>
            <c:numRef>
              <c:f>'Exit Waterfall'!$G$219:$M$219</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CFD6-AE4C-8263-499CD4E19C93}"/>
            </c:ext>
          </c:extLst>
        </c:ser>
        <c:dLbls>
          <c:showLegendKey val="0"/>
          <c:showVal val="0"/>
          <c:showCatName val="0"/>
          <c:showSerName val="0"/>
          <c:showPercent val="0"/>
          <c:showBubbleSize val="0"/>
        </c:dLbls>
        <c:axId val="-2096235080"/>
        <c:axId val="-2094854280"/>
      </c:areaChart>
      <c:catAx>
        <c:axId val="-2096235080"/>
        <c:scaling>
          <c:orientation val="minMax"/>
        </c:scaling>
        <c:delete val="0"/>
        <c:axPos val="b"/>
        <c:numFmt formatCode="_(* #,##0_);_(* \(#,##0\);_(* &quot;-&quot;??_);_(@_)" sourceLinked="1"/>
        <c:majorTickMark val="none"/>
        <c:minorTickMark val="none"/>
        <c:tickLblPos val="nextTo"/>
        <c:crossAx val="-2094854280"/>
        <c:crosses val="autoZero"/>
        <c:auto val="1"/>
        <c:lblAlgn val="ctr"/>
        <c:lblOffset val="100"/>
        <c:noMultiLvlLbl val="0"/>
      </c:catAx>
      <c:valAx>
        <c:axId val="-2094854280"/>
        <c:scaling>
          <c:orientation val="minMax"/>
        </c:scaling>
        <c:delete val="0"/>
        <c:axPos val="l"/>
        <c:majorGridlines/>
        <c:numFmt formatCode="_(* #,##0_);_(* \(#,##0\);_(* &quot;-&quot;??_);_(@_)" sourceLinked="1"/>
        <c:majorTickMark val="none"/>
        <c:minorTickMark val="none"/>
        <c:tickLblPos val="nextTo"/>
        <c:crossAx val="-2096235080"/>
        <c:crosses val="autoZero"/>
        <c:crossBetween val="midCat"/>
      </c:valAx>
    </c:plotArea>
    <c:legend>
      <c:legendPos val="b"/>
      <c:overlay val="0"/>
    </c:legend>
    <c:plotVisOnly val="1"/>
    <c:dispBlanksAs val="zero"/>
    <c:showDLblsOverMax val="0"/>
  </c:chart>
  <c:spPr>
    <a:ln>
      <a:noFill/>
    </a:ln>
  </c:spPr>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311150</xdr:colOff>
      <xdr:row>263</xdr:row>
      <xdr:rowOff>76200</xdr:rowOff>
    </xdr:from>
    <xdr:to>
      <xdr:col>12</xdr:col>
      <xdr:colOff>1206500</xdr:colOff>
      <xdr:row>289</xdr:row>
      <xdr:rowOff>127000</xdr:rowOff>
    </xdr:to>
    <xdr:graphicFrame macro="">
      <xdr:nvGraphicFramePr>
        <xdr:cNvPr id="2" name="Chart 1">
          <a:extLst>
            <a:ext uri="{FF2B5EF4-FFF2-40B4-BE49-F238E27FC236}">
              <a16:creationId xmlns:a16="http://schemas.microsoft.com/office/drawing/2014/main" id="{43E3AD46-33B4-B849-8DE2-0AD2D62039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412750</xdr:colOff>
      <xdr:row>292</xdr:row>
      <xdr:rowOff>12700</xdr:rowOff>
    </xdr:from>
    <xdr:to>
      <xdr:col>13</xdr:col>
      <xdr:colOff>0</xdr:colOff>
      <xdr:row>322</xdr:row>
      <xdr:rowOff>139700</xdr:rowOff>
    </xdr:to>
    <xdr:graphicFrame macro="">
      <xdr:nvGraphicFramePr>
        <xdr:cNvPr id="3" name="Chart 2">
          <a:extLst>
            <a:ext uri="{FF2B5EF4-FFF2-40B4-BE49-F238E27FC236}">
              <a16:creationId xmlns:a16="http://schemas.microsoft.com/office/drawing/2014/main" id="{3944A1B0-7168-E042-94D2-7F8DEFD3DC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ap%20Table%20and%20Exit%20Waterfall%20by%20Foresight%20beta%20convertibl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Disclaimer"/>
      <sheetName val="License"/>
      <sheetName val="1 - Base Cap Table"/>
      <sheetName val="2 - Equity Issuance"/>
      <sheetName val="2 - Equity Issuance, 2nd Round"/>
      <sheetName val="3 - Premoney Option Pool"/>
      <sheetName val="3 - Postmoney Option Pool"/>
      <sheetName val="3 - Option Pool, 2nd Round"/>
      <sheetName val="4 - Convertible Issuance"/>
      <sheetName val="4 - Conversion, Premoney"/>
      <sheetName val="4 - Conversion, Postmoney"/>
      <sheetName val="4 - Conversion, % Ownership"/>
      <sheetName val="4 - Conversion, $ Invested"/>
      <sheetName val="5 - Exit Waterfall"/>
      <sheetName val="6 - Venture Valuation"/>
      <sheetName val="Changelo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102">
          <cell r="G102">
            <v>0</v>
          </cell>
          <cell r="H102">
            <v>0</v>
          </cell>
          <cell r="I102">
            <v>0</v>
          </cell>
          <cell r="J102">
            <v>0</v>
          </cell>
          <cell r="K102">
            <v>0</v>
          </cell>
          <cell r="L102">
            <v>0</v>
          </cell>
          <cell r="M102">
            <v>0</v>
          </cell>
        </row>
        <row r="215">
          <cell r="B215" t="str">
            <v>Preferred, C</v>
          </cell>
          <cell r="G215">
            <v>0</v>
          </cell>
          <cell r="H215">
            <v>0</v>
          </cell>
          <cell r="I215">
            <v>0</v>
          </cell>
          <cell r="J215">
            <v>0</v>
          </cell>
          <cell r="K215">
            <v>0</v>
          </cell>
          <cell r="L215">
            <v>0</v>
          </cell>
          <cell r="M215">
            <v>0</v>
          </cell>
        </row>
        <row r="216">
          <cell r="B216" t="str">
            <v>Preferred, B</v>
          </cell>
          <cell r="G216">
            <v>0</v>
          </cell>
          <cell r="H216">
            <v>0</v>
          </cell>
          <cell r="I216">
            <v>0</v>
          </cell>
          <cell r="J216">
            <v>0</v>
          </cell>
          <cell r="K216">
            <v>0</v>
          </cell>
          <cell r="L216">
            <v>0</v>
          </cell>
          <cell r="M216">
            <v>0</v>
          </cell>
        </row>
        <row r="217">
          <cell r="B217" t="str">
            <v>Preferred, A</v>
          </cell>
          <cell r="G217">
            <v>0</v>
          </cell>
          <cell r="H217">
            <v>0</v>
          </cell>
          <cell r="I217">
            <v>0</v>
          </cell>
          <cell r="J217">
            <v>0</v>
          </cell>
          <cell r="K217">
            <v>0</v>
          </cell>
          <cell r="L217">
            <v>0</v>
          </cell>
          <cell r="M217">
            <v>0</v>
          </cell>
        </row>
        <row r="218">
          <cell r="B218" t="str">
            <v>Preferred, Seed</v>
          </cell>
          <cell r="G218">
            <v>0</v>
          </cell>
          <cell r="H218">
            <v>0</v>
          </cell>
          <cell r="I218">
            <v>0</v>
          </cell>
          <cell r="J218">
            <v>0</v>
          </cell>
          <cell r="K218">
            <v>0</v>
          </cell>
          <cell r="L218">
            <v>0</v>
          </cell>
          <cell r="M218">
            <v>0</v>
          </cell>
        </row>
        <row r="219">
          <cell r="B219" t="str">
            <v>Common (including Options)</v>
          </cell>
          <cell r="G219">
            <v>0</v>
          </cell>
          <cell r="H219">
            <v>0</v>
          </cell>
          <cell r="I219">
            <v>0</v>
          </cell>
          <cell r="J219">
            <v>0</v>
          </cell>
          <cell r="K219">
            <v>0</v>
          </cell>
          <cell r="L219">
            <v>0</v>
          </cell>
          <cell r="M219">
            <v>0</v>
          </cell>
        </row>
      </sheetData>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EED11-E6A2-484E-ACA1-1DD8501B5937}">
  <sheetPr codeName="Sheet5">
    <pageSetUpPr fitToPage="1"/>
  </sheetPr>
  <dimension ref="B2:D38"/>
  <sheetViews>
    <sheetView showGridLines="0" tabSelected="1" workbookViewId="0">
      <selection activeCell="D6" sqref="D6"/>
    </sheetView>
  </sheetViews>
  <sheetFormatPr baseColWidth="10" defaultColWidth="9" defaultRowHeight="21"/>
  <cols>
    <col min="1" max="1" width="6.33203125" style="84" customWidth="1"/>
    <col min="2" max="2" width="67.1640625" style="84" customWidth="1"/>
    <col min="3" max="3" width="15.5" style="84" customWidth="1"/>
    <col min="4" max="4" width="64.6640625" style="84" customWidth="1"/>
    <col min="5" max="16384" width="9" style="84"/>
  </cols>
  <sheetData>
    <row r="2" spans="2:4">
      <c r="B2" s="83" t="str">
        <f>UPPER(B25)&amp;" "&amp;UPPER(B26)&amp;" "&amp;UPPER(B27)&amp;" "&amp;IF(OR(ISBLANK(B28),B28="cap-table"),"","FOR "&amp;UPPER(B28))</f>
        <v xml:space="preserve">EXIT WATERFALL TOOL </v>
      </c>
      <c r="C2" s="83"/>
    </row>
    <row r="3" spans="2:4">
      <c r="B3" s="85"/>
      <c r="C3" s="85"/>
    </row>
    <row r="4" spans="2:4" ht="22">
      <c r="B4" s="86" t="s">
        <v>194</v>
      </c>
      <c r="C4" s="86"/>
    </row>
    <row r="5" spans="2:4" ht="22">
      <c r="B5" s="86" t="str">
        <f>"See more models at "&amp;"https://"&amp;B29</f>
        <v>See more models at https://foresight.is</v>
      </c>
      <c r="C5" s="86"/>
    </row>
    <row r="6" spans="2:4" ht="22">
      <c r="B6" s="86" t="str">
        <f>B30&amp;"@"&amp;B29&amp;" - @tdavidson"</f>
        <v>hello@foresight.is - @tdavidson</v>
      </c>
      <c r="C6" s="86"/>
    </row>
    <row r="7" spans="2:4" ht="22">
      <c r="B7" s="87" t="str">
        <f>"Questions, comments, ideas, email "&amp;B30&amp;"@"&amp;B29</f>
        <v>Questions, comments, ideas, email hello@foresight.is</v>
      </c>
      <c r="C7" s="87"/>
    </row>
    <row r="8" spans="2:4" ht="22">
      <c r="B8" s="88" t="s">
        <v>195</v>
      </c>
      <c r="C8" s="88"/>
    </row>
    <row r="10" spans="2:4" ht="22" customHeight="1"/>
    <row r="11" spans="2:4" ht="22" customHeight="1">
      <c r="B11" s="89" t="s">
        <v>196</v>
      </c>
      <c r="D11" s="90" t="s">
        <v>197</v>
      </c>
    </row>
    <row r="12" spans="2:4" ht="22" customHeight="1">
      <c r="B12" s="91" t="str">
        <f>"License at https://"&amp;B29&amp;"/license"</f>
        <v>License at https://foresight.is/license</v>
      </c>
      <c r="D12" s="92" t="s">
        <v>198</v>
      </c>
    </row>
    <row r="13" spans="2:4" ht="22" customHeight="1">
      <c r="B13" s="87" t="s">
        <v>199</v>
      </c>
      <c r="D13" s="92" t="str">
        <f>"Get updates at https://"&amp;B29&amp;"/"&amp;IF(B28="cap-table","cap-table",B25&amp;"-"&amp;B26&amp;"-"&amp;B27)</f>
        <v>Get updates at https://foresight.is/cap-table</v>
      </c>
    </row>
    <row r="14" spans="2:4">
      <c r="B14" s="86"/>
      <c r="C14" s="86"/>
    </row>
    <row r="15" spans="2:4">
      <c r="B15" s="86"/>
      <c r="C15" s="86"/>
    </row>
    <row r="16" spans="2:4" ht="22">
      <c r="B16" s="93" t="s">
        <v>200</v>
      </c>
      <c r="C16" s="94"/>
      <c r="D16" s="93" t="s">
        <v>201</v>
      </c>
    </row>
    <row r="17" spans="2:4" ht="165" customHeight="1">
      <c r="B17" s="92" t="s">
        <v>202</v>
      </c>
      <c r="C17" s="95"/>
      <c r="D17" s="92" t="s">
        <v>203</v>
      </c>
    </row>
    <row r="18" spans="2:4" ht="22" customHeight="1">
      <c r="B18" s="92"/>
      <c r="C18" s="95"/>
      <c r="D18" s="92"/>
    </row>
    <row r="19" spans="2:4" ht="22">
      <c r="B19" s="93" t="s">
        <v>204</v>
      </c>
      <c r="C19" s="95"/>
      <c r="D19" s="93" t="s">
        <v>205</v>
      </c>
    </row>
    <row r="20" spans="2:4" ht="89" customHeight="1">
      <c r="B20" s="92" t="s">
        <v>206</v>
      </c>
      <c r="C20" s="94"/>
      <c r="D20" s="92" t="str">
        <f>"Visit https://"&amp;B29&amp;"/start to get more instructions and videos on how to use the model, including details on each sheet and key components."</f>
        <v>Visit https://foresight.is/start to get more instructions and videos on how to use the model, including details on each sheet and key components.</v>
      </c>
    </row>
    <row r="21" spans="2:4" ht="44">
      <c r="B21" s="92" t="s">
        <v>207</v>
      </c>
      <c r="C21" s="95"/>
    </row>
    <row r="22" spans="2:4" ht="132">
      <c r="B22" s="92" t="s">
        <v>208</v>
      </c>
      <c r="C22" s="94"/>
      <c r="D22" s="94"/>
    </row>
    <row r="23" spans="2:4" ht="64" customHeight="1">
      <c r="C23" s="95"/>
      <c r="D23" s="96"/>
    </row>
    <row r="24" spans="2:4">
      <c r="B24" s="97" t="s">
        <v>209</v>
      </c>
      <c r="C24" s="95"/>
    </row>
    <row r="25" spans="2:4">
      <c r="B25" s="84" t="s">
        <v>213</v>
      </c>
      <c r="C25" s="95"/>
    </row>
    <row r="26" spans="2:4">
      <c r="B26" s="84" t="s">
        <v>214</v>
      </c>
      <c r="C26" s="95"/>
    </row>
    <row r="27" spans="2:4">
      <c r="B27" s="84" t="s">
        <v>210</v>
      </c>
      <c r="C27" s="95"/>
    </row>
    <row r="28" spans="2:4">
      <c r="B28" s="84" t="s">
        <v>218</v>
      </c>
      <c r="C28" s="95"/>
    </row>
    <row r="29" spans="2:4" ht="22">
      <c r="B29" s="95" t="s">
        <v>211</v>
      </c>
      <c r="C29" s="95"/>
    </row>
    <row r="30" spans="2:4" ht="22">
      <c r="B30" s="95" t="s">
        <v>212</v>
      </c>
      <c r="C30" s="95"/>
    </row>
    <row r="31" spans="2:4">
      <c r="C31" s="94"/>
    </row>
    <row r="32" spans="2:4">
      <c r="C32" s="95"/>
    </row>
    <row r="33" spans="2:3">
      <c r="B33" s="94"/>
      <c r="C33" s="94"/>
    </row>
    <row r="35" spans="2:3">
      <c r="C35" s="97"/>
    </row>
    <row r="38" spans="2:3">
      <c r="C38" s="97"/>
    </row>
  </sheetData>
  <pageMargins left="0.75" right="0.75" top="1" bottom="1" header="0.5" footer="0.5"/>
  <pageSetup scale="63"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E3840-8A87-BB42-9254-EFBC0802418F}">
  <sheetPr codeName="Sheet1"/>
  <dimension ref="B2:B29"/>
  <sheetViews>
    <sheetView showGridLines="0" topLeftCell="A8" workbookViewId="0">
      <selection activeCell="B9" sqref="B9"/>
    </sheetView>
  </sheetViews>
  <sheetFormatPr baseColWidth="10" defaultRowHeight="21"/>
  <cols>
    <col min="1" max="1" width="5.1640625" style="45" customWidth="1"/>
    <col min="2" max="2" width="161.1640625" style="47" customWidth="1"/>
    <col min="3" max="16384" width="10.83203125" style="45"/>
  </cols>
  <sheetData>
    <row r="2" spans="2:2" ht="22">
      <c r="B2" s="44" t="s">
        <v>165</v>
      </c>
    </row>
    <row r="3" spans="2:2" ht="22">
      <c r="B3" s="46" t="s">
        <v>166</v>
      </c>
    </row>
    <row r="4" spans="2:2" ht="114" customHeight="1">
      <c r="B4" s="47" t="s">
        <v>167</v>
      </c>
    </row>
    <row r="6" spans="2:2" ht="22">
      <c r="B6" s="47" t="s">
        <v>168</v>
      </c>
    </row>
    <row r="8" spans="2:2" ht="22">
      <c r="B8" s="47" t="s">
        <v>169</v>
      </c>
    </row>
    <row r="9" spans="2:2" ht="44">
      <c r="B9" s="47" t="s">
        <v>170</v>
      </c>
    </row>
    <row r="10" spans="2:2" ht="22">
      <c r="B10" s="47" t="s">
        <v>171</v>
      </c>
    </row>
    <row r="11" spans="2:2" ht="22">
      <c r="B11" s="47" t="s">
        <v>172</v>
      </c>
    </row>
    <row r="12" spans="2:2" ht="22">
      <c r="B12" s="47" t="s">
        <v>173</v>
      </c>
    </row>
    <row r="14" spans="2:2" ht="22">
      <c r="B14" s="47" t="s">
        <v>174</v>
      </c>
    </row>
    <row r="15" spans="2:2" ht="22">
      <c r="B15" s="47" t="s">
        <v>175</v>
      </c>
    </row>
    <row r="16" spans="2:2" ht="22">
      <c r="B16" s="47" t="s">
        <v>176</v>
      </c>
    </row>
    <row r="17" spans="2:2" ht="22">
      <c r="B17" s="47" t="s">
        <v>177</v>
      </c>
    </row>
    <row r="18" spans="2:2" ht="44">
      <c r="B18" s="47" t="s">
        <v>178</v>
      </c>
    </row>
    <row r="19" spans="2:2" ht="22">
      <c r="B19" s="47" t="s">
        <v>179</v>
      </c>
    </row>
    <row r="20" spans="2:2" ht="22">
      <c r="B20" s="47" t="s">
        <v>180</v>
      </c>
    </row>
    <row r="21" spans="2:2" ht="44">
      <c r="B21" s="47" t="s">
        <v>181</v>
      </c>
    </row>
    <row r="23" spans="2:2" ht="150" customHeight="1">
      <c r="B23" s="47" t="s">
        <v>182</v>
      </c>
    </row>
    <row r="25" spans="2:2" ht="110">
      <c r="B25" s="47" t="s">
        <v>183</v>
      </c>
    </row>
    <row r="27" spans="2:2" ht="88">
      <c r="B27" s="47" t="s">
        <v>184</v>
      </c>
    </row>
    <row r="29" spans="2:2" ht="88">
      <c r="B29" s="47" t="s">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0C11A-BCCF-BC4F-8662-12888B28AFF9}">
  <dimension ref="A2:AC335"/>
  <sheetViews>
    <sheetView showGridLines="0" zoomScaleNormal="100" workbookViewId="0">
      <selection activeCell="B32" sqref="B32"/>
    </sheetView>
  </sheetViews>
  <sheetFormatPr baseColWidth="10" defaultRowHeight="21" outlineLevelRow="1"/>
  <cols>
    <col min="1" max="1" width="4.6640625" style="52" customWidth="1"/>
    <col min="2" max="2" width="42.33203125" style="52" customWidth="1"/>
    <col min="3" max="3" width="5.1640625" style="52" customWidth="1"/>
    <col min="4" max="4" width="4.33203125" style="52" customWidth="1"/>
    <col min="5" max="5" width="15" style="52" customWidth="1"/>
    <col min="6" max="6" width="5.6640625" style="53" customWidth="1"/>
    <col min="7" max="13" width="17.1640625" style="52" customWidth="1"/>
    <col min="14" max="14" width="4.6640625" style="52" customWidth="1"/>
    <col min="15" max="15" width="8.83203125" style="81" customWidth="1"/>
    <col min="16" max="16" width="17.1640625" style="55" customWidth="1"/>
    <col min="17" max="19" width="17.1640625" style="52" customWidth="1"/>
    <col min="20" max="16384" width="10.83203125" style="52"/>
  </cols>
  <sheetData>
    <row r="2" spans="2:21">
      <c r="B2" s="1" t="s">
        <v>108</v>
      </c>
      <c r="C2" s="100"/>
      <c r="D2" s="100"/>
      <c r="E2" s="100"/>
      <c r="F2" s="2"/>
      <c r="G2" s="2"/>
      <c r="H2" s="2"/>
      <c r="I2" s="2"/>
      <c r="J2" s="2"/>
      <c r="K2" s="2"/>
      <c r="L2" s="2"/>
      <c r="M2" s="2"/>
      <c r="N2" s="2"/>
      <c r="O2" s="3"/>
      <c r="P2" s="4"/>
      <c r="Q2" s="2"/>
      <c r="R2" s="5"/>
      <c r="S2" s="5"/>
      <c r="T2" s="5"/>
      <c r="U2" s="5"/>
    </row>
    <row r="3" spans="2:21">
      <c r="B3" s="12" t="s">
        <v>0</v>
      </c>
      <c r="C3" s="33"/>
      <c r="D3" s="33"/>
      <c r="E3" s="33"/>
      <c r="F3" s="2"/>
      <c r="G3" s="2"/>
      <c r="H3" s="2"/>
      <c r="I3" s="2"/>
      <c r="J3" s="2"/>
      <c r="K3" s="2"/>
      <c r="L3" s="2"/>
      <c r="M3" s="2"/>
      <c r="N3" s="2"/>
      <c r="O3" s="3"/>
      <c r="P3" s="4"/>
      <c r="Q3" s="2"/>
      <c r="R3" s="5"/>
      <c r="S3" s="5"/>
      <c r="T3" s="5"/>
      <c r="U3" s="5"/>
    </row>
    <row r="4" spans="2:21">
      <c r="B4" s="5"/>
      <c r="C4" s="30"/>
      <c r="D4" s="30"/>
      <c r="E4" s="30"/>
      <c r="F4" s="2"/>
      <c r="G4" s="2"/>
      <c r="H4" s="2"/>
      <c r="I4" s="2"/>
      <c r="J4" s="2"/>
      <c r="K4" s="2"/>
      <c r="L4" s="2"/>
      <c r="M4" s="2"/>
      <c r="N4" s="2"/>
      <c r="O4" s="3"/>
      <c r="P4" s="4"/>
      <c r="Q4" s="2"/>
      <c r="R4" s="5"/>
      <c r="S4" s="5"/>
      <c r="T4" s="5"/>
      <c r="U4" s="5"/>
    </row>
    <row r="5" spans="2:21">
      <c r="B5" s="5" t="s">
        <v>1</v>
      </c>
      <c r="C5" s="30"/>
      <c r="D5" s="30"/>
      <c r="E5" s="30"/>
      <c r="F5" s="6" t="s">
        <v>2</v>
      </c>
      <c r="G5" s="7">
        <v>0</v>
      </c>
      <c r="H5" s="2"/>
      <c r="I5" s="2"/>
      <c r="J5" s="2"/>
      <c r="K5" s="2"/>
      <c r="L5" s="2"/>
      <c r="M5" s="2"/>
      <c r="N5" s="2"/>
      <c r="O5" s="3">
        <v>1</v>
      </c>
      <c r="P5" s="4" t="s">
        <v>3</v>
      </c>
      <c r="Q5" s="2"/>
      <c r="R5" s="5"/>
      <c r="S5" s="5"/>
      <c r="T5" s="5"/>
      <c r="U5" s="5"/>
    </row>
    <row r="6" spans="2:21">
      <c r="B6" s="5" t="s">
        <v>8</v>
      </c>
      <c r="C6" s="30"/>
      <c r="D6" s="30"/>
      <c r="E6" s="30"/>
      <c r="F6" s="2" t="s">
        <v>9</v>
      </c>
      <c r="G6" s="8">
        <f ca="1">EDATE(TODAY(),24)</f>
        <v>44710</v>
      </c>
      <c r="K6" s="2"/>
      <c r="L6" s="2"/>
      <c r="M6" s="2"/>
      <c r="N6" s="2"/>
      <c r="O6" s="3">
        <f>IF(ISBLANK(P6),"",MAX(O$5:O5)+1)</f>
        <v>2</v>
      </c>
      <c r="P6" s="4" t="s">
        <v>10</v>
      </c>
      <c r="Q6" s="2"/>
      <c r="R6" s="5"/>
      <c r="S6" s="5"/>
      <c r="T6" s="5"/>
      <c r="U6" s="5"/>
    </row>
    <row r="7" spans="2:21">
      <c r="B7" s="5" t="s">
        <v>11</v>
      </c>
      <c r="C7" s="30"/>
      <c r="D7" s="30"/>
      <c r="E7" s="30"/>
      <c r="F7" s="2" t="s">
        <v>12</v>
      </c>
      <c r="G7" s="9">
        <v>0.5</v>
      </c>
      <c r="K7" s="2"/>
      <c r="L7" s="2"/>
      <c r="M7" s="2"/>
      <c r="N7" s="2"/>
      <c r="O7" s="3">
        <f>IF(ISBLANK(P7),"",MAX(O$5:O6)+1)</f>
        <v>3</v>
      </c>
      <c r="P7" s="4" t="s">
        <v>13</v>
      </c>
      <c r="Q7" s="2"/>
      <c r="R7" s="5"/>
      <c r="S7" s="5"/>
      <c r="T7" s="5"/>
      <c r="U7" s="5"/>
    </row>
    <row r="8" spans="2:21">
      <c r="B8" s="5" t="s">
        <v>14</v>
      </c>
      <c r="C8" s="30"/>
      <c r="D8" s="30"/>
      <c r="E8" s="30"/>
      <c r="F8" s="53" t="s">
        <v>15</v>
      </c>
      <c r="G8" s="10" t="s">
        <v>152</v>
      </c>
      <c r="K8" s="2"/>
      <c r="L8" s="2"/>
      <c r="M8" s="2"/>
      <c r="N8" s="2"/>
      <c r="O8" s="3">
        <f>IF(ISBLANK(P8),"",MAX(O$5:O7)+1)</f>
        <v>4</v>
      </c>
      <c r="P8" s="52" t="s">
        <v>16</v>
      </c>
      <c r="Q8" s="2"/>
      <c r="R8" s="5"/>
      <c r="S8" s="5"/>
      <c r="T8" s="5"/>
      <c r="U8" s="5"/>
    </row>
    <row r="9" spans="2:21">
      <c r="B9" s="5" t="s">
        <v>17</v>
      </c>
      <c r="C9" s="30"/>
      <c r="D9" s="30"/>
      <c r="E9" s="30"/>
      <c r="F9" s="53" t="s">
        <v>15</v>
      </c>
      <c r="G9" s="19" t="str">
        <f>IF(SUM(G212:M212)=0,"yes","no")</f>
        <v>yes</v>
      </c>
      <c r="K9" s="2"/>
      <c r="L9" s="2"/>
      <c r="M9" s="2"/>
      <c r="N9" s="2"/>
      <c r="O9" s="3">
        <f>IF(ISBLANK(P9),"",MAX(O$5:O8)+1)</f>
        <v>5</v>
      </c>
      <c r="P9" s="11" t="s">
        <v>18</v>
      </c>
      <c r="Q9" s="2"/>
      <c r="R9" s="5"/>
      <c r="S9" s="5"/>
      <c r="T9" s="5"/>
      <c r="U9" s="5"/>
    </row>
    <row r="10" spans="2:21">
      <c r="B10" s="5"/>
      <c r="C10" s="30"/>
      <c r="D10" s="30"/>
      <c r="E10" s="30"/>
      <c r="F10" s="2"/>
      <c r="G10" s="2"/>
      <c r="H10" s="2"/>
      <c r="I10" s="2"/>
      <c r="J10" s="2"/>
      <c r="K10" s="2"/>
      <c r="L10" s="2"/>
      <c r="M10" s="2"/>
      <c r="N10" s="2"/>
      <c r="O10" s="3" t="str">
        <f>IF(ISBLANK(P10),"",MAX(O$5:O9)+1)</f>
        <v/>
      </c>
      <c r="P10" s="4"/>
      <c r="Q10" s="2"/>
      <c r="R10" s="5"/>
      <c r="S10" s="5"/>
      <c r="T10" s="5"/>
      <c r="U10" s="5"/>
    </row>
    <row r="11" spans="2:21">
      <c r="B11" s="12" t="s">
        <v>19</v>
      </c>
      <c r="C11" s="33"/>
      <c r="D11" s="33"/>
      <c r="E11" s="33"/>
      <c r="F11" s="2"/>
      <c r="G11" s="2"/>
      <c r="H11" s="2"/>
      <c r="I11" s="2"/>
      <c r="J11" s="2"/>
      <c r="K11" s="2"/>
      <c r="L11" s="2"/>
      <c r="M11" s="2"/>
      <c r="N11" s="2"/>
      <c r="O11" s="3">
        <f>IF(ISBLANK(P11),"",MAX(O$5:O10)+1)</f>
        <v>6</v>
      </c>
      <c r="P11" s="4" t="s">
        <v>20</v>
      </c>
      <c r="Q11" s="2"/>
      <c r="R11" s="5"/>
      <c r="S11" s="5"/>
      <c r="T11" s="5"/>
      <c r="U11" s="5"/>
    </row>
    <row r="12" spans="2:21">
      <c r="B12" s="5"/>
      <c r="C12" s="30"/>
      <c r="D12" s="30"/>
      <c r="E12" s="30"/>
      <c r="F12" s="2"/>
      <c r="G12" s="2"/>
      <c r="H12" s="2"/>
      <c r="I12" s="2"/>
      <c r="J12" s="2"/>
      <c r="K12" s="2"/>
      <c r="L12" s="2"/>
      <c r="M12" s="2"/>
      <c r="N12" s="2"/>
      <c r="O12" s="3" t="str">
        <f>IF(ISBLANK(P12),"",MAX(O$5:O11)+1)</f>
        <v/>
      </c>
      <c r="P12" s="4"/>
      <c r="Q12" s="2"/>
      <c r="R12" s="5"/>
      <c r="S12" s="5"/>
      <c r="T12" s="5"/>
      <c r="U12" s="5"/>
    </row>
    <row r="13" spans="2:21">
      <c r="B13" s="5" t="s">
        <v>21</v>
      </c>
      <c r="C13" s="30"/>
      <c r="D13" s="30"/>
      <c r="E13" s="101" t="s">
        <v>221</v>
      </c>
      <c r="F13" s="2"/>
      <c r="G13" s="41" t="s">
        <v>22</v>
      </c>
      <c r="H13" s="41" t="s">
        <v>23</v>
      </c>
      <c r="I13" s="41" t="s">
        <v>24</v>
      </c>
      <c r="J13" s="41" t="s">
        <v>25</v>
      </c>
      <c r="K13" s="42" t="s">
        <v>26</v>
      </c>
      <c r="L13" s="42" t="s">
        <v>27</v>
      </c>
      <c r="M13" s="42" t="s">
        <v>28</v>
      </c>
      <c r="O13" s="3" t="str">
        <f>IF(ISBLANK(P13),"",MAX(O$5:O12)+1)</f>
        <v/>
      </c>
      <c r="P13" s="4"/>
      <c r="Q13" s="2"/>
      <c r="R13" s="5"/>
      <c r="S13" s="5"/>
      <c r="T13" s="5"/>
      <c r="U13" s="5"/>
    </row>
    <row r="14" spans="2:21">
      <c r="B14" s="7" t="s">
        <v>105</v>
      </c>
      <c r="C14" s="102"/>
      <c r="D14" s="102"/>
      <c r="E14" s="103">
        <v>0</v>
      </c>
      <c r="F14" s="2" t="s">
        <v>5</v>
      </c>
      <c r="G14" s="7">
        <v>0</v>
      </c>
      <c r="H14" s="7">
        <v>0</v>
      </c>
      <c r="I14" s="7">
        <v>0</v>
      </c>
      <c r="J14" s="7">
        <v>0</v>
      </c>
      <c r="K14" s="7">
        <v>0</v>
      </c>
      <c r="L14" s="7">
        <v>0</v>
      </c>
      <c r="M14" s="13">
        <f t="shared" ref="M14:M22" si="0">SUM(G14:L14)</f>
        <v>0</v>
      </c>
      <c r="O14" s="3">
        <f>IF(ISBLANK(P14),"",MAX(O$5:O13)+1)</f>
        <v>7</v>
      </c>
      <c r="P14" s="4" t="s">
        <v>128</v>
      </c>
      <c r="Q14" s="2"/>
      <c r="R14" s="5"/>
      <c r="S14" s="5"/>
      <c r="T14" s="5"/>
      <c r="U14" s="5"/>
    </row>
    <row r="15" spans="2:21">
      <c r="B15" s="7" t="s">
        <v>105</v>
      </c>
      <c r="C15" s="102"/>
      <c r="D15" s="102"/>
      <c r="E15" s="103">
        <v>0</v>
      </c>
      <c r="F15" s="2" t="s">
        <v>5</v>
      </c>
      <c r="G15" s="7">
        <v>0</v>
      </c>
      <c r="H15" s="7">
        <v>0</v>
      </c>
      <c r="I15" s="7">
        <v>0</v>
      </c>
      <c r="J15" s="7">
        <v>0</v>
      </c>
      <c r="K15" s="7">
        <v>0</v>
      </c>
      <c r="L15" s="7">
        <v>0</v>
      </c>
      <c r="M15" s="13">
        <f t="shared" si="0"/>
        <v>0</v>
      </c>
      <c r="O15" s="3" t="str">
        <f>IF(ISBLANK(P15),"",MAX(O$5:O14)+1)</f>
        <v/>
      </c>
      <c r="P15" s="4"/>
      <c r="Q15" s="2"/>
      <c r="R15" s="5"/>
      <c r="S15" s="5"/>
      <c r="T15" s="5"/>
      <c r="U15" s="5"/>
    </row>
    <row r="16" spans="2:21">
      <c r="B16" s="7" t="s">
        <v>105</v>
      </c>
      <c r="C16" s="102"/>
      <c r="D16" s="102"/>
      <c r="E16" s="103">
        <v>0</v>
      </c>
      <c r="F16" s="2" t="s">
        <v>5</v>
      </c>
      <c r="G16" s="7">
        <v>0</v>
      </c>
      <c r="H16" s="7">
        <v>0</v>
      </c>
      <c r="I16" s="7">
        <v>0</v>
      </c>
      <c r="J16" s="7">
        <v>0</v>
      </c>
      <c r="K16" s="7">
        <v>0</v>
      </c>
      <c r="L16" s="7">
        <v>0</v>
      </c>
      <c r="M16" s="13">
        <f t="shared" si="0"/>
        <v>0</v>
      </c>
      <c r="O16" s="3" t="str">
        <f>IF(ISBLANK(P16),"",MAX(O$5:O15)+1)</f>
        <v/>
      </c>
      <c r="P16" s="4"/>
      <c r="Q16" s="2"/>
      <c r="R16" s="5"/>
      <c r="S16" s="5"/>
      <c r="T16" s="5"/>
      <c r="U16" s="5"/>
    </row>
    <row r="17" spans="2:21">
      <c r="B17" s="7" t="s">
        <v>105</v>
      </c>
      <c r="C17" s="102"/>
      <c r="D17" s="102"/>
      <c r="E17" s="103">
        <v>0</v>
      </c>
      <c r="F17" s="2" t="s">
        <v>5</v>
      </c>
      <c r="G17" s="7">
        <v>0</v>
      </c>
      <c r="H17" s="7">
        <v>0</v>
      </c>
      <c r="I17" s="7">
        <v>0</v>
      </c>
      <c r="J17" s="7">
        <v>0</v>
      </c>
      <c r="K17" s="7">
        <v>0</v>
      </c>
      <c r="L17" s="7">
        <v>0</v>
      </c>
      <c r="M17" s="13">
        <f t="shared" si="0"/>
        <v>0</v>
      </c>
      <c r="O17" s="3" t="str">
        <f>IF(ISBLANK(P17),"",MAX(O$5:O16)+1)</f>
        <v/>
      </c>
      <c r="P17" s="4"/>
      <c r="Q17" s="2"/>
      <c r="R17" s="5"/>
      <c r="S17" s="5"/>
      <c r="T17" s="5"/>
      <c r="U17" s="5"/>
    </row>
    <row r="18" spans="2:21">
      <c r="B18" s="7" t="s">
        <v>105</v>
      </c>
      <c r="C18" s="102"/>
      <c r="D18" s="102"/>
      <c r="E18" s="103">
        <v>0</v>
      </c>
      <c r="F18" s="2" t="s">
        <v>5</v>
      </c>
      <c r="G18" s="7">
        <v>0</v>
      </c>
      <c r="H18" s="7">
        <v>0</v>
      </c>
      <c r="I18" s="7">
        <v>0</v>
      </c>
      <c r="J18" s="7">
        <v>0</v>
      </c>
      <c r="K18" s="7">
        <v>0</v>
      </c>
      <c r="L18" s="7">
        <v>0</v>
      </c>
      <c r="M18" s="13">
        <f t="shared" si="0"/>
        <v>0</v>
      </c>
      <c r="O18" s="3" t="str">
        <f>IF(ISBLANK(P18),"",MAX(O$5:O17)+1)</f>
        <v/>
      </c>
      <c r="P18" s="4"/>
      <c r="Q18" s="2"/>
      <c r="R18" s="5"/>
      <c r="S18" s="5"/>
      <c r="T18" s="5"/>
      <c r="U18" s="5"/>
    </row>
    <row r="19" spans="2:21">
      <c r="B19" s="7" t="s">
        <v>105</v>
      </c>
      <c r="C19" s="102"/>
      <c r="D19" s="102"/>
      <c r="E19" s="103">
        <v>0</v>
      </c>
      <c r="F19" s="2" t="s">
        <v>5</v>
      </c>
      <c r="G19" s="7">
        <v>0</v>
      </c>
      <c r="H19" s="7">
        <v>0</v>
      </c>
      <c r="I19" s="7">
        <v>0</v>
      </c>
      <c r="J19" s="7">
        <v>0</v>
      </c>
      <c r="K19" s="7">
        <v>0</v>
      </c>
      <c r="L19" s="7">
        <v>0</v>
      </c>
      <c r="M19" s="13">
        <f t="shared" si="0"/>
        <v>0</v>
      </c>
      <c r="O19" s="3" t="str">
        <f>IF(ISBLANK(P19),"",MAX(O$5:O18)+1)</f>
        <v/>
      </c>
      <c r="P19" s="4"/>
      <c r="Q19" s="2"/>
      <c r="R19" s="5"/>
      <c r="S19" s="5"/>
      <c r="T19" s="5"/>
      <c r="U19" s="5"/>
    </row>
    <row r="20" spans="2:21">
      <c r="B20" s="7" t="s">
        <v>105</v>
      </c>
      <c r="C20" s="102"/>
      <c r="D20" s="102"/>
      <c r="E20" s="103">
        <v>0</v>
      </c>
      <c r="F20" s="2" t="s">
        <v>5</v>
      </c>
      <c r="G20" s="7">
        <v>0</v>
      </c>
      <c r="H20" s="7">
        <v>0</v>
      </c>
      <c r="I20" s="7">
        <v>0</v>
      </c>
      <c r="J20" s="7">
        <v>0</v>
      </c>
      <c r="K20" s="7">
        <v>0</v>
      </c>
      <c r="L20" s="7">
        <v>0</v>
      </c>
      <c r="M20" s="13">
        <f t="shared" si="0"/>
        <v>0</v>
      </c>
      <c r="O20" s="3" t="str">
        <f>IF(ISBLANK(P20),"",MAX(O$5:O19)+1)</f>
        <v/>
      </c>
      <c r="P20" s="4"/>
      <c r="Q20" s="2"/>
      <c r="R20" s="5"/>
      <c r="S20" s="5"/>
      <c r="T20" s="5"/>
      <c r="U20" s="5"/>
    </row>
    <row r="21" spans="2:21">
      <c r="B21" s="7" t="s">
        <v>29</v>
      </c>
      <c r="C21" s="102"/>
      <c r="D21" s="102"/>
      <c r="E21" s="103">
        <v>0</v>
      </c>
      <c r="F21" s="2" t="s">
        <v>5</v>
      </c>
      <c r="G21" s="13">
        <v>0</v>
      </c>
      <c r="H21" s="13">
        <v>0</v>
      </c>
      <c r="I21" s="13">
        <v>0</v>
      </c>
      <c r="J21" s="13">
        <v>0</v>
      </c>
      <c r="K21" s="13">
        <v>0</v>
      </c>
      <c r="L21" s="7">
        <v>0</v>
      </c>
      <c r="M21" s="13">
        <f t="shared" si="0"/>
        <v>0</v>
      </c>
      <c r="O21" s="3">
        <f>IF(ISBLANK(P21),"",MAX(O$5:O20)+1)</f>
        <v>8</v>
      </c>
      <c r="P21" s="4" t="s">
        <v>109</v>
      </c>
      <c r="Q21" s="2"/>
      <c r="R21" s="5"/>
      <c r="S21" s="5"/>
      <c r="T21" s="5"/>
      <c r="U21" s="5"/>
    </row>
    <row r="22" spans="2:21">
      <c r="B22" s="7" t="s">
        <v>30</v>
      </c>
      <c r="C22" s="102"/>
      <c r="D22" s="102"/>
      <c r="E22" s="103">
        <v>0</v>
      </c>
      <c r="F22" s="2" t="s">
        <v>5</v>
      </c>
      <c r="G22" s="13">
        <v>0</v>
      </c>
      <c r="H22" s="13">
        <v>0</v>
      </c>
      <c r="I22" s="13">
        <v>0</v>
      </c>
      <c r="J22" s="13">
        <v>0</v>
      </c>
      <c r="K22" s="13">
        <v>0</v>
      </c>
      <c r="L22" s="7">
        <v>0</v>
      </c>
      <c r="M22" s="13">
        <f t="shared" si="0"/>
        <v>0</v>
      </c>
      <c r="O22" s="3">
        <f>IF(ISBLANK(P22),"",MAX(O$5:O21)+1)</f>
        <v>9</v>
      </c>
      <c r="P22" s="4" t="s">
        <v>31</v>
      </c>
      <c r="Q22" s="2"/>
      <c r="R22" s="5"/>
      <c r="S22" s="5"/>
      <c r="T22" s="5"/>
      <c r="U22" s="5"/>
    </row>
    <row r="23" spans="2:21">
      <c r="B23" s="5"/>
      <c r="C23" s="30"/>
      <c r="D23" s="30"/>
      <c r="E23" s="30"/>
      <c r="F23" s="2"/>
      <c r="G23" s="13"/>
      <c r="H23" s="13"/>
      <c r="I23" s="13"/>
      <c r="J23" s="13"/>
      <c r="K23" s="13"/>
      <c r="L23" s="13"/>
      <c r="M23" s="13"/>
      <c r="N23" s="13"/>
      <c r="O23" s="3" t="str">
        <f>IF(ISBLANK(P23),"",MAX(O$5:O22)+1)</f>
        <v/>
      </c>
      <c r="P23" s="4"/>
      <c r="Q23" s="2"/>
      <c r="R23" s="5"/>
      <c r="S23" s="5"/>
      <c r="T23" s="5"/>
      <c r="U23" s="5"/>
    </row>
    <row r="24" spans="2:21">
      <c r="B24" s="30" t="s">
        <v>222</v>
      </c>
      <c r="C24" s="30"/>
      <c r="D24" s="30"/>
      <c r="E24" s="30"/>
      <c r="F24" s="2" t="s">
        <v>5</v>
      </c>
      <c r="G24" s="14">
        <f t="shared" ref="G24:M24" si="1">SUM(G14:G22)</f>
        <v>0</v>
      </c>
      <c r="H24" s="14">
        <f t="shared" si="1"/>
        <v>0</v>
      </c>
      <c r="I24" s="14">
        <f t="shared" si="1"/>
        <v>0</v>
      </c>
      <c r="J24" s="14">
        <f t="shared" si="1"/>
        <v>0</v>
      </c>
      <c r="K24" s="14">
        <f t="shared" si="1"/>
        <v>0</v>
      </c>
      <c r="L24" s="14">
        <f t="shared" si="1"/>
        <v>0</v>
      </c>
      <c r="M24" s="14">
        <f t="shared" si="1"/>
        <v>0</v>
      </c>
      <c r="N24" s="82"/>
      <c r="O24" s="3" t="str">
        <f>IF(ISBLANK(P24),"",MAX(O$5:O23)+1)</f>
        <v/>
      </c>
      <c r="P24" s="4"/>
      <c r="Q24" s="2"/>
      <c r="R24" s="5"/>
      <c r="S24" s="5"/>
      <c r="T24" s="5"/>
      <c r="U24" s="5"/>
    </row>
    <row r="25" spans="2:21">
      <c r="B25" s="30" t="s">
        <v>223</v>
      </c>
      <c r="C25" s="30"/>
      <c r="D25" s="30"/>
      <c r="E25" s="30"/>
      <c r="F25" s="2" t="s">
        <v>12</v>
      </c>
      <c r="G25" s="15">
        <f>IFERROR(G24/$M24,0)</f>
        <v>0</v>
      </c>
      <c r="H25" s="15">
        <f t="shared" ref="H25:M25" si="2">IFERROR(H24/$M24,0)</f>
        <v>0</v>
      </c>
      <c r="I25" s="15">
        <f t="shared" si="2"/>
        <v>0</v>
      </c>
      <c r="J25" s="15">
        <f t="shared" si="2"/>
        <v>0</v>
      </c>
      <c r="K25" s="15">
        <f t="shared" si="2"/>
        <v>0</v>
      </c>
      <c r="L25" s="15">
        <f t="shared" si="2"/>
        <v>0</v>
      </c>
      <c r="M25" s="15">
        <f t="shared" si="2"/>
        <v>0</v>
      </c>
      <c r="N25" s="15"/>
      <c r="O25" s="3" t="str">
        <f>IF(ISBLANK(P25),"",MAX(O$5:O24)+1)</f>
        <v/>
      </c>
      <c r="P25" s="4"/>
      <c r="Q25" s="2"/>
      <c r="R25" s="5"/>
      <c r="S25" s="5"/>
      <c r="T25" s="5"/>
      <c r="U25" s="5"/>
    </row>
    <row r="26" spans="2:21">
      <c r="B26" s="30"/>
      <c r="C26" s="30"/>
      <c r="D26" s="30"/>
      <c r="E26" s="30"/>
      <c r="F26" s="2"/>
      <c r="G26" s="2"/>
      <c r="H26" s="2"/>
      <c r="I26" s="2"/>
      <c r="J26" s="2"/>
      <c r="K26" s="2"/>
      <c r="L26" s="2"/>
      <c r="M26" s="2"/>
      <c r="N26" s="2"/>
      <c r="O26" s="3" t="str">
        <f>IF(ISBLANK(P26),"",MAX(O$5:O25)+1)</f>
        <v/>
      </c>
      <c r="P26" s="4"/>
      <c r="Q26" s="2"/>
      <c r="R26" s="5"/>
      <c r="S26" s="5"/>
      <c r="T26" s="5"/>
      <c r="U26" s="5"/>
    </row>
    <row r="27" spans="2:21">
      <c r="B27" s="33" t="s">
        <v>33</v>
      </c>
      <c r="C27" s="33"/>
      <c r="D27" s="33"/>
      <c r="E27" s="33"/>
      <c r="F27" s="2"/>
      <c r="G27" s="2"/>
      <c r="H27" s="2"/>
      <c r="I27" s="2"/>
      <c r="J27" s="2"/>
      <c r="K27" s="2"/>
      <c r="L27" s="2"/>
      <c r="M27" s="2"/>
      <c r="O27" s="3">
        <f>IF(ISBLANK(P27),"",MAX(O$5:O26)+1)</f>
        <v>10</v>
      </c>
      <c r="P27" s="4" t="s">
        <v>110</v>
      </c>
      <c r="Q27" s="2"/>
      <c r="R27" s="5"/>
      <c r="S27" s="5"/>
      <c r="T27" s="5"/>
      <c r="U27" s="5"/>
    </row>
    <row r="28" spans="2:21" outlineLevel="1">
      <c r="B28" s="30" t="str">
        <f t="shared" ref="B28:B36" si="3">B14</f>
        <v>Investor</v>
      </c>
      <c r="C28" s="30"/>
      <c r="D28" s="30"/>
      <c r="E28" s="30"/>
      <c r="F28" s="2" t="str">
        <f t="shared" ref="F28:F38" si="4">F$5</f>
        <v>$</v>
      </c>
      <c r="G28" s="7">
        <v>0</v>
      </c>
      <c r="H28" s="7">
        <v>0</v>
      </c>
      <c r="I28" s="7">
        <v>0</v>
      </c>
      <c r="J28" s="7">
        <v>0</v>
      </c>
      <c r="K28" s="7">
        <v>0</v>
      </c>
      <c r="L28" s="7">
        <v>0</v>
      </c>
      <c r="M28" s="13">
        <f t="shared" ref="M28:M36" si="5">SUM(G28:L28)</f>
        <v>0</v>
      </c>
      <c r="O28" s="3">
        <f>IF(ISBLANK(P28),"",MAX(O$5:O27)+1)</f>
        <v>11</v>
      </c>
      <c r="P28" s="4" t="s">
        <v>111</v>
      </c>
      <c r="Q28" s="2"/>
      <c r="R28" s="5"/>
      <c r="S28" s="5"/>
      <c r="T28" s="5"/>
      <c r="U28" s="5"/>
    </row>
    <row r="29" spans="2:21" outlineLevel="1">
      <c r="B29" s="30" t="str">
        <f t="shared" si="3"/>
        <v>Investor</v>
      </c>
      <c r="C29" s="30"/>
      <c r="D29" s="30"/>
      <c r="E29" s="30"/>
      <c r="F29" s="2" t="str">
        <f t="shared" si="4"/>
        <v>$</v>
      </c>
      <c r="G29" s="7">
        <v>0</v>
      </c>
      <c r="H29" s="7">
        <v>0</v>
      </c>
      <c r="I29" s="7">
        <v>0</v>
      </c>
      <c r="J29" s="7">
        <v>0</v>
      </c>
      <c r="K29" s="7">
        <v>0</v>
      </c>
      <c r="L29" s="7">
        <v>0</v>
      </c>
      <c r="M29" s="13">
        <f t="shared" si="5"/>
        <v>0</v>
      </c>
      <c r="O29" s="3" t="str">
        <f>IF(ISBLANK(P29),"",MAX(O$5:O28)+1)</f>
        <v/>
      </c>
      <c r="P29" s="4"/>
      <c r="Q29" s="2"/>
      <c r="R29" s="5"/>
      <c r="S29" s="5"/>
      <c r="T29" s="5"/>
      <c r="U29" s="5"/>
    </row>
    <row r="30" spans="2:21" outlineLevel="1">
      <c r="B30" s="30" t="str">
        <f t="shared" si="3"/>
        <v>Investor</v>
      </c>
      <c r="C30" s="30"/>
      <c r="D30" s="30"/>
      <c r="E30" s="30"/>
      <c r="F30" s="2" t="str">
        <f t="shared" si="4"/>
        <v>$</v>
      </c>
      <c r="G30" s="7">
        <v>0</v>
      </c>
      <c r="H30" s="7">
        <v>0</v>
      </c>
      <c r="I30" s="7">
        <v>0</v>
      </c>
      <c r="J30" s="7">
        <v>0</v>
      </c>
      <c r="K30" s="7">
        <v>0</v>
      </c>
      <c r="L30" s="7">
        <v>0</v>
      </c>
      <c r="M30" s="13">
        <f t="shared" si="5"/>
        <v>0</v>
      </c>
      <c r="O30" s="3" t="str">
        <f>IF(ISBLANK(P30),"",MAX(O$5:O29)+1)</f>
        <v/>
      </c>
      <c r="P30" s="4"/>
      <c r="Q30" s="2"/>
      <c r="R30" s="5"/>
      <c r="S30" s="5"/>
      <c r="T30" s="5"/>
      <c r="U30" s="5"/>
    </row>
    <row r="31" spans="2:21" outlineLevel="1">
      <c r="B31" s="30" t="str">
        <f t="shared" si="3"/>
        <v>Investor</v>
      </c>
      <c r="C31" s="30"/>
      <c r="D31" s="30"/>
      <c r="E31" s="30"/>
      <c r="F31" s="2" t="str">
        <f t="shared" si="4"/>
        <v>$</v>
      </c>
      <c r="G31" s="7">
        <v>0</v>
      </c>
      <c r="H31" s="7">
        <v>0</v>
      </c>
      <c r="I31" s="7">
        <v>0</v>
      </c>
      <c r="J31" s="7">
        <v>0</v>
      </c>
      <c r="K31" s="7">
        <v>0</v>
      </c>
      <c r="L31" s="7">
        <v>0</v>
      </c>
      <c r="M31" s="13">
        <f t="shared" si="5"/>
        <v>0</v>
      </c>
      <c r="O31" s="3" t="str">
        <f>IF(ISBLANK(P31),"",MAX(O$5:O30)+1)</f>
        <v/>
      </c>
      <c r="P31" s="4"/>
      <c r="Q31" s="2"/>
      <c r="R31" s="5"/>
      <c r="S31" s="5"/>
      <c r="T31" s="5"/>
      <c r="U31" s="5"/>
    </row>
    <row r="32" spans="2:21" outlineLevel="1">
      <c r="B32" s="30" t="str">
        <f t="shared" si="3"/>
        <v>Investor</v>
      </c>
      <c r="C32" s="30"/>
      <c r="D32" s="30"/>
      <c r="E32" s="30"/>
      <c r="F32" s="2" t="str">
        <f t="shared" si="4"/>
        <v>$</v>
      </c>
      <c r="G32" s="7">
        <v>0</v>
      </c>
      <c r="H32" s="7">
        <v>0</v>
      </c>
      <c r="I32" s="7">
        <v>0</v>
      </c>
      <c r="J32" s="7">
        <v>0</v>
      </c>
      <c r="K32" s="7">
        <v>0</v>
      </c>
      <c r="L32" s="7">
        <v>0</v>
      </c>
      <c r="M32" s="13">
        <f t="shared" si="5"/>
        <v>0</v>
      </c>
      <c r="O32" s="3" t="str">
        <f>IF(ISBLANK(P32),"",MAX(O$5:O31)+1)</f>
        <v/>
      </c>
      <c r="P32" s="4"/>
      <c r="Q32" s="2"/>
      <c r="R32" s="5"/>
      <c r="S32" s="5"/>
      <c r="T32" s="5"/>
      <c r="U32" s="5"/>
    </row>
    <row r="33" spans="2:29" outlineLevel="1">
      <c r="B33" s="30" t="str">
        <f t="shared" si="3"/>
        <v>Investor</v>
      </c>
      <c r="C33" s="30"/>
      <c r="D33" s="30"/>
      <c r="E33" s="30"/>
      <c r="F33" s="2" t="str">
        <f t="shared" si="4"/>
        <v>$</v>
      </c>
      <c r="G33" s="7">
        <v>0</v>
      </c>
      <c r="H33" s="7">
        <v>0</v>
      </c>
      <c r="I33" s="7">
        <v>0</v>
      </c>
      <c r="J33" s="7">
        <v>0</v>
      </c>
      <c r="K33" s="7">
        <v>0</v>
      </c>
      <c r="L33" s="7">
        <v>0</v>
      </c>
      <c r="M33" s="13">
        <f t="shared" si="5"/>
        <v>0</v>
      </c>
      <c r="O33" s="3" t="str">
        <f>IF(ISBLANK(P33),"",MAX(O$5:O32)+1)</f>
        <v/>
      </c>
      <c r="P33" s="4"/>
      <c r="Q33" s="2"/>
      <c r="R33" s="5"/>
      <c r="S33" s="5"/>
      <c r="T33" s="5"/>
      <c r="U33" s="5"/>
    </row>
    <row r="34" spans="2:29" outlineLevel="1">
      <c r="B34" s="30" t="str">
        <f t="shared" si="3"/>
        <v>Investor</v>
      </c>
      <c r="C34" s="30"/>
      <c r="D34" s="30"/>
      <c r="E34" s="30"/>
      <c r="F34" s="2" t="str">
        <f t="shared" si="4"/>
        <v>$</v>
      </c>
      <c r="G34" s="7">
        <v>0</v>
      </c>
      <c r="H34" s="7">
        <v>0</v>
      </c>
      <c r="I34" s="7">
        <v>0</v>
      </c>
      <c r="J34" s="7">
        <v>0</v>
      </c>
      <c r="K34" s="7">
        <v>0</v>
      </c>
      <c r="L34" s="7">
        <v>0</v>
      </c>
      <c r="M34" s="13">
        <f t="shared" si="5"/>
        <v>0</v>
      </c>
      <c r="O34" s="3" t="str">
        <f>IF(ISBLANK(P34),"",MAX(O$5:O33)+1)</f>
        <v/>
      </c>
      <c r="P34" s="4"/>
      <c r="Q34" s="2"/>
      <c r="R34" s="5"/>
      <c r="S34" s="5"/>
      <c r="T34" s="5"/>
      <c r="U34" s="5"/>
    </row>
    <row r="35" spans="2:29" outlineLevel="1">
      <c r="B35" s="30" t="str">
        <f t="shared" si="3"/>
        <v>Options Exercised</v>
      </c>
      <c r="C35" s="30"/>
      <c r="D35" s="30"/>
      <c r="E35" s="30"/>
      <c r="F35" s="2" t="str">
        <f t="shared" si="4"/>
        <v>$</v>
      </c>
      <c r="G35" s="7">
        <v>0</v>
      </c>
      <c r="H35" s="7">
        <v>0</v>
      </c>
      <c r="I35" s="7">
        <v>0</v>
      </c>
      <c r="J35" s="7">
        <v>0</v>
      </c>
      <c r="K35" s="7">
        <v>0</v>
      </c>
      <c r="L35" s="7">
        <v>0</v>
      </c>
      <c r="M35" s="13">
        <f t="shared" si="5"/>
        <v>0</v>
      </c>
      <c r="O35" s="3" t="str">
        <f>IF(ISBLANK(P35),"",MAX(O$5:O34)+1)</f>
        <v/>
      </c>
      <c r="P35" s="4"/>
      <c r="Q35" s="2"/>
      <c r="R35" s="5"/>
      <c r="S35" s="5"/>
      <c r="T35" s="5"/>
      <c r="U35" s="5"/>
    </row>
    <row r="36" spans="2:29" outlineLevel="1">
      <c r="B36" s="30" t="str">
        <f t="shared" si="3"/>
        <v>Option Pool</v>
      </c>
      <c r="C36" s="30"/>
      <c r="D36" s="30"/>
      <c r="E36" s="30"/>
      <c r="F36" s="2" t="str">
        <f t="shared" si="4"/>
        <v>$</v>
      </c>
      <c r="G36" s="7">
        <v>0</v>
      </c>
      <c r="H36" s="7">
        <v>0</v>
      </c>
      <c r="I36" s="7">
        <v>0</v>
      </c>
      <c r="J36" s="7">
        <v>0</v>
      </c>
      <c r="K36" s="7">
        <v>0</v>
      </c>
      <c r="L36" s="7">
        <v>0</v>
      </c>
      <c r="M36" s="13">
        <f t="shared" si="5"/>
        <v>0</v>
      </c>
      <c r="O36" s="3" t="str">
        <f>IF(ISBLANK(P36),"",MAX(O$5:O35)+1)</f>
        <v/>
      </c>
      <c r="P36" s="4"/>
      <c r="Q36" s="2"/>
      <c r="R36" s="5"/>
      <c r="S36" s="5"/>
      <c r="T36" s="5"/>
      <c r="U36" s="5"/>
    </row>
    <row r="37" spans="2:29" outlineLevel="1">
      <c r="B37" s="30"/>
      <c r="C37" s="30"/>
      <c r="D37" s="30"/>
      <c r="E37" s="30"/>
      <c r="F37" s="2"/>
      <c r="G37" s="2"/>
      <c r="H37" s="2"/>
      <c r="I37" s="2"/>
      <c r="J37" s="2"/>
      <c r="K37" s="2"/>
      <c r="L37" s="2"/>
      <c r="M37" s="2"/>
      <c r="N37" s="2"/>
      <c r="O37" s="3" t="str">
        <f>IF(ISBLANK(P37),"",MAX(O$5:O36)+1)</f>
        <v/>
      </c>
      <c r="P37" s="4"/>
      <c r="Q37" s="2"/>
      <c r="R37" s="5"/>
      <c r="S37" s="5"/>
      <c r="T37" s="5"/>
      <c r="U37" s="5"/>
    </row>
    <row r="38" spans="2:29" outlineLevel="1">
      <c r="B38" s="30" t="s">
        <v>126</v>
      </c>
      <c r="C38" s="30"/>
      <c r="D38" s="30"/>
      <c r="E38" s="30"/>
      <c r="F38" s="2" t="str">
        <f t="shared" si="4"/>
        <v>$</v>
      </c>
      <c r="G38" s="54">
        <f t="shared" ref="G38:L38" si="6">SUM(G28:G36)</f>
        <v>0</v>
      </c>
      <c r="H38" s="54">
        <f t="shared" si="6"/>
        <v>0</v>
      </c>
      <c r="I38" s="54">
        <f t="shared" si="6"/>
        <v>0</v>
      </c>
      <c r="J38" s="54">
        <f t="shared" si="6"/>
        <v>0</v>
      </c>
      <c r="K38" s="54">
        <f t="shared" si="6"/>
        <v>0</v>
      </c>
      <c r="L38" s="54">
        <f t="shared" si="6"/>
        <v>0</v>
      </c>
      <c r="M38" s="16">
        <f>SUM(G38:L38)</f>
        <v>0</v>
      </c>
      <c r="N38" s="16"/>
      <c r="O38" s="3">
        <f>IF(ISBLANK(P38),"",MAX(O$5:O37)+1)</f>
        <v>12</v>
      </c>
      <c r="P38" s="4" t="s">
        <v>112</v>
      </c>
      <c r="Q38" s="2"/>
      <c r="R38" s="5"/>
      <c r="S38" s="5"/>
      <c r="T38" s="5"/>
      <c r="U38" s="5"/>
    </row>
    <row r="39" spans="2:29" outlineLevel="1">
      <c r="B39" s="30" t="s">
        <v>125</v>
      </c>
      <c r="C39" s="30"/>
      <c r="D39" s="30"/>
      <c r="E39" s="30"/>
      <c r="F39" s="2" t="str">
        <f>F$5</f>
        <v>$</v>
      </c>
      <c r="G39" s="7">
        <f t="shared" ref="G39:I39" si="7">G40*G24</f>
        <v>0</v>
      </c>
      <c r="H39" s="7">
        <f t="shared" si="7"/>
        <v>0</v>
      </c>
      <c r="I39" s="7">
        <f t="shared" si="7"/>
        <v>0</v>
      </c>
      <c r="J39" s="7">
        <f>J40*J24</f>
        <v>0</v>
      </c>
      <c r="K39" s="7">
        <f>SUM(K28:K36)</f>
        <v>0</v>
      </c>
      <c r="L39" s="7">
        <f>SUM(L28:L36)</f>
        <v>0</v>
      </c>
      <c r="M39" s="16">
        <f>SUM(G39:L39)</f>
        <v>0</v>
      </c>
      <c r="N39" s="16"/>
      <c r="O39" s="3">
        <f>IF(ISBLANK(P39),"",MAX(O$5:O38)+1)</f>
        <v>13</v>
      </c>
      <c r="P39" s="4" t="s">
        <v>34</v>
      </c>
      <c r="Q39" s="2"/>
      <c r="R39" s="5"/>
      <c r="S39" s="5"/>
      <c r="T39" s="5"/>
      <c r="U39" s="5"/>
    </row>
    <row r="40" spans="2:29" outlineLevel="1">
      <c r="B40" s="30" t="s">
        <v>35</v>
      </c>
      <c r="C40" s="30"/>
      <c r="D40" s="30"/>
      <c r="E40" s="30"/>
      <c r="F40" s="2" t="str">
        <f>F$5</f>
        <v>$</v>
      </c>
      <c r="G40" s="17">
        <v>0</v>
      </c>
      <c r="H40" s="17">
        <v>0</v>
      </c>
      <c r="I40" s="17">
        <v>0</v>
      </c>
      <c r="J40" s="17">
        <v>0</v>
      </c>
      <c r="K40" s="17">
        <v>0</v>
      </c>
      <c r="L40" s="17">
        <v>0</v>
      </c>
      <c r="M40" s="18" t="s">
        <v>36</v>
      </c>
      <c r="N40" s="18"/>
      <c r="O40" s="3">
        <f>IF(ISBLANK(P40),"",MAX(O$5:O39)+1)</f>
        <v>14</v>
      </c>
      <c r="P40" s="4" t="s">
        <v>37</v>
      </c>
      <c r="Q40" s="2"/>
      <c r="R40" s="5"/>
      <c r="S40" s="5"/>
      <c r="T40" s="5"/>
      <c r="U40" s="5"/>
    </row>
    <row r="41" spans="2:29" outlineLevel="1">
      <c r="B41" s="30" t="s">
        <v>38</v>
      </c>
      <c r="C41" s="30"/>
      <c r="D41" s="30"/>
      <c r="E41" s="30"/>
      <c r="F41" s="2" t="s">
        <v>9</v>
      </c>
      <c r="G41" s="8">
        <f ca="1">EDATE(TODAY(),0)</f>
        <v>43980</v>
      </c>
      <c r="H41" s="8">
        <f ca="1">EDATE(TODAY(),0)</f>
        <v>43980</v>
      </c>
      <c r="I41" s="8">
        <f ca="1">EDATE(TODAY(),0)</f>
        <v>43980</v>
      </c>
      <c r="J41" s="8">
        <f ca="1">EDATE(TODAY(),0)</f>
        <v>43980</v>
      </c>
      <c r="K41" s="19" t="s">
        <v>36</v>
      </c>
      <c r="L41" s="19" t="s">
        <v>36</v>
      </c>
      <c r="M41" s="2"/>
      <c r="N41" s="2"/>
      <c r="O41" s="3">
        <f>IF(ISBLANK(P41),"",MAX(O$5:O40)+1)</f>
        <v>15</v>
      </c>
      <c r="P41" s="4" t="s">
        <v>39</v>
      </c>
      <c r="Q41" s="2"/>
      <c r="R41" s="5"/>
      <c r="S41" s="5"/>
      <c r="T41" s="5"/>
      <c r="U41" s="5"/>
    </row>
    <row r="42" spans="2:29">
      <c r="B42" s="33"/>
      <c r="C42" s="33"/>
      <c r="D42" s="33"/>
      <c r="E42" s="33"/>
      <c r="F42" s="2"/>
      <c r="G42" s="2"/>
      <c r="H42" s="2"/>
      <c r="I42" s="2"/>
      <c r="J42" s="2"/>
      <c r="K42" s="2"/>
      <c r="L42" s="2"/>
      <c r="M42" s="2"/>
      <c r="N42" s="2"/>
      <c r="O42" s="3" t="str">
        <f>IF(ISBLANK(P42),"",MAX(O$5:O41)+1)</f>
        <v/>
      </c>
      <c r="P42" s="4"/>
      <c r="Q42" s="2"/>
      <c r="R42" s="5"/>
      <c r="S42" s="5"/>
      <c r="T42" s="5"/>
      <c r="U42" s="5"/>
    </row>
    <row r="43" spans="2:29">
      <c r="B43" s="33" t="s">
        <v>42</v>
      </c>
      <c r="C43" s="33"/>
      <c r="D43" s="33"/>
      <c r="E43" s="33"/>
      <c r="F43" s="12"/>
      <c r="G43" s="2"/>
      <c r="H43" s="2"/>
      <c r="I43" s="2"/>
      <c r="J43" s="21"/>
      <c r="K43" s="5"/>
      <c r="L43" s="5"/>
      <c r="M43" s="5"/>
      <c r="N43" s="5"/>
      <c r="O43" s="3">
        <f>IF(ISBLANK(P43),"",MAX(O$5:O42)+1)</f>
        <v>16</v>
      </c>
      <c r="P43" s="4" t="s">
        <v>43</v>
      </c>
      <c r="Q43" s="5"/>
      <c r="R43" s="5"/>
      <c r="S43" s="5"/>
    </row>
    <row r="44" spans="2:29" outlineLevel="1">
      <c r="B44" s="30" t="s">
        <v>44</v>
      </c>
      <c r="C44" s="30"/>
      <c r="D44" s="30"/>
      <c r="E44" s="30"/>
      <c r="F44" s="22" t="s">
        <v>5</v>
      </c>
      <c r="G44" s="20">
        <v>1</v>
      </c>
      <c r="H44" s="20">
        <v>1</v>
      </c>
      <c r="I44" s="20">
        <v>1</v>
      </c>
      <c r="J44" s="20">
        <v>1</v>
      </c>
      <c r="K44" s="19" t="s">
        <v>36</v>
      </c>
      <c r="L44" s="19" t="s">
        <v>36</v>
      </c>
      <c r="M44" s="5"/>
      <c r="N44" s="5"/>
      <c r="O44" s="3" t="str">
        <f>IF(ISBLANK(P44),"",MAX(O$5:O43)+1)</f>
        <v/>
      </c>
      <c r="P44" s="4"/>
      <c r="Q44" s="5"/>
      <c r="R44" s="5"/>
      <c r="S44" s="5"/>
    </row>
    <row r="45" spans="2:29" outlineLevel="1">
      <c r="B45" s="30" t="s">
        <v>42</v>
      </c>
      <c r="C45" s="30"/>
      <c r="D45" s="30"/>
      <c r="E45" s="30"/>
      <c r="F45" s="2" t="str">
        <f>F$5</f>
        <v>$</v>
      </c>
      <c r="G45" s="16">
        <f>G39*G44</f>
        <v>0</v>
      </c>
      <c r="H45" s="16">
        <f>H39*H44</f>
        <v>0</v>
      </c>
      <c r="I45" s="16">
        <f>I39*I44</f>
        <v>0</v>
      </c>
      <c r="J45" s="16">
        <f>J39*J44</f>
        <v>0</v>
      </c>
      <c r="K45" s="19">
        <v>0</v>
      </c>
      <c r="L45" s="19">
        <v>0</v>
      </c>
      <c r="M45" s="16">
        <f>SUM(G45:L45)</f>
        <v>0</v>
      </c>
      <c r="N45" s="16"/>
      <c r="O45" s="3">
        <f>IF(ISBLANK(P45),"",MAX(O$5:O44)+1)</f>
        <v>17</v>
      </c>
      <c r="P45" s="4" t="s">
        <v>106</v>
      </c>
      <c r="R45" s="5"/>
      <c r="AC45" s="13">
        <f>SUMIFS(G45:J45,G46:J46,"&lt;&gt;"&amp;B327)</f>
        <v>0</v>
      </c>
    </row>
    <row r="46" spans="2:29" outlineLevel="1">
      <c r="B46" s="30" t="s">
        <v>45</v>
      </c>
      <c r="C46" s="30"/>
      <c r="D46" s="30"/>
      <c r="E46" s="30"/>
      <c r="F46" s="2" t="s">
        <v>9</v>
      </c>
      <c r="G46" s="23" t="s">
        <v>46</v>
      </c>
      <c r="H46" s="23" t="s">
        <v>46</v>
      </c>
      <c r="I46" s="23" t="s">
        <v>46</v>
      </c>
      <c r="J46" s="23" t="s">
        <v>46</v>
      </c>
      <c r="K46" s="19" t="s">
        <v>36</v>
      </c>
      <c r="L46" s="19" t="s">
        <v>36</v>
      </c>
      <c r="O46" s="3">
        <f>IF(ISBLANK(P46),"",MAX(O$5:O45)+1)</f>
        <v>18</v>
      </c>
      <c r="P46" s="4" t="s">
        <v>47</v>
      </c>
    </row>
    <row r="47" spans="2:29" outlineLevel="1">
      <c r="B47" s="30" t="s">
        <v>48</v>
      </c>
      <c r="C47" s="30"/>
      <c r="D47" s="30"/>
      <c r="E47" s="30"/>
      <c r="F47" s="2" t="s">
        <v>5</v>
      </c>
      <c r="G47" s="20">
        <v>2</v>
      </c>
      <c r="H47" s="20">
        <v>2</v>
      </c>
      <c r="I47" s="20">
        <v>2</v>
      </c>
      <c r="J47" s="20">
        <v>1</v>
      </c>
      <c r="K47" s="19" t="s">
        <v>36</v>
      </c>
      <c r="L47" s="19" t="s">
        <v>36</v>
      </c>
      <c r="O47" s="3">
        <f>IF(ISBLANK(P47),"",MAX(O$5:O46)+1)</f>
        <v>19</v>
      </c>
      <c r="P47" s="4" t="s">
        <v>49</v>
      </c>
    </row>
    <row r="48" spans="2:29" outlineLevel="1">
      <c r="B48" s="30" t="s">
        <v>50</v>
      </c>
      <c r="C48" s="30"/>
      <c r="D48" s="30"/>
      <c r="E48" s="30"/>
      <c r="F48" s="2" t="str">
        <f>F$5</f>
        <v>$</v>
      </c>
      <c r="G48" s="13">
        <f>IF($G$46=$B$328,G39*G47,0)</f>
        <v>0</v>
      </c>
      <c r="H48" s="13">
        <f>IF($G$46=$B$328,H39*H47,0)</f>
        <v>0</v>
      </c>
      <c r="I48" s="13">
        <f>IF($G$46=$B$328,I39*I47,0)</f>
        <v>0</v>
      </c>
      <c r="J48" s="13">
        <f>IF($G$46=$B$328,J39*J47,0)</f>
        <v>0</v>
      </c>
      <c r="K48" s="13">
        <v>0</v>
      </c>
      <c r="L48" s="13">
        <v>0</v>
      </c>
      <c r="M48" s="16">
        <f>SUM(G48:L48)</f>
        <v>0</v>
      </c>
      <c r="N48" s="16"/>
      <c r="O48" s="3" t="str">
        <f>IF(ISBLANK(P48),"",MAX(O$5:O47)+1)</f>
        <v/>
      </c>
      <c r="Q48" s="2"/>
      <c r="R48" s="2"/>
      <c r="S48" s="2"/>
      <c r="T48" s="5"/>
      <c r="U48" s="5"/>
    </row>
    <row r="49" spans="2:21" outlineLevel="1">
      <c r="B49" s="30" t="s">
        <v>51</v>
      </c>
      <c r="C49" s="30"/>
      <c r="D49" s="30"/>
      <c r="E49" s="30"/>
      <c r="F49" s="2" t="s">
        <v>5</v>
      </c>
      <c r="G49" s="20">
        <v>1</v>
      </c>
      <c r="H49" s="20">
        <v>1</v>
      </c>
      <c r="I49" s="20">
        <v>1</v>
      </c>
      <c r="J49" s="20">
        <v>1</v>
      </c>
      <c r="K49" s="24">
        <v>1</v>
      </c>
      <c r="L49" s="24">
        <v>1</v>
      </c>
      <c r="O49" s="3" t="str">
        <f>IF(ISBLANK(P49),"",MAX(O$5:O48)+1)</f>
        <v/>
      </c>
      <c r="Q49" s="2"/>
      <c r="R49" s="2"/>
      <c r="S49" s="2"/>
      <c r="T49" s="5"/>
      <c r="U49" s="5"/>
    </row>
    <row r="50" spans="2:21">
      <c r="B50" s="30"/>
      <c r="C50" s="30"/>
      <c r="D50" s="30"/>
      <c r="E50" s="30"/>
      <c r="F50" s="2"/>
      <c r="G50" s="2"/>
      <c r="H50" s="2"/>
      <c r="I50" s="2"/>
      <c r="J50" s="2"/>
      <c r="K50" s="2"/>
      <c r="L50" s="2"/>
      <c r="M50" s="2"/>
      <c r="N50" s="2"/>
      <c r="O50" s="3" t="str">
        <f>IF(ISBLANK(P50),"",MAX(O$5:O49)+1)</f>
        <v/>
      </c>
      <c r="Q50" s="2"/>
      <c r="R50" s="2"/>
      <c r="S50" s="2"/>
      <c r="T50" s="5"/>
      <c r="U50" s="5"/>
    </row>
    <row r="51" spans="2:21">
      <c r="B51" s="33" t="s">
        <v>40</v>
      </c>
      <c r="C51" s="33"/>
      <c r="D51" s="33"/>
      <c r="E51" s="33"/>
      <c r="F51" s="2"/>
      <c r="G51" s="2"/>
      <c r="H51" s="2"/>
      <c r="I51" s="2"/>
      <c r="J51" s="2"/>
      <c r="K51" s="2"/>
      <c r="L51" s="2"/>
      <c r="M51" s="2"/>
      <c r="N51" s="2"/>
      <c r="O51" s="3">
        <f>IF(ISBLANK(P51),"",MAX(O$5:O50)+1)</f>
        <v>20</v>
      </c>
      <c r="P51" s="4" t="s">
        <v>113</v>
      </c>
      <c r="Q51" s="2"/>
      <c r="R51" s="5"/>
      <c r="S51" s="5"/>
      <c r="T51" s="5"/>
      <c r="U51" s="5"/>
    </row>
    <row r="52" spans="2:21" outlineLevel="1">
      <c r="B52" s="30" t="s">
        <v>41</v>
      </c>
      <c r="C52" s="30"/>
      <c r="D52" s="30"/>
      <c r="E52" s="30"/>
      <c r="F52" s="2" t="s">
        <v>9</v>
      </c>
      <c r="G52" s="20" t="str">
        <f>$B334</f>
        <v>Not Declared</v>
      </c>
      <c r="H52" s="20" t="str">
        <f>$B334</f>
        <v>Not Declared</v>
      </c>
      <c r="I52" s="20" t="str">
        <f>$B334</f>
        <v>Not Declared</v>
      </c>
      <c r="J52" s="20" t="str">
        <f>$B334</f>
        <v>Not Declared</v>
      </c>
      <c r="K52" s="19" t="str">
        <f>K53</f>
        <v>na</v>
      </c>
      <c r="L52" s="19" t="str">
        <f>L53</f>
        <v>na</v>
      </c>
      <c r="M52" s="2"/>
      <c r="N52" s="2"/>
      <c r="O52" s="3">
        <f>IF(ISBLANK(P52),"",MAX(O$5:O51)+1)</f>
        <v>21</v>
      </c>
      <c r="P52" s="4" t="s">
        <v>114</v>
      </c>
      <c r="Q52" s="2"/>
      <c r="R52" s="5"/>
      <c r="S52" s="5"/>
      <c r="T52" s="5"/>
      <c r="U52" s="5"/>
    </row>
    <row r="53" spans="2:21" outlineLevel="1">
      <c r="B53" s="30" t="s">
        <v>115</v>
      </c>
      <c r="C53" s="30"/>
      <c r="D53" s="30"/>
      <c r="E53" s="30"/>
      <c r="F53" s="2" t="s">
        <v>12</v>
      </c>
      <c r="G53" s="9">
        <v>0.05</v>
      </c>
      <c r="H53" s="9">
        <v>0.05</v>
      </c>
      <c r="I53" s="9">
        <v>0.05</v>
      </c>
      <c r="J53" s="9">
        <v>0.05</v>
      </c>
      <c r="K53" s="19" t="s">
        <v>36</v>
      </c>
      <c r="L53" s="19" t="s">
        <v>36</v>
      </c>
      <c r="M53" s="2"/>
      <c r="N53" s="2"/>
      <c r="O53" s="3">
        <f>IF(ISBLANK(P53),"",MAX(O$5:O52)+1)</f>
        <v>22</v>
      </c>
      <c r="P53" s="4" t="s">
        <v>116</v>
      </c>
      <c r="Q53" s="2"/>
      <c r="R53" s="5"/>
      <c r="S53" s="5"/>
      <c r="T53" s="5"/>
      <c r="U53" s="5"/>
    </row>
    <row r="54" spans="2:21">
      <c r="B54" s="30"/>
      <c r="C54" s="30"/>
      <c r="D54" s="30"/>
      <c r="E54" s="30"/>
      <c r="F54" s="2"/>
      <c r="G54" s="2"/>
      <c r="H54" s="2"/>
      <c r="I54" s="2"/>
      <c r="J54" s="2"/>
      <c r="K54" s="2"/>
      <c r="L54" s="2"/>
      <c r="M54" s="2"/>
      <c r="N54" s="2"/>
      <c r="O54" s="3" t="str">
        <f>IF(ISBLANK(P54),"",MAX(O$5:O53)+1)</f>
        <v/>
      </c>
      <c r="P54" s="4"/>
      <c r="Q54" s="2"/>
      <c r="R54" s="5"/>
      <c r="S54" s="5"/>
      <c r="T54" s="5"/>
      <c r="U54" s="5"/>
    </row>
    <row r="55" spans="2:21">
      <c r="B55" s="76" t="str">
        <f>"Unconverted Convertible Instruments, "&amp;F5&amp;" Amount Paid prior to distribution to Equity"</f>
        <v>Unconverted Convertible Instruments, $ Amount Paid prior to distribution to Equity</v>
      </c>
      <c r="C55" s="104"/>
      <c r="D55" s="78"/>
      <c r="E55" s="78"/>
      <c r="O55" s="3">
        <f>IF(ISBLANK(P55),"",MAX(O$5:O54)+1)</f>
        <v>23</v>
      </c>
      <c r="P55" s="4" t="s">
        <v>224</v>
      </c>
    </row>
    <row r="56" spans="2:21" outlineLevel="1">
      <c r="B56" s="77" t="str">
        <f t="shared" ref="B56:B63" si="8">B14</f>
        <v>Investor</v>
      </c>
      <c r="C56" s="78"/>
      <c r="D56" s="78"/>
      <c r="E56" s="78"/>
      <c r="F56" s="29" t="str">
        <f t="shared" ref="F56:F64" si="9">F$5</f>
        <v>$</v>
      </c>
      <c r="G56" s="7">
        <v>0</v>
      </c>
      <c r="H56" s="7">
        <v>0</v>
      </c>
      <c r="I56" s="7">
        <v>0</v>
      </c>
      <c r="J56" s="7">
        <v>0</v>
      </c>
      <c r="K56" s="7">
        <v>0</v>
      </c>
      <c r="L56" s="7">
        <v>0</v>
      </c>
      <c r="M56" s="7">
        <v>0</v>
      </c>
      <c r="O56" s="3">
        <f>IF(ISBLANK(P56),"",MAX(O$5:O55)+1)</f>
        <v>24</v>
      </c>
      <c r="P56" s="4" t="s">
        <v>225</v>
      </c>
    </row>
    <row r="57" spans="2:21" outlineLevel="1">
      <c r="B57" s="77" t="str">
        <f t="shared" si="8"/>
        <v>Investor</v>
      </c>
      <c r="C57" s="78"/>
      <c r="D57" s="78"/>
      <c r="E57" s="78"/>
      <c r="F57" s="29" t="str">
        <f t="shared" si="9"/>
        <v>$</v>
      </c>
      <c r="G57" s="7">
        <v>0</v>
      </c>
      <c r="H57" s="7">
        <v>0</v>
      </c>
      <c r="I57" s="7">
        <v>0</v>
      </c>
      <c r="J57" s="7">
        <v>0</v>
      </c>
      <c r="K57" s="7">
        <v>0</v>
      </c>
      <c r="L57" s="7">
        <v>0</v>
      </c>
      <c r="M57" s="7">
        <v>0</v>
      </c>
      <c r="O57" s="3" t="str">
        <f>IF(ISBLANK(P57),"",MAX(O$5:O56)+1)</f>
        <v/>
      </c>
      <c r="P57" s="4"/>
    </row>
    <row r="58" spans="2:21" outlineLevel="1">
      <c r="B58" s="77" t="str">
        <f t="shared" si="8"/>
        <v>Investor</v>
      </c>
      <c r="C58" s="78"/>
      <c r="D58" s="78"/>
      <c r="E58" s="78"/>
      <c r="F58" s="29" t="str">
        <f t="shared" si="9"/>
        <v>$</v>
      </c>
      <c r="G58" s="7">
        <v>0</v>
      </c>
      <c r="H58" s="7">
        <v>0</v>
      </c>
      <c r="I58" s="7">
        <v>0</v>
      </c>
      <c r="J58" s="7">
        <v>0</v>
      </c>
      <c r="K58" s="7">
        <v>0</v>
      </c>
      <c r="L58" s="7">
        <v>0</v>
      </c>
      <c r="M58" s="7">
        <v>0</v>
      </c>
      <c r="O58" s="3" t="str">
        <f>IF(ISBLANK(P58),"",MAX(O$5:O57)+1)</f>
        <v/>
      </c>
      <c r="P58" s="4"/>
    </row>
    <row r="59" spans="2:21" outlineLevel="1">
      <c r="B59" s="77" t="str">
        <f t="shared" si="8"/>
        <v>Investor</v>
      </c>
      <c r="C59" s="78"/>
      <c r="D59" s="78"/>
      <c r="E59" s="78"/>
      <c r="F59" s="29" t="str">
        <f t="shared" si="9"/>
        <v>$</v>
      </c>
      <c r="G59" s="7">
        <v>0</v>
      </c>
      <c r="H59" s="7">
        <v>0</v>
      </c>
      <c r="I59" s="7">
        <v>0</v>
      </c>
      <c r="J59" s="7">
        <v>0</v>
      </c>
      <c r="K59" s="7">
        <v>0</v>
      </c>
      <c r="L59" s="7">
        <v>0</v>
      </c>
      <c r="M59" s="7">
        <v>0</v>
      </c>
      <c r="O59" s="3" t="str">
        <f>IF(ISBLANK(P59),"",MAX(O$5:O58)+1)</f>
        <v/>
      </c>
      <c r="P59" s="4"/>
    </row>
    <row r="60" spans="2:21" outlineLevel="1">
      <c r="B60" s="77" t="str">
        <f t="shared" si="8"/>
        <v>Investor</v>
      </c>
      <c r="C60" s="78"/>
      <c r="D60" s="78"/>
      <c r="E60" s="78"/>
      <c r="F60" s="29" t="str">
        <f t="shared" si="9"/>
        <v>$</v>
      </c>
      <c r="G60" s="7">
        <v>0</v>
      </c>
      <c r="H60" s="7">
        <v>0</v>
      </c>
      <c r="I60" s="7">
        <v>0</v>
      </c>
      <c r="J60" s="7">
        <v>0</v>
      </c>
      <c r="K60" s="7">
        <v>0</v>
      </c>
      <c r="L60" s="7">
        <v>0</v>
      </c>
      <c r="M60" s="7">
        <v>0</v>
      </c>
      <c r="O60" s="3" t="str">
        <f>IF(ISBLANK(P60),"",MAX(O$5:O59)+1)</f>
        <v/>
      </c>
      <c r="P60" s="4"/>
    </row>
    <row r="61" spans="2:21" outlineLevel="1">
      <c r="B61" s="77" t="str">
        <f t="shared" si="8"/>
        <v>Investor</v>
      </c>
      <c r="C61" s="78"/>
      <c r="D61" s="78"/>
      <c r="E61" s="78"/>
      <c r="F61" s="29" t="str">
        <f t="shared" si="9"/>
        <v>$</v>
      </c>
      <c r="G61" s="7">
        <v>0</v>
      </c>
      <c r="H61" s="7">
        <v>0</v>
      </c>
      <c r="I61" s="7">
        <v>0</v>
      </c>
      <c r="J61" s="7">
        <v>0</v>
      </c>
      <c r="K61" s="7">
        <v>0</v>
      </c>
      <c r="L61" s="7">
        <v>0</v>
      </c>
      <c r="M61" s="7">
        <v>0</v>
      </c>
      <c r="O61" s="3" t="str">
        <f>IF(ISBLANK(P61),"",MAX(O$5:O60)+1)</f>
        <v/>
      </c>
      <c r="P61" s="4"/>
    </row>
    <row r="62" spans="2:21" outlineLevel="1">
      <c r="B62" s="77" t="str">
        <f t="shared" si="8"/>
        <v>Investor</v>
      </c>
      <c r="C62" s="78"/>
      <c r="D62" s="78"/>
      <c r="E62" s="78"/>
      <c r="F62" s="29" t="str">
        <f t="shared" si="9"/>
        <v>$</v>
      </c>
      <c r="G62" s="7">
        <v>0</v>
      </c>
      <c r="H62" s="7">
        <v>0</v>
      </c>
      <c r="I62" s="7">
        <v>0</v>
      </c>
      <c r="J62" s="7">
        <v>0</v>
      </c>
      <c r="K62" s="7">
        <v>0</v>
      </c>
      <c r="L62" s="7">
        <v>0</v>
      </c>
      <c r="M62" s="7">
        <v>0</v>
      </c>
      <c r="O62" s="3" t="str">
        <f>IF(ISBLANK(P62),"",MAX(O$5:O61)+1)</f>
        <v/>
      </c>
      <c r="P62" s="4"/>
    </row>
    <row r="63" spans="2:21" outlineLevel="1">
      <c r="B63" s="77" t="str">
        <f t="shared" si="8"/>
        <v>Options Exercised</v>
      </c>
      <c r="C63" s="78"/>
      <c r="D63" s="78"/>
      <c r="E63" s="78"/>
      <c r="F63" s="29" t="str">
        <f t="shared" si="9"/>
        <v>$</v>
      </c>
      <c r="G63" s="7">
        <v>0</v>
      </c>
      <c r="H63" s="7">
        <v>0</v>
      </c>
      <c r="I63" s="7">
        <v>0</v>
      </c>
      <c r="J63" s="7">
        <v>0</v>
      </c>
      <c r="K63" s="7">
        <v>0</v>
      </c>
      <c r="L63" s="7">
        <v>0</v>
      </c>
      <c r="M63" s="7">
        <v>0</v>
      </c>
      <c r="O63" s="3" t="str">
        <f>IF(ISBLANK(P63),"",MAX(O$5:O62)+1)</f>
        <v/>
      </c>
      <c r="P63" s="4"/>
    </row>
    <row r="64" spans="2:21" outlineLevel="1">
      <c r="B64" s="78" t="s">
        <v>28</v>
      </c>
      <c r="C64" s="78"/>
      <c r="D64" s="78"/>
      <c r="E64" s="78"/>
      <c r="F64" s="29" t="str">
        <f t="shared" si="9"/>
        <v>$</v>
      </c>
      <c r="G64" s="73">
        <f t="shared" ref="G64:L64" si="10">SUM(G56:G63)</f>
        <v>0</v>
      </c>
      <c r="H64" s="73">
        <f t="shared" si="10"/>
        <v>0</v>
      </c>
      <c r="I64" s="73">
        <f t="shared" si="10"/>
        <v>0</v>
      </c>
      <c r="J64" s="73">
        <f t="shared" si="10"/>
        <v>0</v>
      </c>
      <c r="K64" s="73">
        <f t="shared" si="10"/>
        <v>0</v>
      </c>
      <c r="L64" s="73">
        <f t="shared" si="10"/>
        <v>0</v>
      </c>
      <c r="M64" s="73">
        <f t="shared" ref="M64" si="11">SUM(M56:M63)</f>
        <v>0</v>
      </c>
      <c r="O64" s="3" t="str">
        <f>IF(ISBLANK(P64),"",MAX(O$5:O63)+1)</f>
        <v/>
      </c>
      <c r="P64" s="4"/>
    </row>
    <row r="65" spans="2:21" outlineLevel="1">
      <c r="B65" s="77"/>
      <c r="C65" s="78"/>
      <c r="D65" s="78"/>
      <c r="E65" s="78"/>
      <c r="O65" s="3" t="str">
        <f>IF(ISBLANK(P65),"",MAX(O$5:O64)+1)</f>
        <v/>
      </c>
      <c r="P65" s="4"/>
    </row>
    <row r="66" spans="2:21">
      <c r="B66" s="33" t="s">
        <v>124</v>
      </c>
      <c r="C66" s="33"/>
      <c r="D66" s="33"/>
      <c r="E66" s="33"/>
      <c r="F66" s="52"/>
      <c r="G66" s="19"/>
      <c r="H66" s="19"/>
      <c r="O66" s="3">
        <f>IF(ISBLANK(P66),"",MAX(O$5:O65)+1)</f>
        <v>25</v>
      </c>
      <c r="P66" s="52" t="s">
        <v>154</v>
      </c>
      <c r="R66" s="2"/>
      <c r="S66" s="2"/>
      <c r="T66" s="5"/>
      <c r="U66" s="5"/>
    </row>
    <row r="67" spans="2:21" outlineLevel="1">
      <c r="B67" s="30" t="s">
        <v>127</v>
      </c>
      <c r="C67" s="30"/>
      <c r="D67" s="30"/>
      <c r="E67" s="30"/>
      <c r="F67" s="2" t="s">
        <v>9</v>
      </c>
      <c r="G67" s="19" t="str">
        <f t="shared" ref="G67:L67" si="12">G13</f>
        <v>C</v>
      </c>
      <c r="H67" s="19" t="str">
        <f t="shared" si="12"/>
        <v>B</v>
      </c>
      <c r="I67" s="19" t="str">
        <f t="shared" si="12"/>
        <v>A</v>
      </c>
      <c r="J67" s="19" t="str">
        <f t="shared" si="12"/>
        <v>Seed</v>
      </c>
      <c r="K67" s="19" t="str">
        <f t="shared" si="12"/>
        <v>Common</v>
      </c>
      <c r="L67" s="19" t="str">
        <f t="shared" si="12"/>
        <v>Options</v>
      </c>
      <c r="M67" s="19" t="s">
        <v>36</v>
      </c>
      <c r="N67" s="19"/>
      <c r="O67" s="3">
        <f>IF(ISBLANK(P67),"",MAX(O$5:O66)+1)</f>
        <v>26</v>
      </c>
      <c r="P67" s="52" t="s">
        <v>131</v>
      </c>
      <c r="R67" s="2"/>
      <c r="S67" s="2"/>
      <c r="T67" s="5"/>
      <c r="U67" s="5"/>
    </row>
    <row r="68" spans="2:21" outlineLevel="1">
      <c r="B68" s="30" t="s">
        <v>153</v>
      </c>
      <c r="C68" s="30"/>
      <c r="D68" s="30"/>
      <c r="E68" s="30"/>
      <c r="F68" s="2" t="s">
        <v>9</v>
      </c>
      <c r="G68" s="56" t="str">
        <f>G67</f>
        <v>C</v>
      </c>
      <c r="H68" s="56" t="str">
        <f>H67</f>
        <v>B</v>
      </c>
      <c r="I68" s="56" t="str">
        <f>I67</f>
        <v>A</v>
      </c>
      <c r="J68" s="56" t="str">
        <f>J67</f>
        <v>Seed</v>
      </c>
      <c r="K68" s="56" t="str">
        <f>K67</f>
        <v>Common</v>
      </c>
      <c r="L68" s="19" t="str">
        <f>K68</f>
        <v>Common</v>
      </c>
      <c r="M68" s="19" t="s">
        <v>36</v>
      </c>
      <c r="N68" s="19"/>
      <c r="O68" s="3">
        <f>IF(ISBLANK(P68),"",MAX(O$5:O67)+1)</f>
        <v>27</v>
      </c>
      <c r="P68" s="52" t="s">
        <v>133</v>
      </c>
      <c r="R68" s="2"/>
      <c r="S68" s="2"/>
      <c r="T68" s="5"/>
      <c r="U68" s="5"/>
    </row>
    <row r="69" spans="2:21" outlineLevel="1">
      <c r="B69" s="30"/>
      <c r="C69" s="30"/>
      <c r="D69" s="30"/>
      <c r="E69" s="30"/>
      <c r="F69" s="29"/>
      <c r="G69" s="57"/>
      <c r="H69" s="57"/>
      <c r="I69" s="57"/>
      <c r="J69" s="57"/>
      <c r="K69" s="57"/>
      <c r="L69" s="58"/>
      <c r="M69" s="58"/>
      <c r="N69" s="58"/>
      <c r="O69" s="3" t="str">
        <f>IF(ISBLANK(P69),"",MAX(O$5:O68)+1)</f>
        <v/>
      </c>
      <c r="P69" s="52"/>
      <c r="R69" s="29"/>
      <c r="S69" s="29"/>
      <c r="T69" s="30"/>
      <c r="U69" s="30"/>
    </row>
    <row r="70" spans="2:21" outlineLevel="1">
      <c r="B70" s="30" t="s">
        <v>129</v>
      </c>
      <c r="C70" s="30"/>
      <c r="D70" s="30"/>
      <c r="E70" s="30"/>
      <c r="F70" s="2" t="s">
        <v>5</v>
      </c>
      <c r="G70" s="59" cm="1">
        <f t="array" ref="G70">SUMPRODUCT($G24:$L24,--($G68:$L68=G13))</f>
        <v>0</v>
      </c>
      <c r="H70" s="59" cm="1">
        <f t="array" ref="H70">SUMPRODUCT($G24:$L24,--($G68:$L68=H13))</f>
        <v>0</v>
      </c>
      <c r="I70" s="59" cm="1">
        <f t="array" ref="I70">SUMPRODUCT($G24:$L24,--($G68:$L68=I13))</f>
        <v>0</v>
      </c>
      <c r="J70" s="59" cm="1">
        <f t="array" ref="J70">SUMPRODUCT($G24:$L24,--($G68:$L68=J13))</f>
        <v>0</v>
      </c>
      <c r="K70" s="59" cm="1">
        <f t="array" ref="K70">SUMPRODUCT($G24:$L24,--($G68:$L68=K13))</f>
        <v>0</v>
      </c>
      <c r="L70" s="19" cm="1">
        <f t="array" ref="L70">SUMPRODUCT($G24:$L24,--($G68:$L68=L13))</f>
        <v>0</v>
      </c>
      <c r="M70" s="16">
        <f>SUM(G70:L70)</f>
        <v>0</v>
      </c>
      <c r="N70" s="16"/>
      <c r="O70" s="3">
        <f>IF(ISBLANK(P70),"",MAX(O$5:O69)+1)</f>
        <v>28</v>
      </c>
      <c r="P70" s="52" t="s">
        <v>134</v>
      </c>
      <c r="R70" s="2"/>
      <c r="S70" s="2"/>
      <c r="T70" s="5"/>
      <c r="U70" s="5"/>
    </row>
    <row r="71" spans="2:21" outlineLevel="1">
      <c r="B71" s="30" t="s">
        <v>139</v>
      </c>
      <c r="C71" s="30"/>
      <c r="D71" s="30"/>
      <c r="E71" s="30"/>
      <c r="F71" s="2" t="str">
        <f>F$5</f>
        <v>$</v>
      </c>
      <c r="G71" s="59" cm="1">
        <f t="array" ref="G71">SUMPRODUCT($G39:$L39,--($G68:$L68=G13))</f>
        <v>0</v>
      </c>
      <c r="H71" s="59" cm="1">
        <f t="array" ref="H71">SUMPRODUCT($G39:$L39,--($G68:$L68=H13))</f>
        <v>0</v>
      </c>
      <c r="I71" s="59" cm="1">
        <f t="array" ref="I71">SUMPRODUCT($G39:$L39,--($G68:$L68=I13))</f>
        <v>0</v>
      </c>
      <c r="J71" s="59" cm="1">
        <f t="array" ref="J71">SUMPRODUCT($G39:$L39,--($G68:$L68=J13))</f>
        <v>0</v>
      </c>
      <c r="K71" s="59" cm="1">
        <f t="array" ref="K71">SUMPRODUCT($G39:$L39,--($G68:$L68=K13))</f>
        <v>0</v>
      </c>
      <c r="L71" s="59" cm="1">
        <f t="array" ref="L71">SUMPRODUCT($G39:$L39,--($G68:$L68=L13))</f>
        <v>0</v>
      </c>
      <c r="M71" s="16">
        <f>SUM(G71:L71)</f>
        <v>0</v>
      </c>
      <c r="N71" s="16"/>
      <c r="O71" s="3">
        <f>IF(ISBLANK(P71),"",MAX(O$5:O70)+1)</f>
        <v>29</v>
      </c>
      <c r="P71" s="52" t="s">
        <v>158</v>
      </c>
      <c r="R71" s="2"/>
      <c r="S71" s="2"/>
      <c r="T71" s="5"/>
      <c r="U71" s="5"/>
    </row>
    <row r="72" spans="2:21" outlineLevel="1">
      <c r="B72" s="30" t="s">
        <v>136</v>
      </c>
      <c r="C72" s="30"/>
      <c r="D72" s="30"/>
      <c r="E72" s="30"/>
      <c r="F72" s="2" t="str">
        <f>F$5</f>
        <v>$</v>
      </c>
      <c r="G72" s="59" cm="1">
        <f t="array" ref="G72">SUMPRODUCT($G45:$L45,--($G68:$L68=G13))</f>
        <v>0</v>
      </c>
      <c r="H72" s="59" cm="1">
        <f t="array" ref="H72">SUMPRODUCT($G45:$L45,--($G68:$L68=H13))</f>
        <v>0</v>
      </c>
      <c r="I72" s="59" cm="1">
        <f t="array" ref="I72">SUMPRODUCT($G45:$L45,--($G68:$L68=I13))</f>
        <v>0</v>
      </c>
      <c r="J72" s="59" cm="1">
        <f t="array" ref="J72">SUMPRODUCT($G45:$L45,--($G68:$L68=J13))</f>
        <v>0</v>
      </c>
      <c r="K72" s="59" cm="1">
        <f t="array" ref="K72">SUMPRODUCT($G45:$L45,--($G68:$L68=K13))</f>
        <v>0</v>
      </c>
      <c r="L72" s="59" cm="1">
        <f t="array" ref="L72">SUMPRODUCT($G45:$L45,--($G68:$L68=L13))</f>
        <v>0</v>
      </c>
      <c r="M72" s="16">
        <f>SUM(G72:L72)</f>
        <v>0</v>
      </c>
      <c r="N72" s="16"/>
      <c r="O72" s="3">
        <f>IF(ISBLANK(P72),"",MAX(O$5:O71)+1)</f>
        <v>30</v>
      </c>
      <c r="P72" s="52" t="s">
        <v>158</v>
      </c>
      <c r="R72" s="2"/>
      <c r="S72" s="2"/>
      <c r="T72" s="5"/>
      <c r="U72" s="5"/>
    </row>
    <row r="73" spans="2:21" outlineLevel="1">
      <c r="B73" s="30" t="s">
        <v>157</v>
      </c>
      <c r="C73" s="30"/>
      <c r="D73" s="30"/>
      <c r="E73" s="30"/>
      <c r="F73" s="2" t="s">
        <v>9</v>
      </c>
      <c r="G73" s="60" t="str" cm="1">
        <f t="array" ref="G73">INDEX($G46:$L46,0,MATCH(G68,$G67:$L67,0))</f>
        <v>Non Participating Preferred</v>
      </c>
      <c r="H73" s="60" t="str" cm="1">
        <f t="array" ref="H73">INDEX($G46:$L46,0,MATCH(H68,$G67:$L67,0))</f>
        <v>Non Participating Preferred</v>
      </c>
      <c r="I73" s="60" t="str" cm="1">
        <f t="array" ref="I73">INDEX($G46:$L46,0,MATCH(I68,$G67:$L67,0))</f>
        <v>Non Participating Preferred</v>
      </c>
      <c r="J73" s="60" t="str" cm="1">
        <f t="array" ref="J73">INDEX($G46:$L46,0,MATCH(J68,$G67:$L67,0))</f>
        <v>Non Participating Preferred</v>
      </c>
      <c r="K73" s="61" t="str" cm="1">
        <f t="array" ref="K73">INDEX($G46:$L46,0,MATCH(K68,$G67:$L67,0))</f>
        <v>na</v>
      </c>
      <c r="L73" s="61" t="str" cm="1">
        <f t="array" ref="L73">INDEX($G46:$L46,0,MATCH(L68,$G67:$L67,0))</f>
        <v>na</v>
      </c>
      <c r="M73" s="16"/>
      <c r="N73" s="16"/>
      <c r="O73" s="3">
        <f>IF(ISBLANK(P73),"",MAX(O$5:O72)+1)</f>
        <v>31</v>
      </c>
      <c r="P73" s="52" t="s">
        <v>160</v>
      </c>
      <c r="R73" s="2"/>
      <c r="S73" s="2"/>
      <c r="T73" s="5"/>
      <c r="U73" s="5"/>
    </row>
    <row r="74" spans="2:21" outlineLevel="1">
      <c r="B74" s="30" t="s">
        <v>155</v>
      </c>
      <c r="C74" s="30"/>
      <c r="D74" s="30"/>
      <c r="E74" s="30"/>
      <c r="F74" s="2" t="s">
        <v>5</v>
      </c>
      <c r="G74" s="62" cm="1">
        <f t="array" ref="G74">IFERROR(SUMPRODUCT($G47:$L47,--($G68:$L68=G67),$G24:$L24,--($G46:$L46=G73))/G70,0)</f>
        <v>0</v>
      </c>
      <c r="H74" s="62" cm="1">
        <f t="array" ref="H74">IFERROR(SUMPRODUCT($G47:$L47,--($G68:$L68=H67),$G24:$L24,--($G46:$L46=H73))/H70,0)</f>
        <v>0</v>
      </c>
      <c r="I74" s="62" cm="1">
        <f t="array" ref="I74">IFERROR(SUMPRODUCT($G47:$L47,--($G68:$L68=I67),$G24:$L24,--($G46:$L46=I73))/I70,0)</f>
        <v>0</v>
      </c>
      <c r="J74" s="62" cm="1">
        <f t="array" ref="J74">IFERROR(SUMPRODUCT($G47:$L47,--($G68:$L68=J67),$G24:$L24,--($G46:$L46=J73))/J70,0)</f>
        <v>0</v>
      </c>
      <c r="K74" s="62" cm="1">
        <f t="array" ref="K74">IFERROR(SUMPRODUCT($G47:$L47,--($G68:$L68=K67),$G24:$L24,--($G46:$L46=K73))/K70,0)</f>
        <v>0</v>
      </c>
      <c r="L74" s="62" cm="1">
        <f t="array" ref="L74">IFERROR(SUMPRODUCT($G47:$L47,--($G68:$L68=L67),$G24:$L24,--($G46:$L46=L73))/L70,0)</f>
        <v>0</v>
      </c>
      <c r="M74" s="16"/>
      <c r="N74" s="16"/>
      <c r="O74" s="3">
        <f>IF(ISBLANK(P74),"",MAX(O$5:O73)+1)</f>
        <v>32</v>
      </c>
      <c r="P74" s="52" t="s">
        <v>159</v>
      </c>
      <c r="R74" s="2"/>
      <c r="S74" s="2"/>
      <c r="T74" s="5"/>
      <c r="U74" s="5"/>
    </row>
    <row r="75" spans="2:21" outlineLevel="1">
      <c r="B75" s="30" t="s">
        <v>156</v>
      </c>
      <c r="C75" s="30"/>
      <c r="D75" s="30"/>
      <c r="E75" s="30"/>
      <c r="F75" s="2" t="s">
        <v>5</v>
      </c>
      <c r="G75" s="62" cm="1">
        <f t="array" ref="G75">IFERROR(SUMPRODUCT($G49:$L49,--($G68:$L68=G67),$G24:$L24)/G70,0)</f>
        <v>0</v>
      </c>
      <c r="H75" s="62" cm="1">
        <f t="array" ref="H75">IFERROR(SUMPRODUCT($G49:$L49,--($G68:$L68=H67),$G24:$L24)/H70,0)</f>
        <v>0</v>
      </c>
      <c r="I75" s="62" cm="1">
        <f t="array" ref="I75">IFERROR(SUMPRODUCT($G49:$L49,--($G68:$L68=I67),$G24:$L24)/I70,0)</f>
        <v>0</v>
      </c>
      <c r="J75" s="62" cm="1">
        <f t="array" ref="J75">IFERROR(SUMPRODUCT($G49:$L49,--($G68:$L68=J67),$G24:$L24)/J70,0)</f>
        <v>0</v>
      </c>
      <c r="K75" s="62" cm="1">
        <f t="array" ref="K75">IFERROR(SUMPRODUCT($G49:$L49,--($G68:$L68=K67),$G24:$L24)/K70,0)</f>
        <v>0</v>
      </c>
      <c r="L75" s="62" cm="1">
        <f t="array" ref="L75">IFERROR(SUMPRODUCT($G49:$L49,--($G68:$L68=L67),$G24:$L24)/L70,0)</f>
        <v>0</v>
      </c>
      <c r="M75" s="16"/>
      <c r="N75" s="16"/>
      <c r="O75" s="3">
        <f>IF(ISBLANK(P75),"",MAX(O$5:O74)+1)</f>
        <v>33</v>
      </c>
      <c r="P75" s="52" t="s">
        <v>162</v>
      </c>
      <c r="R75" s="2"/>
      <c r="S75" s="2"/>
      <c r="T75" s="5"/>
      <c r="U75" s="5"/>
    </row>
    <row r="76" spans="2:21" outlineLevel="1">
      <c r="B76" s="30" t="str">
        <f>B52&amp;" assumed per Calculation Block"</f>
        <v>Type of Dividends / Interest assumed per Calculation Block</v>
      </c>
      <c r="C76" s="30"/>
      <c r="D76" s="30"/>
      <c r="E76" s="30"/>
      <c r="F76" s="2" t="s">
        <v>9</v>
      </c>
      <c r="G76" s="59" t="str" cm="1">
        <f t="array" ref="G76">INDEX($G52:$L52,0,MATCH(G68,$G67:$L67,0))</f>
        <v>Not Declared</v>
      </c>
      <c r="H76" s="59" t="str" cm="1">
        <f t="array" ref="H76">INDEX($G52:$L52,0,MATCH(H68,$G67:$L67,0))</f>
        <v>Not Declared</v>
      </c>
      <c r="I76" s="59" t="str" cm="1">
        <f t="array" ref="I76">INDEX($G52:$L52,0,MATCH(I68,$G67:$L67,0))</f>
        <v>Not Declared</v>
      </c>
      <c r="J76" s="59" t="str" cm="1">
        <f t="array" ref="J76">INDEX($G52:$L52,0,MATCH(J68,$G67:$L67,0))</f>
        <v>Not Declared</v>
      </c>
      <c r="K76" s="61" t="str" cm="1">
        <f t="array" ref="K76">INDEX($G52:$L52,0,MATCH(K68,$G67:$L67,0))</f>
        <v>na</v>
      </c>
      <c r="L76" s="61" t="str" cm="1">
        <f t="array" ref="L76">INDEX($G52:$L52,0,MATCH(L68,$G67:$L67,0))</f>
        <v>na</v>
      </c>
      <c r="M76" s="16"/>
      <c r="N76" s="16"/>
      <c r="O76" s="3">
        <f>IF(ISBLANK(P76),"",MAX(O$5:O75)+1)</f>
        <v>34</v>
      </c>
      <c r="P76" s="52" t="s">
        <v>161</v>
      </c>
      <c r="R76" s="2"/>
      <c r="S76" s="2"/>
      <c r="T76" s="5"/>
      <c r="U76" s="5"/>
    </row>
    <row r="77" spans="2:21" outlineLevel="1">
      <c r="B77" s="30" t="str">
        <f>"Average "&amp;B53</f>
        <v>Average Annual or One-Time Dividend or Interest Rate</v>
      </c>
      <c r="C77" s="30"/>
      <c r="D77" s="30"/>
      <c r="E77" s="30"/>
      <c r="F77" s="2" t="s">
        <v>12</v>
      </c>
      <c r="G77" s="63" cm="1">
        <f t="array" ref="G77">IFERROR(SUMPRODUCT($G53:$L53,--($G68:$L68=G67),$G24:$L24)/G70,0)</f>
        <v>0</v>
      </c>
      <c r="H77" s="63" cm="1">
        <f t="array" ref="H77">IFERROR(SUMPRODUCT($G53:$L53,--($G68:$L68=H67),$G24:$L24)/H70,0)</f>
        <v>0</v>
      </c>
      <c r="I77" s="63" cm="1">
        <f t="array" ref="I77">IFERROR(SUMPRODUCT($G53:$L53,--($G68:$L68=I67),$G24:$L24)/I70,0)</f>
        <v>0</v>
      </c>
      <c r="J77" s="63" cm="1">
        <f t="array" ref="J77">IFERROR(SUMPRODUCT($G53:$L53,--($G68:$L68=J67),$G24:$L24)/J70,0)</f>
        <v>0</v>
      </c>
      <c r="K77" s="63" cm="1">
        <f t="array" ref="K77">IFERROR(SUMPRODUCT($G53:$L53,--($G68:$L68=K67),$G24:$L24)/K70,0)</f>
        <v>0</v>
      </c>
      <c r="L77" s="63" cm="1">
        <f t="array" ref="L77">IFERROR(SUMPRODUCT($G53:$L53,--($G68:$L68=L67),$G24:$L24)/L70,0)</f>
        <v>0</v>
      </c>
      <c r="M77" s="16"/>
      <c r="N77" s="16"/>
      <c r="O77" s="3">
        <f>IF(ISBLANK(P77),"",MAX(O$5:O76)+1)</f>
        <v>35</v>
      </c>
      <c r="P77" s="52" t="s">
        <v>163</v>
      </c>
      <c r="R77" s="2"/>
      <c r="S77" s="2"/>
      <c r="T77" s="5"/>
      <c r="U77" s="5"/>
    </row>
    <row r="78" spans="2:21" outlineLevel="1">
      <c r="B78" s="30" t="s">
        <v>164</v>
      </c>
      <c r="C78" s="30"/>
      <c r="D78" s="30"/>
      <c r="E78" s="30"/>
      <c r="F78" s="2" t="s">
        <v>9</v>
      </c>
      <c r="G78" s="43" t="str" cm="1">
        <f t="array" aca="1" ref="G78" ca="1">IFERROR(IF(SUMPRODUCT($G41:$L41,--($G68:$L68=G67),$G24:$L24)/G70=0,"na",SUMPRODUCT($G41:$L41,--($G68:$L68=G67),$G24:$L24)/G70),"na")</f>
        <v>na</v>
      </c>
      <c r="H78" s="43" t="str" cm="1">
        <f t="array" aca="1" ref="H78" ca="1">IFERROR(IF(SUMPRODUCT($G41:$L41,--($G68:$L68=H67),$G24:$L24)/H70=0,"na",SUMPRODUCT($G41:$L41,--($G68:$L68=H67),$G24:$L24)/H70),"na")</f>
        <v>na</v>
      </c>
      <c r="I78" s="43" t="str" cm="1">
        <f t="array" aca="1" ref="I78" ca="1">IFERROR(IF(SUMPRODUCT($G41:$L41,--($G68:$L68=I67),$G24:$L24)/I70=0,"na",SUMPRODUCT($G41:$L41,--($G68:$L68=I67),$G24:$L24)/I70),"na")</f>
        <v>na</v>
      </c>
      <c r="J78" s="43" t="str" cm="1">
        <f t="array" aca="1" ref="J78" ca="1">IFERROR(IF(SUMPRODUCT($G41:$L41,--($G68:$L68=J67),$G24:$L24)/J70=0,"na",SUMPRODUCT($G41:$L41,--($G68:$L68=J67),$G24:$L24)/J70),"na")</f>
        <v>na</v>
      </c>
      <c r="K78" s="43" t="str" cm="1">
        <f t="array" aca="1" ref="K78" ca="1">IFERROR(IF(SUMPRODUCT($G41:$L41,--($G68:$L68=K67),$G24:$L24)/K70=0,"na",SUMPRODUCT($G41:$L41,--($G68:$L68=K67),$G24:$L24)/K70),"na")</f>
        <v>na</v>
      </c>
      <c r="L78" s="43" t="str" cm="1">
        <f t="array" aca="1" ref="L78" ca="1">IFERROR(IF(SUMPRODUCT($G41:$L41,--($G68:$L68=L67),$G24:$L24)/L70=0,"na",SUMPRODUCT($G41:$L41,--($G68:$L68=L67),$G24:$L24)/L70),"na")</f>
        <v>na</v>
      </c>
      <c r="M78" s="16"/>
      <c r="N78" s="16"/>
      <c r="O78" s="3">
        <f>IF(ISBLANK(P78),"",MAX(O$5:O77)+1)</f>
        <v>36</v>
      </c>
      <c r="P78" s="52" t="s">
        <v>163</v>
      </c>
      <c r="R78" s="2"/>
      <c r="S78" s="2"/>
      <c r="T78" s="5"/>
      <c r="U78" s="5"/>
    </row>
    <row r="79" spans="2:21" outlineLevel="1">
      <c r="B79" s="30" t="s">
        <v>130</v>
      </c>
      <c r="C79" s="30"/>
      <c r="D79" s="30"/>
      <c r="E79" s="30"/>
      <c r="F79" s="2" t="s">
        <v>9</v>
      </c>
      <c r="G79" s="64" t="str">
        <f t="shared" ref="G79:L79" si="13">G67</f>
        <v>C</v>
      </c>
      <c r="H79" s="64" t="str">
        <f t="shared" si="13"/>
        <v>B</v>
      </c>
      <c r="I79" s="64" t="str">
        <f t="shared" si="13"/>
        <v>A</v>
      </c>
      <c r="J79" s="64" t="str">
        <f t="shared" si="13"/>
        <v>Seed</v>
      </c>
      <c r="K79" s="64" t="str">
        <f t="shared" si="13"/>
        <v>Common</v>
      </c>
      <c r="L79" s="19" t="str">
        <f t="shared" si="13"/>
        <v>Options</v>
      </c>
      <c r="O79" s="3">
        <f>IF(ISBLANK(P79),"",MAX(O$5:O78)+1)</f>
        <v>37</v>
      </c>
      <c r="P79" s="52" t="s">
        <v>132</v>
      </c>
      <c r="R79" s="2"/>
      <c r="S79" s="2"/>
      <c r="T79" s="5"/>
      <c r="U79" s="5"/>
    </row>
    <row r="80" spans="2:21" outlineLevel="1">
      <c r="B80" s="5"/>
      <c r="C80" s="30"/>
      <c r="D80" s="30"/>
      <c r="E80" s="30"/>
      <c r="F80" s="52"/>
      <c r="O80" s="3" t="str">
        <f>IF(ISBLANK(P80),"",MAX(O$5:O79)+1)</f>
        <v/>
      </c>
      <c r="P80" s="52"/>
      <c r="R80" s="2"/>
      <c r="S80" s="2"/>
      <c r="T80" s="5"/>
      <c r="U80" s="5"/>
    </row>
    <row r="81" spans="2:21" outlineLevel="1">
      <c r="B81" s="65" t="s">
        <v>138</v>
      </c>
      <c r="C81" s="65"/>
      <c r="D81" s="65"/>
      <c r="E81" s="65"/>
      <c r="F81" s="52"/>
      <c r="O81" s="3">
        <f>IF(ISBLANK(P81),"",MAX(O$5:O80)+1)</f>
        <v>38</v>
      </c>
      <c r="P81" s="52" t="s">
        <v>146</v>
      </c>
      <c r="R81" s="2"/>
      <c r="S81" s="2"/>
      <c r="T81" s="5"/>
      <c r="U81" s="5"/>
    </row>
    <row r="82" spans="2:21" outlineLevel="1">
      <c r="B82" s="5" t="str">
        <f>G67</f>
        <v>C</v>
      </c>
      <c r="C82" s="30"/>
      <c r="D82" s="30"/>
      <c r="E82" s="30"/>
      <c r="F82" s="53" t="s">
        <v>12</v>
      </c>
      <c r="G82" s="66" cm="1">
        <f t="array" ref="G82">IFERROR(IF(INDEX($G$68:$L$68,0,MATCH($B82,$G$67:$L$67,0))=G$67,SUMPRODUCT($G$24:$L$24,--($G$13:$L$13=$B82)),0)/G$70,0)</f>
        <v>0</v>
      </c>
      <c r="H82" s="66" cm="1">
        <f t="array" ref="H82">IFERROR(IF(INDEX($G$68:$L$68,0,MATCH($B82,$G$67:$L$67,0))=H$67,SUMPRODUCT($G$24:$L$24,--($G$13:$L$13=$B82)),0)/H$70,0)</f>
        <v>0</v>
      </c>
      <c r="I82" s="66" cm="1">
        <f t="array" ref="I82">IFERROR(IF(INDEX($G$68:$L$68,0,MATCH($B82,$G$67:$L$67,0))=I$67,SUMPRODUCT($G$24:$L$24,--($G$13:$L$13=$B82)),0)/I$70,0)</f>
        <v>0</v>
      </c>
      <c r="J82" s="66" cm="1">
        <f t="array" ref="J82">IFERROR(IF(INDEX($G$68:$L$68,0,MATCH($B82,$G$67:$L$67,0))=J$67,SUMPRODUCT($G$24:$L$24,--($G$13:$L$13=$B82)),0)/J$70,0)</f>
        <v>0</v>
      </c>
      <c r="K82" s="66" cm="1">
        <f t="array" ref="K82">IFERROR(IF(INDEX($G$68:$L$68,0,MATCH($B82,$G$67:$L$67,0))=K$67,SUMPRODUCT($G$24:$L$24,--($G$13:$L$13=$B82)),0)/K$70,0)</f>
        <v>0</v>
      </c>
      <c r="L82" s="66" cm="1">
        <f t="array" ref="L82">IFERROR(IF(INDEX($G$68:$L$68,0,MATCH($B82,$G$67:$L$67,0))=L$67,SUMPRODUCT($G$24:$L$24,--($G$13:$L$13=$B82)),0)/L$70,0)</f>
        <v>0</v>
      </c>
      <c r="O82" s="3" t="str">
        <f>IF(ISBLANK(P82),"",MAX(O$5:O81)+1)</f>
        <v/>
      </c>
      <c r="P82" s="52"/>
      <c r="R82" s="2"/>
      <c r="S82" s="2"/>
      <c r="T82" s="5"/>
      <c r="U82" s="5"/>
    </row>
    <row r="83" spans="2:21" outlineLevel="1">
      <c r="B83" s="5" t="str">
        <f>H67</f>
        <v>B</v>
      </c>
      <c r="C83" s="30"/>
      <c r="D83" s="30"/>
      <c r="E83" s="30"/>
      <c r="F83" s="53" t="s">
        <v>12</v>
      </c>
      <c r="G83" s="66" cm="1">
        <f t="array" ref="G83">IFERROR(IF(INDEX($G$68:$L$68,0,MATCH($B83,$G$67:$L$67,0))=G$67,SUMPRODUCT($G$24:$L$24,--($G$13:$L$13=$B83)),0)/G$70,0)</f>
        <v>0</v>
      </c>
      <c r="H83" s="66" cm="1">
        <f t="array" ref="H83">IFERROR(IF(INDEX($G$68:$L$68,0,MATCH($B83,$G$67:$L$67,0))=H$67,SUMPRODUCT($G$24:$L$24,--($G$13:$L$13=$B83)),0)/H$70,0)</f>
        <v>0</v>
      </c>
      <c r="I83" s="66" cm="1">
        <f t="array" ref="I83">IFERROR(IF(INDEX($G$68:$L$68,0,MATCH($B83,$G$67:$L$67,0))=I$67,SUMPRODUCT($G$24:$L$24,--($G$13:$L$13=$B83)),0)/I$70,0)</f>
        <v>0</v>
      </c>
      <c r="J83" s="66" cm="1">
        <f t="array" ref="J83">IFERROR(IF(INDEX($G$68:$L$68,0,MATCH($B83,$G$67:$L$67,0))=J$67,SUMPRODUCT($G$24:$L$24,--($G$13:$L$13=$B83)),0)/J$70,0)</f>
        <v>0</v>
      </c>
      <c r="K83" s="66" cm="1">
        <f t="array" ref="K83">IFERROR(IF(INDEX($G$68:$L$68,0,MATCH($B83,$G$67:$L$67,0))=K$67,SUMPRODUCT($G$24:$L$24,--($G$13:$L$13=$B83)),0)/K$70,0)</f>
        <v>0</v>
      </c>
      <c r="L83" s="66" cm="1">
        <f t="array" ref="L83">IFERROR(IF(INDEX($G$68:$L$68,0,MATCH($B83,$G$67:$L$67,0))=L$67,SUMPRODUCT($G$24:$L$24,--($G$13:$L$13=$B83)),0)/L$70,0)</f>
        <v>0</v>
      </c>
      <c r="O83" s="3" t="str">
        <f>IF(ISBLANK(P83),"",MAX(O$5:O82)+1)</f>
        <v/>
      </c>
      <c r="P83" s="52"/>
      <c r="R83" s="2"/>
      <c r="S83" s="2"/>
      <c r="T83" s="5"/>
      <c r="U83" s="5"/>
    </row>
    <row r="84" spans="2:21" outlineLevel="1">
      <c r="B84" s="5" t="str">
        <f>I67</f>
        <v>A</v>
      </c>
      <c r="C84" s="30"/>
      <c r="D84" s="30"/>
      <c r="E84" s="30"/>
      <c r="F84" s="53" t="s">
        <v>12</v>
      </c>
      <c r="G84" s="66" cm="1">
        <f t="array" ref="G84">IFERROR(IF(INDEX($G$68:$L$68,0,MATCH($B84,$G$67:$L$67,0))=G$67,SUMPRODUCT($G$24:$L$24,--($G$13:$L$13=$B84)),0)/G$70,0)</f>
        <v>0</v>
      </c>
      <c r="H84" s="66" cm="1">
        <f t="array" ref="H84">IFERROR(IF(INDEX($G$68:$L$68,0,MATCH($B84,$G$67:$L$67,0))=H$67,SUMPRODUCT($G$24:$L$24,--($G$13:$L$13=$B84)),0)/H$70,0)</f>
        <v>0</v>
      </c>
      <c r="I84" s="66" cm="1">
        <f t="array" ref="I84">IFERROR(IF(INDEX($G$68:$L$68,0,MATCH($B84,$G$67:$L$67,0))=I$67,SUMPRODUCT($G$24:$L$24,--($G$13:$L$13=$B84)),0)/I$70,0)</f>
        <v>0</v>
      </c>
      <c r="J84" s="66" cm="1">
        <f t="array" ref="J84">IFERROR(IF(INDEX($G$68:$L$68,0,MATCH($B84,$G$67:$L$67,0))=J$67,SUMPRODUCT($G$24:$L$24,--($G$13:$L$13=$B84)),0)/J$70,0)</f>
        <v>0</v>
      </c>
      <c r="K84" s="66" cm="1">
        <f t="array" ref="K84">IFERROR(IF(INDEX($G$68:$L$68,0,MATCH($B84,$G$67:$L$67,0))=K$67,SUMPRODUCT($G$24:$L$24,--($G$13:$L$13=$B84)),0)/K$70,0)</f>
        <v>0</v>
      </c>
      <c r="L84" s="66" cm="1">
        <f t="array" ref="L84">IFERROR(IF(INDEX($G$68:$L$68,0,MATCH($B84,$G$67:$L$67,0))=L$67,SUMPRODUCT($G$24:$L$24,--($G$13:$L$13=$B84)),0)/L$70,0)</f>
        <v>0</v>
      </c>
      <c r="O84" s="3" t="str">
        <f>IF(ISBLANK(P84),"",MAX(O$5:O83)+1)</f>
        <v/>
      </c>
      <c r="P84" s="52"/>
      <c r="R84" s="2"/>
      <c r="S84" s="2"/>
      <c r="T84" s="5"/>
      <c r="U84" s="5"/>
    </row>
    <row r="85" spans="2:21" outlineLevel="1">
      <c r="B85" s="5" t="str">
        <f>J67</f>
        <v>Seed</v>
      </c>
      <c r="C85" s="30"/>
      <c r="D85" s="30"/>
      <c r="E85" s="30"/>
      <c r="F85" s="53" t="s">
        <v>12</v>
      </c>
      <c r="G85" s="66" cm="1">
        <f t="array" ref="G85">IFERROR(IF(INDEX($G$68:$L$68,0,MATCH($B85,$G$67:$L$67,0))=G$67,SUMPRODUCT($G$24:$L$24,--($G$13:$L$13=$B85)),0)/G$70,0)</f>
        <v>0</v>
      </c>
      <c r="H85" s="66" cm="1">
        <f t="array" ref="H85">IFERROR(IF(INDEX($G$68:$L$68,0,MATCH($B85,$G$67:$L$67,0))=H$67,SUMPRODUCT($G$24:$L$24,--($G$13:$L$13=$B85)),0)/H$70,0)</f>
        <v>0</v>
      </c>
      <c r="I85" s="66" cm="1">
        <f t="array" ref="I85">IFERROR(IF(INDEX($G$68:$L$68,0,MATCH($B85,$G$67:$L$67,0))=I$67,SUMPRODUCT($G$24:$L$24,--($G$13:$L$13=$B85)),0)/I$70,0)</f>
        <v>0</v>
      </c>
      <c r="J85" s="66" cm="1">
        <f t="array" ref="J85">IFERROR(IF(INDEX($G$68:$L$68,0,MATCH($B85,$G$67:$L$67,0))=J$67,SUMPRODUCT($G$24:$L$24,--($G$13:$L$13=$B85)),0)/J$70,0)</f>
        <v>0</v>
      </c>
      <c r="K85" s="66" cm="1">
        <f t="array" ref="K85">IFERROR(IF(INDEX($G$68:$L$68,0,MATCH($B85,$G$67:$L$67,0))=K$67,SUMPRODUCT($G$24:$L$24,--($G$13:$L$13=$B85)),0)/K$70,0)</f>
        <v>0</v>
      </c>
      <c r="L85" s="66" cm="1">
        <f t="array" ref="L85">IFERROR(IF(INDEX($G$68:$L$68,0,MATCH($B85,$G$67:$L$67,0))=L$67,SUMPRODUCT($G$24:$L$24,--($G$13:$L$13=$B85)),0)/L$70,0)</f>
        <v>0</v>
      </c>
      <c r="O85" s="3" t="str">
        <f>IF(ISBLANK(P85),"",MAX(O$5:O84)+1)</f>
        <v/>
      </c>
      <c r="P85" s="52"/>
      <c r="R85" s="2"/>
      <c r="S85" s="2"/>
      <c r="T85" s="5"/>
      <c r="U85" s="5"/>
    </row>
    <row r="86" spans="2:21" outlineLevel="1">
      <c r="B86" s="5" t="str">
        <f>K67</f>
        <v>Common</v>
      </c>
      <c r="C86" s="30"/>
      <c r="D86" s="30"/>
      <c r="E86" s="30"/>
      <c r="F86" s="53" t="s">
        <v>12</v>
      </c>
      <c r="G86" s="66" cm="1">
        <f t="array" ref="G86">IFERROR(IF(INDEX($G$68:$L$68,0,MATCH($B86,$G$67:$L$67,0))=G$67,SUMPRODUCT($G$24:$L$24,--($G$13:$L$13=$B86)),0)/G$70,0)</f>
        <v>0</v>
      </c>
      <c r="H86" s="66" cm="1">
        <f t="array" ref="H86">IFERROR(IF(INDEX($G$68:$L$68,0,MATCH($B86,$G$67:$L$67,0))=H$67,SUMPRODUCT($G$24:$L$24,--($G$13:$L$13=$B86)),0)/H$70,0)</f>
        <v>0</v>
      </c>
      <c r="I86" s="66" cm="1">
        <f t="array" ref="I86">IFERROR(IF(INDEX($G$68:$L$68,0,MATCH($B86,$G$67:$L$67,0))=I$67,SUMPRODUCT($G$24:$L$24,--($G$13:$L$13=$B86)),0)/I$70,0)</f>
        <v>0</v>
      </c>
      <c r="J86" s="66" cm="1">
        <f t="array" ref="J86">IFERROR(IF(INDEX($G$68:$L$68,0,MATCH($B86,$G$67:$L$67,0))=J$67,SUMPRODUCT($G$24:$L$24,--($G$13:$L$13=$B86)),0)/J$70,0)</f>
        <v>0</v>
      </c>
      <c r="K86" s="66" cm="1">
        <f t="array" ref="K86">IFERROR(IF(INDEX($G$68:$L$68,0,MATCH($B86,$G$67:$L$67,0))=K$67,SUMPRODUCT($G$24:$L$24,--($G$13:$L$13=$B86)),0)/K$70,0)</f>
        <v>0</v>
      </c>
      <c r="L86" s="66" cm="1">
        <f t="array" ref="L86">IFERROR(IF(INDEX($G$68:$L$68,0,MATCH($B86,$G$67:$L$67,0))=L$67,SUMPRODUCT($G$24:$L$24,--($G$13:$L$13=$B86)),0)/L$70,0)</f>
        <v>0</v>
      </c>
      <c r="O86" s="3" t="str">
        <f>IF(ISBLANK(P86),"",MAX(O$5:O85)+1)</f>
        <v/>
      </c>
      <c r="P86" s="52"/>
      <c r="R86" s="2"/>
      <c r="S86" s="2"/>
      <c r="T86" s="5"/>
      <c r="U86" s="5"/>
    </row>
    <row r="87" spans="2:21" outlineLevel="1">
      <c r="B87" s="5" t="str">
        <f>L67</f>
        <v>Options</v>
      </c>
      <c r="C87" s="30"/>
      <c r="D87" s="30"/>
      <c r="E87" s="30"/>
      <c r="F87" s="53" t="s">
        <v>12</v>
      </c>
      <c r="G87" s="66" cm="1">
        <f t="array" ref="G87">IFERROR(IF(INDEX($G$68:$L$68,0,MATCH($B87,$G$67:$L$67,0))=G$67,SUMPRODUCT($G$24:$L$24,--($G$13:$L$13=$B87)),0)/G$70,0)</f>
        <v>0</v>
      </c>
      <c r="H87" s="66" cm="1">
        <f t="array" ref="H87">IFERROR(IF(INDEX($G$68:$L$68,0,MATCH($B87,$G$67:$L$67,0))=H$67,SUMPRODUCT($G$24:$L$24,--($G$13:$L$13=$B87)),0)/H$70,0)</f>
        <v>0</v>
      </c>
      <c r="I87" s="66" cm="1">
        <f t="array" ref="I87">IFERROR(IF(INDEX($G$68:$L$68,0,MATCH($B87,$G$67:$L$67,0))=I$67,SUMPRODUCT($G$24:$L$24,--($G$13:$L$13=$B87)),0)/I$70,0)</f>
        <v>0</v>
      </c>
      <c r="J87" s="66" cm="1">
        <f t="array" ref="J87">IFERROR(IF(INDEX($G$68:$L$68,0,MATCH($B87,$G$67:$L$67,0))=J$67,SUMPRODUCT($G$24:$L$24,--($G$13:$L$13=$B87)),0)/J$70,0)</f>
        <v>0</v>
      </c>
      <c r="K87" s="66" cm="1">
        <f t="array" ref="K87">IFERROR(IF(INDEX($G$68:$L$68,0,MATCH($B87,$G$67:$L$67,0))=K$67,SUMPRODUCT($G$24:$L$24,--($G$13:$L$13=$B87)),0)/K$70,0)</f>
        <v>0</v>
      </c>
      <c r="L87" s="66" cm="1">
        <f t="array" ref="L87">IFERROR(IF(INDEX($G$68:$L$68,0,MATCH($B87,$G$67:$L$67,0))=L$67,SUMPRODUCT($G$24:$L$24,--($G$13:$L$13=$B87)),0)/L$70,0)</f>
        <v>0</v>
      </c>
      <c r="O87" s="3" t="str">
        <f>IF(ISBLANK(P87),"",MAX(O$5:O86)+1)</f>
        <v/>
      </c>
      <c r="P87" s="52"/>
      <c r="R87" s="2"/>
      <c r="S87" s="2"/>
      <c r="T87" s="5"/>
      <c r="U87" s="5"/>
    </row>
    <row r="88" spans="2:21" outlineLevel="1">
      <c r="B88" s="5" t="s">
        <v>135</v>
      </c>
      <c r="C88" s="30"/>
      <c r="D88" s="30"/>
      <c r="E88" s="30"/>
      <c r="F88" s="53" t="s">
        <v>12</v>
      </c>
      <c r="G88" s="39">
        <f>SUM(G82:G87)</f>
        <v>0</v>
      </c>
      <c r="H88" s="39">
        <f t="shared" ref="H88:L88" si="14">SUM(H82:H87)</f>
        <v>0</v>
      </c>
      <c r="I88" s="39">
        <f t="shared" si="14"/>
        <v>0</v>
      </c>
      <c r="J88" s="39">
        <f t="shared" si="14"/>
        <v>0</v>
      </c>
      <c r="K88" s="39">
        <f t="shared" si="14"/>
        <v>0</v>
      </c>
      <c r="L88" s="39">
        <f t="shared" si="14"/>
        <v>0</v>
      </c>
      <c r="O88" s="3" t="str">
        <f>IF(ISBLANK(P88),"",MAX(O$5:O87)+1)</f>
        <v/>
      </c>
      <c r="P88" s="52"/>
      <c r="R88" s="2"/>
      <c r="S88" s="2"/>
      <c r="T88" s="5"/>
      <c r="U88" s="5"/>
    </row>
    <row r="89" spans="2:21" outlineLevel="1">
      <c r="B89" s="5"/>
      <c r="C89" s="30"/>
      <c r="D89" s="30"/>
      <c r="E89" s="30"/>
      <c r="F89" s="52"/>
      <c r="O89" s="3" t="str">
        <f>IF(ISBLANK(P89),"",MAX(O$5:O88)+1)</f>
        <v/>
      </c>
      <c r="P89" s="52"/>
      <c r="R89" s="2"/>
      <c r="S89" s="2"/>
      <c r="T89" s="5"/>
      <c r="U89" s="5"/>
    </row>
    <row r="90" spans="2:21" outlineLevel="1">
      <c r="B90" s="65" t="s">
        <v>137</v>
      </c>
      <c r="C90" s="65"/>
      <c r="D90" s="65"/>
      <c r="E90" s="65"/>
      <c r="F90" s="52"/>
      <c r="O90" s="3">
        <f>IF(ISBLANK(P90),"",MAX(O$5:O89)+1)</f>
        <v>39</v>
      </c>
      <c r="P90" s="52" t="s">
        <v>147</v>
      </c>
      <c r="R90" s="2"/>
      <c r="S90" s="2"/>
      <c r="T90" s="5"/>
      <c r="U90" s="5"/>
    </row>
    <row r="91" spans="2:21" outlineLevel="1">
      <c r="B91" s="5" t="str">
        <f>G67</f>
        <v>C</v>
      </c>
      <c r="C91" s="30"/>
      <c r="D91" s="30"/>
      <c r="E91" s="30"/>
      <c r="F91" s="53" t="s">
        <v>12</v>
      </c>
      <c r="G91" s="66" cm="1">
        <f t="array" ref="G91">IFERROR(IF(INDEX($G$68:$L$68,0,MATCH($B91,$G$67:$L$67,0))=G$67,SUMPRODUCT($G$45:$L$45,--($G$13:$L$13=$B91)),0)/G$72,0)</f>
        <v>0</v>
      </c>
      <c r="H91" s="66" cm="1">
        <f t="array" ref="H91">IFERROR(IF(INDEX($G$68:$L$68,0,MATCH($B91,$G$67:$L$67,0))=H$67,SUMPRODUCT($G$45:$L$45,--($G$13:$L$13=$B91)),0)/H$72,0)</f>
        <v>0</v>
      </c>
      <c r="I91" s="66" cm="1">
        <f t="array" ref="I91">IFERROR(IF(INDEX($G$68:$L$68,0,MATCH($B91,$G$67:$L$67,0))=I$67,SUMPRODUCT($G$45:$L$45,--($G$13:$L$13=$B91)),0)/I$72,0)</f>
        <v>0</v>
      </c>
      <c r="J91" s="66" cm="1">
        <f t="array" ref="J91">IFERROR(IF(INDEX($G$68:$L$68,0,MATCH($B91,$G$67:$L$67,0))=J$67,SUMPRODUCT($G$45:$L$45,--($G$13:$L$13=$B91)),0)/J$72,0)</f>
        <v>0</v>
      </c>
      <c r="K91" s="66" cm="1">
        <f t="array" ref="K91">IFERROR(IF(INDEX($G$68:$L$68,0,MATCH($B91,$G$67:$L$67,0))=K$67,SUMPRODUCT($G$45:$L$45,--($G$13:$L$13=$B91)),0)/K$72,0)</f>
        <v>0</v>
      </c>
      <c r="L91" s="66" cm="1">
        <f t="array" ref="L91">IFERROR(IF(INDEX($G$68:$L$68,0,MATCH($B91,$G$67:$L$67,0))=L$67,SUMPRODUCT($G$45:$L$45,--($G$13:$L$13=$B91)),0)/L$72,0)</f>
        <v>0</v>
      </c>
      <c r="O91" s="3" t="str">
        <f>IF(ISBLANK(P91),"",MAX(O$5:O90)+1)</f>
        <v/>
      </c>
      <c r="P91" s="52"/>
      <c r="R91" s="2"/>
      <c r="S91" s="2"/>
      <c r="T91" s="5"/>
      <c r="U91" s="5"/>
    </row>
    <row r="92" spans="2:21" outlineLevel="1">
      <c r="B92" s="5" t="str">
        <f>H67</f>
        <v>B</v>
      </c>
      <c r="C92" s="30"/>
      <c r="D92" s="30"/>
      <c r="E92" s="30"/>
      <c r="F92" s="53" t="s">
        <v>12</v>
      </c>
      <c r="G92" s="66" cm="1">
        <f t="array" ref="G92">IFERROR(IF(INDEX($G$68:$L$68,0,MATCH($B92,$G$67:$L$67,0))=G$67,SUMPRODUCT($G$45:$L$45,--($G$13:$L$13=$B92)),0)/G$72,0)</f>
        <v>0</v>
      </c>
      <c r="H92" s="66" cm="1">
        <f t="array" ref="H92">IFERROR(IF(INDEX($G$68:$L$68,0,MATCH($B92,$G$67:$L$67,0))=H$67,SUMPRODUCT($G$45:$L$45,--($G$13:$L$13=$B92)),0)/H$72,0)</f>
        <v>0</v>
      </c>
      <c r="I92" s="66" cm="1">
        <f t="array" ref="I92">IFERROR(IF(INDEX($G$68:$L$68,0,MATCH($B92,$G$67:$L$67,0))=I$67,SUMPRODUCT($G$45:$L$45,--($G$13:$L$13=$B92)),0)/I$72,0)</f>
        <v>0</v>
      </c>
      <c r="J92" s="66" cm="1">
        <f t="array" ref="J92">IFERROR(IF(INDEX($G$68:$L$68,0,MATCH($B92,$G$67:$L$67,0))=J$67,SUMPRODUCT($G$45:$L$45,--($G$13:$L$13=$B92)),0)/J$72,0)</f>
        <v>0</v>
      </c>
      <c r="K92" s="66" cm="1">
        <f t="array" ref="K92">IFERROR(IF(INDEX($G$68:$L$68,0,MATCH($B92,$G$67:$L$67,0))=K$67,SUMPRODUCT($G$45:$L$45,--($G$13:$L$13=$B92)),0)/K$72,0)</f>
        <v>0</v>
      </c>
      <c r="L92" s="66" cm="1">
        <f t="array" ref="L92">IFERROR(IF(INDEX($G$68:$L$68,0,MATCH($B92,$G$67:$L$67,0))=L$67,SUMPRODUCT($G$45:$L$45,--($G$13:$L$13=$B92)),0)/L$72,0)</f>
        <v>0</v>
      </c>
      <c r="O92" s="3" t="str">
        <f>IF(ISBLANK(P92),"",MAX(O$5:O91)+1)</f>
        <v/>
      </c>
      <c r="P92" s="52"/>
      <c r="R92" s="2"/>
      <c r="S92" s="2"/>
      <c r="T92" s="5"/>
      <c r="U92" s="5"/>
    </row>
    <row r="93" spans="2:21" outlineLevel="1">
      <c r="B93" s="5" t="str">
        <f>I67</f>
        <v>A</v>
      </c>
      <c r="C93" s="30"/>
      <c r="D93" s="30"/>
      <c r="E93" s="30"/>
      <c r="F93" s="53" t="s">
        <v>12</v>
      </c>
      <c r="G93" s="66" cm="1">
        <f t="array" ref="G93">IFERROR(IF(INDEX($G$68:$L$68,0,MATCH($B93,$G$67:$L$67,0))=G$67,SUMPRODUCT($G$45:$L$45,--($G$13:$L$13=$B93)),0)/G$72,0)</f>
        <v>0</v>
      </c>
      <c r="H93" s="66" cm="1">
        <f t="array" ref="H93">IFERROR(IF(INDEX($G$68:$L$68,0,MATCH($B93,$G$67:$L$67,0))=H$67,SUMPRODUCT($G$45:$L$45,--($G$13:$L$13=$B93)),0)/H$72,0)</f>
        <v>0</v>
      </c>
      <c r="I93" s="66" cm="1">
        <f t="array" ref="I93">IFERROR(IF(INDEX($G$68:$L$68,0,MATCH($B93,$G$67:$L$67,0))=I$67,SUMPRODUCT($G$45:$L$45,--($G$13:$L$13=$B93)),0)/I$72,0)</f>
        <v>0</v>
      </c>
      <c r="J93" s="66" cm="1">
        <f t="array" ref="J93">IFERROR(IF(INDEX($G$68:$L$68,0,MATCH($B93,$G$67:$L$67,0))=J$67,SUMPRODUCT($G$45:$L$45,--($G$13:$L$13=$B93)),0)/J$72,0)</f>
        <v>0</v>
      </c>
      <c r="K93" s="66" cm="1">
        <f t="array" ref="K93">IFERROR(IF(INDEX($G$68:$L$68,0,MATCH($B93,$G$67:$L$67,0))=K$67,SUMPRODUCT($G$45:$L$45,--($G$13:$L$13=$B93)),0)/K$72,0)</f>
        <v>0</v>
      </c>
      <c r="L93" s="66" cm="1">
        <f t="array" ref="L93">IFERROR(IF(INDEX($G$68:$L$68,0,MATCH($B93,$G$67:$L$67,0))=L$67,SUMPRODUCT($G$45:$L$45,--($G$13:$L$13=$B93)),0)/L$72,0)</f>
        <v>0</v>
      </c>
      <c r="O93" s="3" t="str">
        <f>IF(ISBLANK(P93),"",MAX(O$5:O92)+1)</f>
        <v/>
      </c>
      <c r="P93" s="52"/>
      <c r="R93" s="2"/>
      <c r="S93" s="2"/>
      <c r="T93" s="5"/>
      <c r="U93" s="5"/>
    </row>
    <row r="94" spans="2:21" outlineLevel="1">
      <c r="B94" s="5" t="str">
        <f>J67</f>
        <v>Seed</v>
      </c>
      <c r="C94" s="30"/>
      <c r="D94" s="30"/>
      <c r="E94" s="30"/>
      <c r="F94" s="53" t="s">
        <v>12</v>
      </c>
      <c r="G94" s="66" cm="1">
        <f t="array" ref="G94">IFERROR(IF(INDEX($G$68:$L$68,0,MATCH($B94,$G$67:$L$67,0))=G$67,SUMPRODUCT($G$45:$L$45,--($G$13:$L$13=$B94)),0)/G$72,0)</f>
        <v>0</v>
      </c>
      <c r="H94" s="66" cm="1">
        <f t="array" ref="H94">IFERROR(IF(INDEX($G$68:$L$68,0,MATCH($B94,$G$67:$L$67,0))=H$67,SUMPRODUCT($G$45:$L$45,--($G$13:$L$13=$B94)),0)/H$72,0)</f>
        <v>0</v>
      </c>
      <c r="I94" s="66" cm="1">
        <f t="array" ref="I94">IFERROR(IF(INDEX($G$68:$L$68,0,MATCH($B94,$G$67:$L$67,0))=I$67,SUMPRODUCT($G$45:$L$45,--($G$13:$L$13=$B94)),0)/I$72,0)</f>
        <v>0</v>
      </c>
      <c r="J94" s="66" cm="1">
        <f t="array" ref="J94">IFERROR(IF(INDEX($G$68:$L$68,0,MATCH($B94,$G$67:$L$67,0))=J$67,SUMPRODUCT($G$45:$L$45,--($G$13:$L$13=$B94)),0)/J$72,0)</f>
        <v>0</v>
      </c>
      <c r="K94" s="66" cm="1">
        <f t="array" ref="K94">IFERROR(IF(INDEX($G$68:$L$68,0,MATCH($B94,$G$67:$L$67,0))=K$67,SUMPRODUCT($G$45:$L$45,--($G$13:$L$13=$B94)),0)/K$72,0)</f>
        <v>0</v>
      </c>
      <c r="L94" s="66" cm="1">
        <f t="array" ref="L94">IFERROR(IF(INDEX($G$68:$L$68,0,MATCH($B94,$G$67:$L$67,0))=L$67,SUMPRODUCT($G$45:$L$45,--($G$13:$L$13=$B94)),0)/L$72,0)</f>
        <v>0</v>
      </c>
      <c r="O94" s="3" t="str">
        <f>IF(ISBLANK(P94),"",MAX(O$5:O93)+1)</f>
        <v/>
      </c>
      <c r="P94" s="52"/>
      <c r="R94" s="2"/>
      <c r="S94" s="2"/>
      <c r="T94" s="5"/>
      <c r="U94" s="5"/>
    </row>
    <row r="95" spans="2:21" outlineLevel="1">
      <c r="B95" s="5" t="str">
        <f>K67</f>
        <v>Common</v>
      </c>
      <c r="C95" s="30"/>
      <c r="D95" s="30"/>
      <c r="E95" s="30"/>
      <c r="F95" s="53" t="s">
        <v>12</v>
      </c>
      <c r="G95" s="66" cm="1">
        <f t="array" ref="G95">IFERROR(IF(INDEX($G$68:$L$68,0,MATCH($B95,$G$67:$L$67,0))=G$67,SUMPRODUCT($G$45:$L$45,--($G$13:$L$13=$B95)),0)/G$72,0)</f>
        <v>0</v>
      </c>
      <c r="H95" s="66" cm="1">
        <f t="array" ref="H95">IFERROR(IF(INDEX($G$68:$L$68,0,MATCH($B95,$G$67:$L$67,0))=H$67,SUMPRODUCT($G$45:$L$45,--($G$13:$L$13=$B95)),0)/H$72,0)</f>
        <v>0</v>
      </c>
      <c r="I95" s="66" cm="1">
        <f t="array" ref="I95">IFERROR(IF(INDEX($G$68:$L$68,0,MATCH($B95,$G$67:$L$67,0))=I$67,SUMPRODUCT($G$45:$L$45,--($G$13:$L$13=$B95)),0)/I$72,0)</f>
        <v>0</v>
      </c>
      <c r="J95" s="66" cm="1">
        <f t="array" ref="J95">IFERROR(IF(INDEX($G$68:$L$68,0,MATCH($B95,$G$67:$L$67,0))=J$67,SUMPRODUCT($G$45:$L$45,--($G$13:$L$13=$B95)),0)/J$72,0)</f>
        <v>0</v>
      </c>
      <c r="K95" s="66" cm="1">
        <f t="array" ref="K95">IFERROR(IF(INDEX($G$68:$L$68,0,MATCH($B95,$G$67:$L$67,0))=K$67,SUMPRODUCT($G$45:$L$45,--($G$13:$L$13=$B95)),0)/K$72,0)</f>
        <v>0</v>
      </c>
      <c r="L95" s="66" cm="1">
        <f t="array" ref="L95">IFERROR(IF(INDEX($G$68:$L$68,0,MATCH($B95,$G$67:$L$67,0))=L$67,SUMPRODUCT($G$45:$L$45,--($G$13:$L$13=$B95)),0)/L$72,0)</f>
        <v>0</v>
      </c>
      <c r="O95" s="3" t="str">
        <f>IF(ISBLANK(P95),"",MAX(O$5:O94)+1)</f>
        <v/>
      </c>
      <c r="P95" s="52"/>
      <c r="R95" s="2"/>
      <c r="S95" s="2"/>
      <c r="T95" s="5"/>
      <c r="U95" s="5"/>
    </row>
    <row r="96" spans="2:21" outlineLevel="1">
      <c r="B96" s="5" t="str">
        <f>L67</f>
        <v>Options</v>
      </c>
      <c r="C96" s="30"/>
      <c r="D96" s="30"/>
      <c r="E96" s="30"/>
      <c r="F96" s="53" t="s">
        <v>12</v>
      </c>
      <c r="G96" s="66" cm="1">
        <f t="array" ref="G96">IFERROR(IF(INDEX($G$68:$L$68,0,MATCH($B96,$G$67:$L$67,0))=G$67,SUMPRODUCT($G$45:$L$45,--($G$13:$L$13=$B96)),0)/G$72,0)</f>
        <v>0</v>
      </c>
      <c r="H96" s="66" cm="1">
        <f t="array" ref="H96">IFERROR(IF(INDEX($G$68:$L$68,0,MATCH($B96,$G$67:$L$67,0))=H$67,SUMPRODUCT($G$45:$L$45,--($G$13:$L$13=$B96)),0)/H$72,0)</f>
        <v>0</v>
      </c>
      <c r="I96" s="66" cm="1">
        <f t="array" ref="I96">IFERROR(IF(INDEX($G$68:$L$68,0,MATCH($B96,$G$67:$L$67,0))=I$67,SUMPRODUCT($G$45:$L$45,--($G$13:$L$13=$B96)),0)/I$72,0)</f>
        <v>0</v>
      </c>
      <c r="J96" s="66" cm="1">
        <f t="array" ref="J96">IFERROR(IF(INDEX($G$68:$L$68,0,MATCH($B96,$G$67:$L$67,0))=J$67,SUMPRODUCT($G$45:$L$45,--($G$13:$L$13=$B96)),0)/J$72,0)</f>
        <v>0</v>
      </c>
      <c r="K96" s="66" cm="1">
        <f t="array" ref="K96">IFERROR(IF(INDEX($G$68:$L$68,0,MATCH($B96,$G$67:$L$67,0))=K$67,SUMPRODUCT($G$45:$L$45,--($G$13:$L$13=$B96)),0)/K$72,0)</f>
        <v>0</v>
      </c>
      <c r="L96" s="66" cm="1">
        <f t="array" ref="L96">IFERROR(IF(INDEX($G$68:$L$68,0,MATCH($B96,$G$67:$L$67,0))=L$67,SUMPRODUCT($G$45:$L$45,--($G$13:$L$13=$B96)),0)/L$72,0)</f>
        <v>0</v>
      </c>
      <c r="O96" s="3" t="str">
        <f>IF(ISBLANK(P96),"",MAX(O$5:O95)+1)</f>
        <v/>
      </c>
      <c r="P96" s="52"/>
      <c r="R96" s="2"/>
      <c r="S96" s="2"/>
      <c r="T96" s="5"/>
      <c r="U96" s="5"/>
    </row>
    <row r="97" spans="2:21" outlineLevel="1">
      <c r="B97" s="5" t="s">
        <v>135</v>
      </c>
      <c r="C97" s="30"/>
      <c r="D97" s="30"/>
      <c r="E97" s="30"/>
      <c r="F97" s="53" t="s">
        <v>12</v>
      </c>
      <c r="G97" s="39">
        <f>SUM(G91:G96)</f>
        <v>0</v>
      </c>
      <c r="H97" s="39">
        <f t="shared" ref="H97:L97" si="15">SUM(H91:H96)</f>
        <v>0</v>
      </c>
      <c r="I97" s="39">
        <f t="shared" si="15"/>
        <v>0</v>
      </c>
      <c r="J97" s="39">
        <f t="shared" si="15"/>
        <v>0</v>
      </c>
      <c r="K97" s="39">
        <f t="shared" si="15"/>
        <v>0</v>
      </c>
      <c r="L97" s="39">
        <f t="shared" si="15"/>
        <v>0</v>
      </c>
      <c r="O97" s="3" t="str">
        <f>IF(ISBLANK(P97),"",MAX(O$5:O96)+1)</f>
        <v/>
      </c>
      <c r="P97" s="52"/>
      <c r="R97" s="2"/>
      <c r="S97" s="2"/>
      <c r="T97" s="5"/>
      <c r="U97" s="5"/>
    </row>
    <row r="98" spans="2:21" outlineLevel="1">
      <c r="B98" s="5"/>
      <c r="C98" s="30"/>
      <c r="D98" s="30"/>
      <c r="E98" s="30"/>
      <c r="F98" s="52"/>
      <c r="O98" s="3" t="str">
        <f>IF(ISBLANK(P98),"",MAX(O$5:O97)+1)</f>
        <v/>
      </c>
      <c r="P98" s="52"/>
      <c r="R98" s="2"/>
      <c r="S98" s="2"/>
      <c r="T98" s="5"/>
      <c r="U98" s="5"/>
    </row>
    <row r="99" spans="2:21">
      <c r="B99" s="5"/>
      <c r="C99" s="30"/>
      <c r="D99" s="30"/>
      <c r="E99" s="30"/>
      <c r="F99" s="52"/>
      <c r="O99" s="3"/>
      <c r="P99" s="52"/>
      <c r="R99" s="2"/>
      <c r="S99" s="2"/>
      <c r="T99" s="5"/>
      <c r="U99" s="5"/>
    </row>
    <row r="100" spans="2:21">
      <c r="B100" s="28" t="s">
        <v>52</v>
      </c>
      <c r="C100" s="105"/>
      <c r="D100" s="105"/>
      <c r="E100" s="105"/>
      <c r="F100" s="2"/>
      <c r="G100" s="29"/>
      <c r="H100" s="29"/>
      <c r="I100" s="29"/>
      <c r="J100" s="29"/>
      <c r="K100" s="29"/>
      <c r="L100" s="29"/>
      <c r="M100" s="29"/>
      <c r="N100" s="29"/>
      <c r="O100" s="3" t="str">
        <f>IF(ISBLANK(P100),"",MAX(O$5:O98)+1)</f>
        <v/>
      </c>
      <c r="P100" s="4"/>
      <c r="Q100" s="2"/>
      <c r="R100" s="5"/>
      <c r="S100" s="5"/>
      <c r="T100" s="5"/>
      <c r="U100" s="5"/>
    </row>
    <row r="101" spans="2:21">
      <c r="G101" s="25"/>
      <c r="H101" s="25"/>
      <c r="I101" s="25"/>
      <c r="J101" s="25"/>
      <c r="K101" s="25"/>
      <c r="L101" s="25"/>
      <c r="M101" s="25"/>
      <c r="N101" s="25"/>
      <c r="O101" s="3" t="str">
        <f>IF(ISBLANK(P101),"",MAX(O$5:O100)+1)</f>
        <v/>
      </c>
      <c r="P101" s="4"/>
      <c r="Q101" s="2"/>
      <c r="R101" s="5"/>
      <c r="S101" s="5"/>
    </row>
    <row r="102" spans="2:21">
      <c r="B102" s="5" t="s">
        <v>1</v>
      </c>
      <c r="C102" s="30"/>
      <c r="D102" s="30"/>
      <c r="E102" s="30"/>
      <c r="F102" s="26" t="str">
        <f>F$5</f>
        <v>$</v>
      </c>
      <c r="G102" s="67">
        <f>H102*(1-$G7)</f>
        <v>0</v>
      </c>
      <c r="H102" s="67">
        <f>I102*(1-$G7)</f>
        <v>0</v>
      </c>
      <c r="I102" s="67">
        <f>J102*(1-$G7)</f>
        <v>0</v>
      </c>
      <c r="J102" s="67">
        <f>G5</f>
        <v>0</v>
      </c>
      <c r="K102" s="67">
        <f>J102*(1+$G7)</f>
        <v>0</v>
      </c>
      <c r="L102" s="67">
        <f>K102*(1+$G7)</f>
        <v>0</v>
      </c>
      <c r="M102" s="67">
        <f>L102*(1+$G7)</f>
        <v>0</v>
      </c>
      <c r="N102" s="67"/>
      <c r="O102" s="3">
        <f>IF(ISBLANK(P102),"",MAX(O$5:O101)+1)</f>
        <v>40</v>
      </c>
      <c r="P102" s="4" t="s">
        <v>117</v>
      </c>
      <c r="Q102" s="2"/>
      <c r="R102" s="5"/>
      <c r="S102" s="5"/>
    </row>
    <row r="103" spans="2:21">
      <c r="B103" s="5" t="s">
        <v>118</v>
      </c>
      <c r="C103" s="30"/>
      <c r="D103" s="30"/>
      <c r="E103" s="30"/>
      <c r="F103" s="26" t="str">
        <f>F$5</f>
        <v>$</v>
      </c>
      <c r="G103" s="106">
        <f t="shared" ref="G103:M103" si="16">G64</f>
        <v>0</v>
      </c>
      <c r="H103" s="106">
        <f t="shared" si="16"/>
        <v>0</v>
      </c>
      <c r="I103" s="106">
        <f t="shared" si="16"/>
        <v>0</v>
      </c>
      <c r="J103" s="106">
        <f t="shared" si="16"/>
        <v>0</v>
      </c>
      <c r="K103" s="106">
        <f t="shared" si="16"/>
        <v>0</v>
      </c>
      <c r="L103" s="106">
        <f t="shared" si="16"/>
        <v>0</v>
      </c>
      <c r="M103" s="106">
        <f t="shared" si="16"/>
        <v>0</v>
      </c>
      <c r="N103" s="67"/>
      <c r="O103" s="3">
        <f>IF(ISBLANK(P103),"",MAX(O$5:O102)+1)</f>
        <v>41</v>
      </c>
      <c r="P103" s="4" t="s">
        <v>119</v>
      </c>
      <c r="Q103" s="2"/>
      <c r="R103" s="5"/>
      <c r="S103" s="5"/>
    </row>
    <row r="104" spans="2:21">
      <c r="B104" s="5" t="s">
        <v>120</v>
      </c>
      <c r="C104" s="30"/>
      <c r="D104" s="30"/>
      <c r="E104" s="30"/>
      <c r="F104" s="26" t="str">
        <f>F$5</f>
        <v>$</v>
      </c>
      <c r="G104" s="7">
        <v>0</v>
      </c>
      <c r="H104" s="7">
        <f>G104</f>
        <v>0</v>
      </c>
      <c r="I104" s="7">
        <f t="shared" ref="I104:M104" si="17">H104</f>
        <v>0</v>
      </c>
      <c r="J104" s="7">
        <f t="shared" si="17"/>
        <v>0</v>
      </c>
      <c r="K104" s="7">
        <f t="shared" si="17"/>
        <v>0</v>
      </c>
      <c r="L104" s="7">
        <f t="shared" si="17"/>
        <v>0</v>
      </c>
      <c r="M104" s="7">
        <f t="shared" si="17"/>
        <v>0</v>
      </c>
      <c r="N104" s="67"/>
      <c r="O104" s="3">
        <f>IF(ISBLANK(P104),"",MAX(O$5:O103)+1)</f>
        <v>42</v>
      </c>
      <c r="P104" s="4" t="s">
        <v>121</v>
      </c>
      <c r="Q104" s="2"/>
      <c r="R104" s="5"/>
      <c r="S104" s="5"/>
    </row>
    <row r="105" spans="2:21">
      <c r="B105" s="5" t="s">
        <v>4</v>
      </c>
      <c r="C105" s="30"/>
      <c r="D105" s="30"/>
      <c r="E105" s="30"/>
      <c r="F105" s="26" t="str">
        <f>F$5</f>
        <v>$</v>
      </c>
      <c r="G105" s="40">
        <f>MAX(0,G102-ABS(G103)-ABS(G104))</f>
        <v>0</v>
      </c>
      <c r="H105" s="40">
        <f t="shared" ref="H105:M105" si="18">MAX(0,H102-ABS(H103)-ABS(H104))</f>
        <v>0</v>
      </c>
      <c r="I105" s="40">
        <f t="shared" si="18"/>
        <v>0</v>
      </c>
      <c r="J105" s="40">
        <f t="shared" si="18"/>
        <v>0</v>
      </c>
      <c r="K105" s="40">
        <f t="shared" si="18"/>
        <v>0</v>
      </c>
      <c r="L105" s="40">
        <f t="shared" si="18"/>
        <v>0</v>
      </c>
      <c r="M105" s="40">
        <f t="shared" si="18"/>
        <v>0</v>
      </c>
      <c r="N105" s="67"/>
      <c r="O105" s="3">
        <f>IF(ISBLANK(P105),"",MAX(O$5:O104)+1)</f>
        <v>43</v>
      </c>
      <c r="P105" s="4" t="s">
        <v>53</v>
      </c>
      <c r="Q105" s="2"/>
      <c r="R105" s="5"/>
      <c r="S105" s="5"/>
    </row>
    <row r="106" spans="2:21">
      <c r="B106" s="5" t="s">
        <v>32</v>
      </c>
      <c r="C106" s="30"/>
      <c r="D106" s="30"/>
      <c r="E106" s="30"/>
      <c r="F106" s="53" t="s">
        <v>5</v>
      </c>
      <c r="G106" s="59">
        <f>$M24</f>
        <v>0</v>
      </c>
      <c r="H106" s="59">
        <f t="shared" ref="H106:M106" si="19">$M24</f>
        <v>0</v>
      </c>
      <c r="I106" s="59">
        <f t="shared" si="19"/>
        <v>0</v>
      </c>
      <c r="J106" s="59">
        <f t="shared" si="19"/>
        <v>0</v>
      </c>
      <c r="K106" s="59">
        <f t="shared" si="19"/>
        <v>0</v>
      </c>
      <c r="L106" s="59">
        <f t="shared" si="19"/>
        <v>0</v>
      </c>
      <c r="M106" s="59">
        <f t="shared" si="19"/>
        <v>0</v>
      </c>
      <c r="N106" s="67"/>
      <c r="O106" s="3">
        <f>IF(ISBLANK(P106),"",MAX(O$5:O105)+1)</f>
        <v>44</v>
      </c>
      <c r="P106" s="4" t="s">
        <v>54</v>
      </c>
      <c r="Q106" s="2"/>
      <c r="R106" s="5"/>
      <c r="S106" s="5"/>
    </row>
    <row r="107" spans="2:21">
      <c r="B107" s="5" t="s">
        <v>215</v>
      </c>
      <c r="C107" s="30"/>
      <c r="D107" s="30"/>
      <c r="E107" s="30"/>
      <c r="F107" s="26" t="s">
        <v>12</v>
      </c>
      <c r="G107" s="9" cm="1">
        <f t="array" ref="G107">IF($G8="yes",IFERROR(SUMPRODUCT($L14:$L22,--($E14:$E22&lt;G209))/SUMPRODUCT($L14:$L22,--($E14:$E22&gt;0)),1),0)</f>
        <v>0</v>
      </c>
      <c r="H107" s="9" cm="1">
        <f t="array" ref="H107">IF($G8="yes",IFERROR(SUMPRODUCT($L14:$L22,--($E14:$E22&lt;H209))/SUMPRODUCT($L14:$L22,--($E14:$E22&gt;0)),1),0)</f>
        <v>0</v>
      </c>
      <c r="I107" s="9" cm="1">
        <f t="array" ref="I107">IF($G8="yes",IFERROR(SUMPRODUCT($L14:$L22,--($E14:$E22&lt;I209))/SUMPRODUCT($L14:$L22,--($E14:$E22&gt;0)),1),0)</f>
        <v>0</v>
      </c>
      <c r="J107" s="9" cm="1">
        <f t="array" ref="J107">IF($G8="yes",IFERROR(SUMPRODUCT($L14:$L22,--($E14:$E22&lt;J209))/SUMPRODUCT($L14:$L22,--($E14:$E22&gt;0)),1),0)</f>
        <v>0</v>
      </c>
      <c r="K107" s="9" cm="1">
        <f t="array" ref="K107">IF($G8="yes",IFERROR(SUMPRODUCT($L14:$L22,--($E14:$E22&lt;K209))/SUMPRODUCT($L14:$L22,--($E14:$E22&gt;0)),1),0)</f>
        <v>0</v>
      </c>
      <c r="L107" s="9" cm="1">
        <f t="array" ref="L107">IF($G8="yes",IFERROR(SUMPRODUCT($L14:$L22,--($E14:$E22&lt;L209))/SUMPRODUCT($L14:$L22,--($E14:$E22&gt;0)),1),0)</f>
        <v>0</v>
      </c>
      <c r="M107" s="9" cm="1">
        <f t="array" ref="M107">IF($G8="yes",IFERROR(SUMPRODUCT($L14:$L22,--($E14:$E22&lt;M209))/SUMPRODUCT($L14:$L22,--($E14:$E22&gt;0)),1),0)</f>
        <v>0</v>
      </c>
      <c r="N107" s="67"/>
      <c r="O107" s="3">
        <f>IF(ISBLANK(P107),"",MAX(O$5:O106)+1)</f>
        <v>45</v>
      </c>
      <c r="P107" s="4" t="s">
        <v>219</v>
      </c>
      <c r="Q107" s="2"/>
      <c r="R107" s="5"/>
      <c r="S107" s="5"/>
    </row>
    <row r="108" spans="2:21">
      <c r="B108" s="5" t="s">
        <v>220</v>
      </c>
      <c r="C108" s="30"/>
      <c r="D108" s="30"/>
      <c r="E108" s="30"/>
      <c r="F108" s="53" t="s">
        <v>5</v>
      </c>
      <c r="G108" s="7">
        <f t="shared" ref="G108:M108" si="20">$L24*(1-G107)</f>
        <v>0</v>
      </c>
      <c r="H108" s="7">
        <f t="shared" si="20"/>
        <v>0</v>
      </c>
      <c r="I108" s="7">
        <f t="shared" si="20"/>
        <v>0</v>
      </c>
      <c r="J108" s="7">
        <f t="shared" si="20"/>
        <v>0</v>
      </c>
      <c r="K108" s="7">
        <f t="shared" si="20"/>
        <v>0</v>
      </c>
      <c r="L108" s="7">
        <f t="shared" si="20"/>
        <v>0</v>
      </c>
      <c r="M108" s="7">
        <f t="shared" si="20"/>
        <v>0</v>
      </c>
      <c r="N108" s="67"/>
      <c r="O108" s="3">
        <f>IF(ISBLANK(P108),"",MAX(O$5:O107)+1)</f>
        <v>46</v>
      </c>
      <c r="P108" s="4" t="s">
        <v>219</v>
      </c>
      <c r="Q108" s="2"/>
      <c r="R108" s="5"/>
      <c r="S108" s="5"/>
    </row>
    <row r="109" spans="2:21">
      <c r="B109" s="5" t="s">
        <v>32</v>
      </c>
      <c r="C109" s="30"/>
      <c r="D109" s="30"/>
      <c r="E109" s="30"/>
      <c r="F109" s="53" t="s">
        <v>5</v>
      </c>
      <c r="G109" s="59">
        <f>G106-G108</f>
        <v>0</v>
      </c>
      <c r="H109" s="59">
        <f t="shared" ref="H109:M109" si="21">H106-H108</f>
        <v>0</v>
      </c>
      <c r="I109" s="59">
        <f t="shared" si="21"/>
        <v>0</v>
      </c>
      <c r="J109" s="59">
        <f t="shared" si="21"/>
        <v>0</v>
      </c>
      <c r="K109" s="59">
        <f t="shared" si="21"/>
        <v>0</v>
      </c>
      <c r="L109" s="59">
        <f t="shared" si="21"/>
        <v>0</v>
      </c>
      <c r="M109" s="59">
        <f t="shared" si="21"/>
        <v>0</v>
      </c>
      <c r="N109" s="67"/>
      <c r="O109" s="3">
        <f>IF(ISBLANK(P109),"",MAX(O$5:O108)+1)</f>
        <v>47</v>
      </c>
      <c r="P109" s="4" t="s">
        <v>54</v>
      </c>
      <c r="Q109" s="2"/>
      <c r="R109" s="5"/>
    </row>
    <row r="110" spans="2:21">
      <c r="B110" s="5" t="s">
        <v>6</v>
      </c>
      <c r="C110" s="30"/>
      <c r="D110" s="30"/>
      <c r="E110" s="30"/>
      <c r="F110" s="2" t="str">
        <f>F5</f>
        <v>$</v>
      </c>
      <c r="G110" s="68">
        <f t="shared" ref="G110:M110" si="22">IFERROR(G105/G109,0)</f>
        <v>0</v>
      </c>
      <c r="H110" s="68">
        <f t="shared" si="22"/>
        <v>0</v>
      </c>
      <c r="I110" s="68">
        <f t="shared" si="22"/>
        <v>0</v>
      </c>
      <c r="J110" s="68">
        <f t="shared" si="22"/>
        <v>0</v>
      </c>
      <c r="K110" s="68">
        <f t="shared" si="22"/>
        <v>0</v>
      </c>
      <c r="L110" s="68">
        <f t="shared" si="22"/>
        <v>0</v>
      </c>
      <c r="M110" s="68">
        <f t="shared" si="22"/>
        <v>0</v>
      </c>
      <c r="N110" s="67"/>
      <c r="O110" s="3">
        <f>IF(ISBLANK(P110),"",MAX(O$5:O109)+1)</f>
        <v>48</v>
      </c>
      <c r="P110" s="4" t="s">
        <v>7</v>
      </c>
      <c r="Q110" s="2"/>
      <c r="R110" s="5"/>
    </row>
    <row r="111" spans="2:21">
      <c r="B111" s="5"/>
      <c r="C111" s="30"/>
      <c r="D111" s="30"/>
      <c r="E111" s="30"/>
      <c r="N111" s="67"/>
      <c r="O111" s="3" t="str">
        <f>IF(ISBLANK(P111),"",MAX(O$5:O110)+1)</f>
        <v/>
      </c>
      <c r="P111" s="4"/>
      <c r="Q111" s="2"/>
      <c r="R111" s="5"/>
    </row>
    <row r="112" spans="2:21">
      <c r="B112" s="12" t="str">
        <f>"Preferred, "&amp;G79</f>
        <v>Preferred, C</v>
      </c>
      <c r="C112" s="33"/>
      <c r="D112" s="33"/>
      <c r="E112" s="33"/>
      <c r="F112" s="69"/>
      <c r="L112" s="70"/>
      <c r="N112" s="67"/>
      <c r="O112" s="3" t="str">
        <f>IF(ISBLANK(P112),"",MAX(O$5:O111)+1)</f>
        <v/>
      </c>
      <c r="P112" s="4"/>
      <c r="Q112" s="2"/>
      <c r="R112" s="5"/>
    </row>
    <row r="113" spans="2:17">
      <c r="B113" s="5" t="s">
        <v>55</v>
      </c>
      <c r="C113" s="30"/>
      <c r="D113" s="30"/>
      <c r="E113" s="30"/>
      <c r="F113" s="2" t="str">
        <f>F5</f>
        <v>$</v>
      </c>
      <c r="G113" s="59">
        <f t="shared" ref="G113:M113" si="23">G105</f>
        <v>0</v>
      </c>
      <c r="H113" s="59">
        <f t="shared" si="23"/>
        <v>0</v>
      </c>
      <c r="I113" s="59">
        <f t="shared" si="23"/>
        <v>0</v>
      </c>
      <c r="J113" s="59">
        <f t="shared" si="23"/>
        <v>0</v>
      </c>
      <c r="K113" s="59">
        <f t="shared" si="23"/>
        <v>0</v>
      </c>
      <c r="L113" s="59">
        <f t="shared" si="23"/>
        <v>0</v>
      </c>
      <c r="M113" s="59">
        <f t="shared" si="23"/>
        <v>0</v>
      </c>
      <c r="N113" s="67"/>
      <c r="O113" s="3">
        <f>IF(ISBLANK(P113),"",MAX(O$5:O112)+1)</f>
        <v>49</v>
      </c>
      <c r="P113" s="4" t="s">
        <v>56</v>
      </c>
    </row>
    <row r="114" spans="2:17">
      <c r="B114" s="5" t="s">
        <v>57</v>
      </c>
      <c r="C114" s="30"/>
      <c r="D114" s="30"/>
      <c r="E114" s="30"/>
      <c r="F114" s="53" t="s">
        <v>5</v>
      </c>
      <c r="G114" s="59">
        <f t="shared" ref="G114:M114" si="24">G109</f>
        <v>0</v>
      </c>
      <c r="H114" s="59">
        <f t="shared" si="24"/>
        <v>0</v>
      </c>
      <c r="I114" s="59">
        <f t="shared" si="24"/>
        <v>0</v>
      </c>
      <c r="J114" s="59">
        <f t="shared" si="24"/>
        <v>0</v>
      </c>
      <c r="K114" s="59">
        <f t="shared" si="24"/>
        <v>0</v>
      </c>
      <c r="L114" s="59">
        <f t="shared" si="24"/>
        <v>0</v>
      </c>
      <c r="M114" s="59">
        <f t="shared" si="24"/>
        <v>0</v>
      </c>
      <c r="N114" s="67"/>
      <c r="O114" s="3">
        <f>IF(ISBLANK(P114),"",MAX(O$5:O113)+1)</f>
        <v>50</v>
      </c>
      <c r="P114" s="4" t="s">
        <v>58</v>
      </c>
    </row>
    <row r="115" spans="2:17">
      <c r="B115" s="30" t="str">
        <f>"Shares, "&amp;B112</f>
        <v>Shares, Preferred, C</v>
      </c>
      <c r="C115" s="30"/>
      <c r="D115" s="30"/>
      <c r="E115" s="30"/>
      <c r="F115" s="29" t="s">
        <v>5</v>
      </c>
      <c r="G115" s="59">
        <f t="shared" ref="G115:M115" si="25">$G70</f>
        <v>0</v>
      </c>
      <c r="H115" s="59">
        <f t="shared" si="25"/>
        <v>0</v>
      </c>
      <c r="I115" s="59">
        <f t="shared" si="25"/>
        <v>0</v>
      </c>
      <c r="J115" s="59">
        <f t="shared" si="25"/>
        <v>0</v>
      </c>
      <c r="K115" s="59">
        <f t="shared" si="25"/>
        <v>0</v>
      </c>
      <c r="L115" s="59">
        <f t="shared" si="25"/>
        <v>0</v>
      </c>
      <c r="M115" s="59">
        <f t="shared" si="25"/>
        <v>0</v>
      </c>
      <c r="N115" s="67"/>
      <c r="O115" s="3">
        <f>IF(ISBLANK(P115),"",MAX(O$5:O114)+1)</f>
        <v>51</v>
      </c>
      <c r="P115" s="31" t="s">
        <v>59</v>
      </c>
    </row>
    <row r="116" spans="2:17">
      <c r="B116" s="30" t="s">
        <v>60</v>
      </c>
      <c r="C116" s="30"/>
      <c r="D116" s="30"/>
      <c r="E116" s="30"/>
      <c r="F116" s="29" t="str">
        <f>F$5</f>
        <v>$</v>
      </c>
      <c r="G116" s="59">
        <f t="shared" ref="G116:M116" si="26">$G72</f>
        <v>0</v>
      </c>
      <c r="H116" s="59">
        <f t="shared" si="26"/>
        <v>0</v>
      </c>
      <c r="I116" s="59">
        <f t="shared" si="26"/>
        <v>0</v>
      </c>
      <c r="J116" s="59">
        <f t="shared" si="26"/>
        <v>0</v>
      </c>
      <c r="K116" s="59">
        <f t="shared" si="26"/>
        <v>0</v>
      </c>
      <c r="L116" s="59">
        <f t="shared" si="26"/>
        <v>0</v>
      </c>
      <c r="M116" s="59">
        <f t="shared" si="26"/>
        <v>0</v>
      </c>
      <c r="N116" s="67"/>
      <c r="O116" s="3">
        <f>IF(ISBLANK(P116),"",MAX(O$5:O115)+1)</f>
        <v>52</v>
      </c>
      <c r="P116" s="31" t="s">
        <v>61</v>
      </c>
    </row>
    <row r="117" spans="2:17">
      <c r="B117" s="30" t="s">
        <v>62</v>
      </c>
      <c r="C117" s="30"/>
      <c r="D117" s="30"/>
      <c r="E117" s="30"/>
      <c r="F117" s="29" t="str">
        <f>F5</f>
        <v>$</v>
      </c>
      <c r="G117" s="32" t="str">
        <f t="shared" ref="G117:M117" si="27">IF($G$73=$B$328,$G71*$G$74,IF($G$73=$B$329,0,"na"))</f>
        <v>na</v>
      </c>
      <c r="H117" s="32" t="str">
        <f t="shared" si="27"/>
        <v>na</v>
      </c>
      <c r="I117" s="32" t="str">
        <f t="shared" si="27"/>
        <v>na</v>
      </c>
      <c r="J117" s="32" t="str">
        <f t="shared" si="27"/>
        <v>na</v>
      </c>
      <c r="K117" s="32" t="str">
        <f t="shared" si="27"/>
        <v>na</v>
      </c>
      <c r="L117" s="32" t="str">
        <f t="shared" si="27"/>
        <v>na</v>
      </c>
      <c r="M117" s="32" t="str">
        <f t="shared" si="27"/>
        <v>na</v>
      </c>
      <c r="N117" s="32"/>
      <c r="O117" s="3">
        <f>IF(ISBLANK(P117),"",MAX(O$5:O116)+1)</f>
        <v>53</v>
      </c>
      <c r="P117" s="31" t="s">
        <v>63</v>
      </c>
    </row>
    <row r="118" spans="2:17">
      <c r="B118" s="33" t="str">
        <f>"Note: Implied Proceeds, do not convert to Common, if "&amp;B$327</f>
        <v>Note: Implied Proceeds, do not convert to Common, if Non Participating Preferred</v>
      </c>
      <c r="C118" s="33"/>
      <c r="D118" s="33"/>
      <c r="E118" s="33"/>
      <c r="F118" s="29" t="str">
        <f>F$5</f>
        <v>$</v>
      </c>
      <c r="G118" s="59">
        <f>MIN(G113,G116)</f>
        <v>0</v>
      </c>
      <c r="H118" s="59">
        <f>MIN(H113,H116)</f>
        <v>0</v>
      </c>
      <c r="I118" s="59">
        <f>MIN(I113,I116)</f>
        <v>0</v>
      </c>
      <c r="J118" s="59">
        <f t="shared" ref="J118:M118" si="28">MIN(J113,J116)</f>
        <v>0</v>
      </c>
      <c r="K118" s="59">
        <f t="shared" si="28"/>
        <v>0</v>
      </c>
      <c r="L118" s="59">
        <f t="shared" si="28"/>
        <v>0</v>
      </c>
      <c r="M118" s="59">
        <f t="shared" si="28"/>
        <v>0</v>
      </c>
      <c r="N118" s="59"/>
      <c r="O118" s="3">
        <f>IF(ISBLANK(P118),"",MAX(O$5:O117)+1)</f>
        <v>54</v>
      </c>
      <c r="P118" s="31" t="s">
        <v>148</v>
      </c>
      <c r="Q118" s="25"/>
    </row>
    <row r="119" spans="2:17">
      <c r="B119" s="33" t="str">
        <f>"Note: Implied Proceeds, do not convert to Common, if "&amp;B$328</f>
        <v>Note: Implied Proceeds, do not convert to Common, if Participating Preferred with a Cap</v>
      </c>
      <c r="C119" s="33"/>
      <c r="D119" s="33"/>
      <c r="E119" s="33"/>
      <c r="F119" s="29" t="str">
        <f>F$5</f>
        <v>$</v>
      </c>
      <c r="G119" s="59">
        <f t="shared" ref="G119:M119" si="29">IFERROR(IF($G$8="no",MIN(MAX(0,G$105)/G$109*G115+G116,G113,$G$71*$G$74),MIN(G$209*G115+G116,G113,$G$71*$G$74)),0)</f>
        <v>0</v>
      </c>
      <c r="H119" s="59">
        <f t="shared" si="29"/>
        <v>0</v>
      </c>
      <c r="I119" s="59">
        <f t="shared" si="29"/>
        <v>0</v>
      </c>
      <c r="J119" s="59">
        <f t="shared" si="29"/>
        <v>0</v>
      </c>
      <c r="K119" s="59">
        <f t="shared" si="29"/>
        <v>0</v>
      </c>
      <c r="L119" s="59">
        <f t="shared" si="29"/>
        <v>0</v>
      </c>
      <c r="M119" s="59">
        <f t="shared" si="29"/>
        <v>0</v>
      </c>
      <c r="N119" s="59"/>
      <c r="O119" s="3">
        <f>IF(ISBLANK(P119),"",MAX(O$5:O118)+1)</f>
        <v>55</v>
      </c>
      <c r="P119" s="31" t="s">
        <v>150</v>
      </c>
      <c r="Q119" s="25"/>
    </row>
    <row r="120" spans="2:17">
      <c r="B120" s="33" t="str">
        <f>"Note: Implied Proceeds, do not convert to Common, if "&amp;B$329</f>
        <v>Note: Implied Proceeds, do not convert to Common, if Full Participating Preferred</v>
      </c>
      <c r="C120" s="33"/>
      <c r="D120" s="33"/>
      <c r="E120" s="33"/>
      <c r="F120" s="29" t="str">
        <f>F$5</f>
        <v>$</v>
      </c>
      <c r="G120" s="59">
        <f t="shared" ref="G120:M120" si="30">IFERROR(MIN(G$209*G115+G116,G113),0)</f>
        <v>0</v>
      </c>
      <c r="H120" s="59">
        <f t="shared" si="30"/>
        <v>0</v>
      </c>
      <c r="I120" s="59">
        <f t="shared" si="30"/>
        <v>0</v>
      </c>
      <c r="J120" s="59">
        <f t="shared" si="30"/>
        <v>0</v>
      </c>
      <c r="K120" s="59">
        <f t="shared" si="30"/>
        <v>0</v>
      </c>
      <c r="L120" s="59">
        <f t="shared" si="30"/>
        <v>0</v>
      </c>
      <c r="M120" s="59">
        <f t="shared" si="30"/>
        <v>0</v>
      </c>
      <c r="N120" s="59"/>
      <c r="O120" s="3">
        <f>IF(ISBLANK(P120),"",MAX(O$5:O119)+1)</f>
        <v>56</v>
      </c>
      <c r="P120" s="31" t="s">
        <v>149</v>
      </c>
      <c r="Q120" s="25"/>
    </row>
    <row r="121" spans="2:17">
      <c r="B121" s="33" t="s">
        <v>64</v>
      </c>
      <c r="C121" s="33"/>
      <c r="D121" s="33"/>
      <c r="E121" s="33"/>
      <c r="F121" s="29" t="str">
        <f>F$5</f>
        <v>$</v>
      </c>
      <c r="G121" s="34">
        <f t="shared" ref="G121:M121" si="31">IFERROR(IF($G$8="no",MAX(0,G$105)/G$109*G115*$G$75,G$209*G115*$G$75),0)</f>
        <v>0</v>
      </c>
      <c r="H121" s="34">
        <f t="shared" si="31"/>
        <v>0</v>
      </c>
      <c r="I121" s="34">
        <f t="shared" si="31"/>
        <v>0</v>
      </c>
      <c r="J121" s="34">
        <f t="shared" si="31"/>
        <v>0</v>
      </c>
      <c r="K121" s="34">
        <f t="shared" si="31"/>
        <v>0</v>
      </c>
      <c r="L121" s="34">
        <f t="shared" si="31"/>
        <v>0</v>
      </c>
      <c r="M121" s="34">
        <f t="shared" si="31"/>
        <v>0</v>
      </c>
      <c r="N121" s="34"/>
      <c r="O121" s="3">
        <f>IF(ISBLANK(P121),"",MAX(O$5:O120)+1)</f>
        <v>57</v>
      </c>
      <c r="P121" s="31" t="s">
        <v>65</v>
      </c>
    </row>
    <row r="122" spans="2:17">
      <c r="B122" s="30" t="s">
        <v>66</v>
      </c>
      <c r="C122" s="30"/>
      <c r="D122" s="30"/>
      <c r="E122" s="30"/>
      <c r="F122" s="29" t="s">
        <v>15</v>
      </c>
      <c r="G122" s="61" t="str">
        <f t="shared" ref="G122:M122" si="32">IF($G$73=$B$327,"no",IF($G$73=$B$329,"yes",IF(G119&gt;G121,"yes","no")))</f>
        <v>no</v>
      </c>
      <c r="H122" s="61" t="str">
        <f t="shared" si="32"/>
        <v>no</v>
      </c>
      <c r="I122" s="61" t="str">
        <f t="shared" si="32"/>
        <v>no</v>
      </c>
      <c r="J122" s="61" t="str">
        <f t="shared" si="32"/>
        <v>no</v>
      </c>
      <c r="K122" s="61" t="str">
        <f t="shared" si="32"/>
        <v>no</v>
      </c>
      <c r="L122" s="61" t="str">
        <f t="shared" si="32"/>
        <v>no</v>
      </c>
      <c r="M122" s="61" t="str">
        <f t="shared" si="32"/>
        <v>no</v>
      </c>
      <c r="N122" s="61"/>
      <c r="O122" s="3">
        <f>IF(ISBLANK(P122),"",MAX(O$5:O121)+1)</f>
        <v>58</v>
      </c>
      <c r="P122" s="31" t="s">
        <v>151</v>
      </c>
    </row>
    <row r="123" spans="2:17">
      <c r="B123" s="30" t="s">
        <v>67</v>
      </c>
      <c r="C123" s="30"/>
      <c r="D123" s="30"/>
      <c r="E123" s="30"/>
      <c r="F123" s="29" t="s">
        <v>5</v>
      </c>
      <c r="G123" s="59">
        <f t="shared" ref="G123:M123" si="33">IFERROR(IF(G122="yes",INDEX(G124:G126,MATCH($G$73,$B$327:$B$329,0))/G$209,0),0)</f>
        <v>0</v>
      </c>
      <c r="H123" s="59">
        <f t="shared" si="33"/>
        <v>0</v>
      </c>
      <c r="I123" s="59">
        <f t="shared" si="33"/>
        <v>0</v>
      </c>
      <c r="J123" s="59">
        <f t="shared" si="33"/>
        <v>0</v>
      </c>
      <c r="K123" s="59">
        <f t="shared" si="33"/>
        <v>0</v>
      </c>
      <c r="L123" s="59">
        <f t="shared" si="33"/>
        <v>0</v>
      </c>
      <c r="M123" s="59">
        <f t="shared" si="33"/>
        <v>0</v>
      </c>
      <c r="N123" s="59"/>
      <c r="O123" s="3">
        <f>IF(ISBLANK(P123),"",MAX(O$5:O122)+1)</f>
        <v>59</v>
      </c>
      <c r="P123" s="31" t="s">
        <v>68</v>
      </c>
    </row>
    <row r="124" spans="2:17">
      <c r="B124" s="33" t="str">
        <f>"Note: Participation, if "&amp;B327</f>
        <v>Note: Participation, if Non Participating Preferred</v>
      </c>
      <c r="C124" s="33"/>
      <c r="D124" s="33"/>
      <c r="E124" s="33"/>
      <c r="F124" s="29" t="str">
        <f>F$5</f>
        <v>$</v>
      </c>
      <c r="G124" s="59">
        <f t="shared" ref="G124:M126" si="34">MAX(0,G118-G$116)</f>
        <v>0</v>
      </c>
      <c r="H124" s="59">
        <f t="shared" si="34"/>
        <v>0</v>
      </c>
      <c r="I124" s="59">
        <f t="shared" si="34"/>
        <v>0</v>
      </c>
      <c r="J124" s="59">
        <f t="shared" si="34"/>
        <v>0</v>
      </c>
      <c r="K124" s="59">
        <f t="shared" si="34"/>
        <v>0</v>
      </c>
      <c r="L124" s="59">
        <f t="shared" si="34"/>
        <v>0</v>
      </c>
      <c r="M124" s="59">
        <f t="shared" si="34"/>
        <v>0</v>
      </c>
      <c r="N124" s="59"/>
      <c r="O124" s="3">
        <f>IF(ISBLANK(P124),"",MAX(O$5:O123)+1)</f>
        <v>60</v>
      </c>
      <c r="P124" s="31" t="s">
        <v>69</v>
      </c>
    </row>
    <row r="125" spans="2:17">
      <c r="B125" s="33" t="str">
        <f>"Note: Participation, if "&amp;B328</f>
        <v>Note: Participation, if Participating Preferred with a Cap</v>
      </c>
      <c r="C125" s="33"/>
      <c r="D125" s="33"/>
      <c r="E125" s="33"/>
      <c r="F125" s="29" t="str">
        <f>F$5</f>
        <v>$</v>
      </c>
      <c r="G125" s="59">
        <f t="shared" si="34"/>
        <v>0</v>
      </c>
      <c r="H125" s="59">
        <f t="shared" si="34"/>
        <v>0</v>
      </c>
      <c r="I125" s="59">
        <f t="shared" si="34"/>
        <v>0</v>
      </c>
      <c r="J125" s="59">
        <f t="shared" si="34"/>
        <v>0</v>
      </c>
      <c r="K125" s="59">
        <f t="shared" si="34"/>
        <v>0</v>
      </c>
      <c r="L125" s="59">
        <f t="shared" si="34"/>
        <v>0</v>
      </c>
      <c r="M125" s="59">
        <f t="shared" si="34"/>
        <v>0</v>
      </c>
      <c r="N125" s="59"/>
      <c r="O125" s="3">
        <f>IF(ISBLANK(P125),"",MAX(O$5:O124)+1)</f>
        <v>61</v>
      </c>
      <c r="P125" s="31" t="s">
        <v>69</v>
      </c>
    </row>
    <row r="126" spans="2:17">
      <c r="B126" s="33" t="str">
        <f>"Note: Participation, if "&amp;B329</f>
        <v>Note: Participation, if Full Participating Preferred</v>
      </c>
      <c r="C126" s="33"/>
      <c r="D126" s="33"/>
      <c r="E126" s="33"/>
      <c r="F126" s="29" t="str">
        <f>F$5</f>
        <v>$</v>
      </c>
      <c r="G126" s="59">
        <f t="shared" si="34"/>
        <v>0</v>
      </c>
      <c r="H126" s="59">
        <f t="shared" si="34"/>
        <v>0</v>
      </c>
      <c r="I126" s="59">
        <f t="shared" si="34"/>
        <v>0</v>
      </c>
      <c r="J126" s="59">
        <f t="shared" si="34"/>
        <v>0</v>
      </c>
      <c r="K126" s="59">
        <f t="shared" si="34"/>
        <v>0</v>
      </c>
      <c r="L126" s="59">
        <f t="shared" si="34"/>
        <v>0</v>
      </c>
      <c r="M126" s="59">
        <f t="shared" si="34"/>
        <v>0</v>
      </c>
      <c r="N126" s="59"/>
      <c r="O126" s="3">
        <f>IF(ISBLANK(P126),"",MAX(O$5:O125)+1)</f>
        <v>62</v>
      </c>
      <c r="P126" s="31" t="s">
        <v>69</v>
      </c>
    </row>
    <row r="127" spans="2:17">
      <c r="B127" s="30" t="s">
        <v>70</v>
      </c>
      <c r="C127" s="30"/>
      <c r="D127" s="30"/>
      <c r="E127" s="30"/>
      <c r="F127" s="29" t="s">
        <v>15</v>
      </c>
      <c r="G127" s="61" t="str">
        <f t="shared" ref="G127:M127" si="35">IF($G$73=$B$327,IF(G118&gt;=G121,"no","yes"),IF(G122="yes","no","yes"))</f>
        <v>no</v>
      </c>
      <c r="H127" s="61" t="str">
        <f t="shared" si="35"/>
        <v>no</v>
      </c>
      <c r="I127" s="61" t="str">
        <f t="shared" si="35"/>
        <v>no</v>
      </c>
      <c r="J127" s="61" t="str">
        <f t="shared" si="35"/>
        <v>no</v>
      </c>
      <c r="K127" s="61" t="str">
        <f t="shared" si="35"/>
        <v>no</v>
      </c>
      <c r="L127" s="61" t="str">
        <f t="shared" si="35"/>
        <v>no</v>
      </c>
      <c r="M127" s="61" t="str">
        <f t="shared" si="35"/>
        <v>no</v>
      </c>
      <c r="N127" s="61"/>
      <c r="O127" s="3">
        <f>IF(ISBLANK(P127),"",MAX(O$5:O126)+1)</f>
        <v>63</v>
      </c>
      <c r="P127" s="31" t="s">
        <v>71</v>
      </c>
    </row>
    <row r="128" spans="2:17">
      <c r="B128" s="30" t="s">
        <v>72</v>
      </c>
      <c r="C128" s="30"/>
      <c r="D128" s="30"/>
      <c r="E128" s="30"/>
      <c r="F128" s="29" t="s">
        <v>5</v>
      </c>
      <c r="G128" s="59">
        <f>IF(G127="yes",G115*$G$75,0)</f>
        <v>0</v>
      </c>
      <c r="H128" s="59">
        <f t="shared" ref="H128:M128" si="36">IF(H127="yes",H115*$G$75,0)</f>
        <v>0</v>
      </c>
      <c r="I128" s="59">
        <f t="shared" si="36"/>
        <v>0</v>
      </c>
      <c r="J128" s="59">
        <f t="shared" si="36"/>
        <v>0</v>
      </c>
      <c r="K128" s="59">
        <f t="shared" si="36"/>
        <v>0</v>
      </c>
      <c r="L128" s="59">
        <f t="shared" si="36"/>
        <v>0</v>
      </c>
      <c r="M128" s="59">
        <f t="shared" si="36"/>
        <v>0</v>
      </c>
      <c r="N128" s="59"/>
      <c r="O128" s="3">
        <f>IF(ISBLANK(P128),"",MAX(O$5:O127)+1)</f>
        <v>64</v>
      </c>
      <c r="P128" s="31" t="s">
        <v>73</v>
      </c>
    </row>
    <row r="129" spans="2:17">
      <c r="B129" s="30" t="s">
        <v>74</v>
      </c>
      <c r="C129" s="30"/>
      <c r="D129" s="30"/>
      <c r="E129" s="30"/>
      <c r="F129" s="29" t="str">
        <f>F$5</f>
        <v>$</v>
      </c>
      <c r="G129" s="34">
        <f t="shared" ref="G129:M129" si="37">IF($G8="yes",IFERROR(G128*G$209,0),IFERROR(G128/G$109*G$105,0))</f>
        <v>0</v>
      </c>
      <c r="H129" s="34">
        <f t="shared" si="37"/>
        <v>0</v>
      </c>
      <c r="I129" s="34">
        <f t="shared" si="37"/>
        <v>0</v>
      </c>
      <c r="J129" s="34">
        <f t="shared" si="37"/>
        <v>0</v>
      </c>
      <c r="K129" s="34">
        <f t="shared" si="37"/>
        <v>0</v>
      </c>
      <c r="L129" s="34">
        <f t="shared" si="37"/>
        <v>0</v>
      </c>
      <c r="M129" s="34">
        <f t="shared" si="37"/>
        <v>0</v>
      </c>
      <c r="N129" s="34"/>
      <c r="O129" s="3">
        <f>IF(ISBLANK(P129),"",MAX(O$5:O128)+1)</f>
        <v>65</v>
      </c>
      <c r="P129" s="31" t="s">
        <v>75</v>
      </c>
    </row>
    <row r="130" spans="2:17">
      <c r="B130" s="30" t="s">
        <v>40</v>
      </c>
      <c r="C130" s="30"/>
      <c r="D130" s="30"/>
      <c r="E130" s="30"/>
      <c r="F130" s="29" t="str">
        <f>F$5</f>
        <v>$</v>
      </c>
      <c r="G130" s="34">
        <f t="shared" ref="G130:M130" si="38">IF(OR(G127="yes",$G$76=$B$334),0,IF($G$76=$B$332,$G$77*$G$71,ROUND(YEARFRAC($G$78,$G$6,1),0)*$G$77*$G$71))</f>
        <v>0</v>
      </c>
      <c r="H130" s="34">
        <f t="shared" si="38"/>
        <v>0</v>
      </c>
      <c r="I130" s="34">
        <f t="shared" si="38"/>
        <v>0</v>
      </c>
      <c r="J130" s="34">
        <f t="shared" si="38"/>
        <v>0</v>
      </c>
      <c r="K130" s="34">
        <f t="shared" si="38"/>
        <v>0</v>
      </c>
      <c r="L130" s="34">
        <f t="shared" si="38"/>
        <v>0</v>
      </c>
      <c r="M130" s="34">
        <f t="shared" si="38"/>
        <v>0</v>
      </c>
      <c r="N130" s="34"/>
      <c r="O130" s="3">
        <f>IF(ISBLANK(P130),"",MAX(O$5:O129)+1)</f>
        <v>66</v>
      </c>
      <c r="P130" s="31" t="s">
        <v>107</v>
      </c>
    </row>
    <row r="131" spans="2:17">
      <c r="B131" s="30" t="str">
        <f>"Proceeds to "&amp;B112</f>
        <v>Proceeds to Preferred, C</v>
      </c>
      <c r="C131" s="30"/>
      <c r="D131" s="30"/>
      <c r="E131" s="30"/>
      <c r="F131" s="29" t="str">
        <f>F5</f>
        <v>$</v>
      </c>
      <c r="G131" s="59">
        <f t="shared" ref="G131:M131" si="39">MIN(G113,MAX(G130+INDEX(G118:G120,MATCH($G$73,$B$327:$B$329,0)),G129))</f>
        <v>0</v>
      </c>
      <c r="H131" s="59">
        <f t="shared" si="39"/>
        <v>0</v>
      </c>
      <c r="I131" s="59">
        <f t="shared" si="39"/>
        <v>0</v>
      </c>
      <c r="J131" s="59">
        <f t="shared" si="39"/>
        <v>0</v>
      </c>
      <c r="K131" s="59">
        <f t="shared" si="39"/>
        <v>0</v>
      </c>
      <c r="L131" s="59">
        <f t="shared" si="39"/>
        <v>0</v>
      </c>
      <c r="M131" s="59">
        <f t="shared" si="39"/>
        <v>0</v>
      </c>
      <c r="N131" s="59"/>
      <c r="O131" s="3">
        <f>IF(ISBLANK(P131),"",MAX(O$5:O130)+1)</f>
        <v>67</v>
      </c>
      <c r="P131" s="31" t="s">
        <v>76</v>
      </c>
    </row>
    <row r="132" spans="2:17">
      <c r="B132" s="30" t="s">
        <v>77</v>
      </c>
      <c r="C132" s="30"/>
      <c r="D132" s="30"/>
      <c r="E132" s="30"/>
      <c r="F132" s="29" t="str">
        <f>F5</f>
        <v>$</v>
      </c>
      <c r="G132" s="35">
        <f t="shared" ref="G132:M132" si="40">IFERROR(G131/G115,0)</f>
        <v>0</v>
      </c>
      <c r="H132" s="35">
        <f t="shared" si="40"/>
        <v>0</v>
      </c>
      <c r="I132" s="35">
        <f t="shared" si="40"/>
        <v>0</v>
      </c>
      <c r="J132" s="35">
        <f t="shared" si="40"/>
        <v>0</v>
      </c>
      <c r="K132" s="35">
        <f t="shared" si="40"/>
        <v>0</v>
      </c>
      <c r="L132" s="35">
        <f t="shared" si="40"/>
        <v>0</v>
      </c>
      <c r="M132" s="35">
        <f t="shared" si="40"/>
        <v>0</v>
      </c>
      <c r="N132" s="35"/>
      <c r="O132" s="3">
        <f>IF(ISBLANK(P132),"",MAX(O$5:O131)+1)</f>
        <v>68</v>
      </c>
      <c r="P132" s="31" t="s">
        <v>78</v>
      </c>
    </row>
    <row r="133" spans="2:17">
      <c r="B133" s="30"/>
      <c r="C133" s="30"/>
      <c r="D133" s="30"/>
      <c r="E133" s="30"/>
      <c r="K133" s="59"/>
      <c r="L133" s="71"/>
      <c r="O133" s="3" t="str">
        <f>IF(ISBLANK(P133),"",MAX(O$5:O132)+1)</f>
        <v/>
      </c>
    </row>
    <row r="134" spans="2:17">
      <c r="B134" s="33" t="str">
        <f>"Preferred, "&amp;H79</f>
        <v>Preferred, B</v>
      </c>
      <c r="C134" s="33"/>
      <c r="D134" s="33"/>
      <c r="E134" s="33"/>
      <c r="F134" s="69"/>
      <c r="G134" s="59"/>
      <c r="H134" s="59"/>
      <c r="I134" s="59"/>
      <c r="J134" s="59"/>
      <c r="K134" s="59"/>
      <c r="L134" s="59"/>
      <c r="O134" s="3" t="str">
        <f>IF(ISBLANK(P134),"",MAX(O$5:O133)+1)</f>
        <v/>
      </c>
    </row>
    <row r="135" spans="2:17">
      <c r="B135" s="30" t="s">
        <v>55</v>
      </c>
      <c r="C135" s="30"/>
      <c r="D135" s="30"/>
      <c r="E135" s="30"/>
      <c r="F135" s="29" t="str">
        <f>F$5</f>
        <v>$</v>
      </c>
      <c r="G135" s="59">
        <f>IF(G127="no",MAX(0,G113-G116-G130),IF($G$73=$B$329,MAX(0,G113-G116-G130),IF(AND($G$73=$B$328,G129=0),MAX(0,G113-G116-G130),G113)))</f>
        <v>0</v>
      </c>
      <c r="H135" s="59">
        <f t="shared" ref="H135:M135" si="41">IF(H127="no",MAX(0,H113-H116-H130),IF($G73=$B$329,MAX(0,H113-H116-H130),IF(AND($G73=$B$328,H129=0),MAX(0,H113-H116-H130),H113)))</f>
        <v>0</v>
      </c>
      <c r="I135" s="59">
        <f t="shared" si="41"/>
        <v>0</v>
      </c>
      <c r="J135" s="59">
        <f t="shared" si="41"/>
        <v>0</v>
      </c>
      <c r="K135" s="59">
        <f t="shared" si="41"/>
        <v>0</v>
      </c>
      <c r="L135" s="59">
        <f t="shared" si="41"/>
        <v>0</v>
      </c>
      <c r="M135" s="59">
        <f t="shared" si="41"/>
        <v>0</v>
      </c>
      <c r="N135" s="59"/>
      <c r="O135" s="3" t="str">
        <f>IF(ISBLANK(P135),"",MAX(O$5:O134)+1)</f>
        <v/>
      </c>
      <c r="P135" s="31"/>
    </row>
    <row r="136" spans="2:17">
      <c r="B136" s="30" t="s">
        <v>57</v>
      </c>
      <c r="C136" s="30"/>
      <c r="D136" s="30"/>
      <c r="E136" s="30"/>
      <c r="F136" s="53" t="s">
        <v>5</v>
      </c>
      <c r="G136" s="59">
        <f t="shared" ref="G136:M136" si="42">G114-G128</f>
        <v>0</v>
      </c>
      <c r="H136" s="59">
        <f t="shared" si="42"/>
        <v>0</v>
      </c>
      <c r="I136" s="59">
        <f t="shared" si="42"/>
        <v>0</v>
      </c>
      <c r="J136" s="59">
        <f t="shared" si="42"/>
        <v>0</v>
      </c>
      <c r="K136" s="59">
        <f t="shared" si="42"/>
        <v>0</v>
      </c>
      <c r="L136" s="59">
        <f t="shared" si="42"/>
        <v>0</v>
      </c>
      <c r="M136" s="59">
        <f t="shared" si="42"/>
        <v>0</v>
      </c>
      <c r="N136" s="59"/>
      <c r="O136" s="3" t="str">
        <f>IF(ISBLANK(P136),"",MAX(O$5:O135)+1)</f>
        <v/>
      </c>
    </row>
    <row r="137" spans="2:17">
      <c r="B137" s="30" t="str">
        <f>"Shares, "&amp;B134</f>
        <v>Shares, Preferred, B</v>
      </c>
      <c r="C137" s="30"/>
      <c r="D137" s="30"/>
      <c r="E137" s="30"/>
      <c r="F137" s="29" t="s">
        <v>5</v>
      </c>
      <c r="G137" s="59">
        <f t="shared" ref="G137:M137" si="43">$H70</f>
        <v>0</v>
      </c>
      <c r="H137" s="59">
        <f t="shared" si="43"/>
        <v>0</v>
      </c>
      <c r="I137" s="59">
        <f t="shared" si="43"/>
        <v>0</v>
      </c>
      <c r="J137" s="59">
        <f t="shared" si="43"/>
        <v>0</v>
      </c>
      <c r="K137" s="59">
        <f t="shared" si="43"/>
        <v>0</v>
      </c>
      <c r="L137" s="59">
        <f t="shared" si="43"/>
        <v>0</v>
      </c>
      <c r="M137" s="59">
        <f t="shared" si="43"/>
        <v>0</v>
      </c>
      <c r="N137" s="59"/>
      <c r="O137" s="3" t="str">
        <f>IF(ISBLANK(P137),"",MAX(O$5:O136)+1)</f>
        <v/>
      </c>
    </row>
    <row r="138" spans="2:17">
      <c r="B138" s="30" t="s">
        <v>60</v>
      </c>
      <c r="C138" s="30"/>
      <c r="D138" s="30"/>
      <c r="E138" s="30"/>
      <c r="F138" s="29" t="str">
        <f t="shared" ref="F138:F143" si="44">F$5</f>
        <v>$</v>
      </c>
      <c r="G138" s="32">
        <f t="shared" ref="G138:M138" si="45">$H72</f>
        <v>0</v>
      </c>
      <c r="H138" s="32">
        <f t="shared" si="45"/>
        <v>0</v>
      </c>
      <c r="I138" s="32">
        <f t="shared" si="45"/>
        <v>0</v>
      </c>
      <c r="J138" s="32">
        <f t="shared" si="45"/>
        <v>0</v>
      </c>
      <c r="K138" s="32">
        <f t="shared" si="45"/>
        <v>0</v>
      </c>
      <c r="L138" s="32">
        <f t="shared" si="45"/>
        <v>0</v>
      </c>
      <c r="M138" s="32">
        <f t="shared" si="45"/>
        <v>0</v>
      </c>
      <c r="N138" s="32"/>
      <c r="O138" s="3" t="str">
        <f>IF(ISBLANK(P138),"",MAX(O$5:O137)+1)</f>
        <v/>
      </c>
    </row>
    <row r="139" spans="2:17">
      <c r="B139" s="30" t="s">
        <v>62</v>
      </c>
      <c r="C139" s="30"/>
      <c r="D139" s="30"/>
      <c r="E139" s="30"/>
      <c r="F139" s="29" t="str">
        <f t="shared" si="44"/>
        <v>$</v>
      </c>
      <c r="G139" s="32" t="str">
        <f t="shared" ref="G139:M139" si="46">IF($H$73=$B$328,$H71*$H$74,IF($H$73=$B$329,0,"na"))</f>
        <v>na</v>
      </c>
      <c r="H139" s="32" t="str">
        <f t="shared" si="46"/>
        <v>na</v>
      </c>
      <c r="I139" s="32" t="str">
        <f t="shared" si="46"/>
        <v>na</v>
      </c>
      <c r="J139" s="32" t="str">
        <f t="shared" si="46"/>
        <v>na</v>
      </c>
      <c r="K139" s="32" t="str">
        <f t="shared" si="46"/>
        <v>na</v>
      </c>
      <c r="L139" s="32" t="str">
        <f t="shared" si="46"/>
        <v>na</v>
      </c>
      <c r="M139" s="32" t="str">
        <f t="shared" si="46"/>
        <v>na</v>
      </c>
      <c r="N139" s="32"/>
      <c r="O139" s="3" t="str">
        <f>IF(ISBLANK(P139),"",MAX(O$5:O138)+1)</f>
        <v/>
      </c>
    </row>
    <row r="140" spans="2:17">
      <c r="B140" s="33" t="str">
        <f>"Note: Implied Proceeds, do not convert to Common, if "&amp;B$327</f>
        <v>Note: Implied Proceeds, do not convert to Common, if Non Participating Preferred</v>
      </c>
      <c r="C140" s="33"/>
      <c r="D140" s="33"/>
      <c r="E140" s="33"/>
      <c r="F140" s="29" t="str">
        <f t="shared" si="44"/>
        <v>$</v>
      </c>
      <c r="G140" s="59">
        <f>MIN(G135,G138)</f>
        <v>0</v>
      </c>
      <c r="H140" s="59">
        <f t="shared" ref="H140:M140" si="47">MIN(H135,H138)</f>
        <v>0</v>
      </c>
      <c r="I140" s="59">
        <f t="shared" si="47"/>
        <v>0</v>
      </c>
      <c r="J140" s="59">
        <f t="shared" si="47"/>
        <v>0</v>
      </c>
      <c r="K140" s="59">
        <f t="shared" si="47"/>
        <v>0</v>
      </c>
      <c r="L140" s="59">
        <f t="shared" si="47"/>
        <v>0</v>
      </c>
      <c r="M140" s="59">
        <f t="shared" si="47"/>
        <v>0</v>
      </c>
      <c r="N140" s="59"/>
      <c r="O140" s="3" t="str">
        <f>IF(ISBLANK(P140),"",MAX(O$5:O139)+1)</f>
        <v/>
      </c>
    </row>
    <row r="141" spans="2:17">
      <c r="B141" s="33" t="str">
        <f>"Note: Implied Proceeds, do not convert to Common, if "&amp;B$328</f>
        <v>Note: Implied Proceeds, do not convert to Common, if Participating Preferred with a Cap</v>
      </c>
      <c r="C141" s="33"/>
      <c r="D141" s="33"/>
      <c r="E141" s="33"/>
      <c r="F141" s="29" t="str">
        <f t="shared" si="44"/>
        <v>$</v>
      </c>
      <c r="G141" s="59">
        <f t="shared" ref="G141:M141" si="48">IFERROR(IF($G$8="no",MIN(MAX(0,G$105)/G$109*G137+G138,G135,$H$71*$H$74),MIN(G$209*G137+G138,G135,$H$71*$H$74)),0)</f>
        <v>0</v>
      </c>
      <c r="H141" s="59">
        <f t="shared" si="48"/>
        <v>0</v>
      </c>
      <c r="I141" s="59">
        <f t="shared" si="48"/>
        <v>0</v>
      </c>
      <c r="J141" s="59">
        <f t="shared" si="48"/>
        <v>0</v>
      </c>
      <c r="K141" s="59">
        <f t="shared" si="48"/>
        <v>0</v>
      </c>
      <c r="L141" s="59">
        <f t="shared" si="48"/>
        <v>0</v>
      </c>
      <c r="M141" s="59">
        <f t="shared" si="48"/>
        <v>0</v>
      </c>
      <c r="N141" s="59"/>
      <c r="O141" s="3" t="str">
        <f>IF(ISBLANK(P141),"",MAX(O$5:O140)+1)</f>
        <v/>
      </c>
    </row>
    <row r="142" spans="2:17">
      <c r="B142" s="33" t="str">
        <f>"Note: Implied Proceeds, do not convert to Common, if "&amp;B$329</f>
        <v>Note: Implied Proceeds, do not convert to Common, if Full Participating Preferred</v>
      </c>
      <c r="C142" s="33"/>
      <c r="D142" s="33"/>
      <c r="E142" s="33"/>
      <c r="F142" s="29" t="str">
        <f t="shared" si="44"/>
        <v>$</v>
      </c>
      <c r="G142" s="59">
        <f>IFERROR(MIN(G$209*G137+G138,G135),0)</f>
        <v>0</v>
      </c>
      <c r="H142" s="59">
        <f t="shared" ref="H142:M142" si="49">IFERROR(MIN(H$209*H137+H138,H135),0)</f>
        <v>0</v>
      </c>
      <c r="I142" s="59">
        <f t="shared" si="49"/>
        <v>0</v>
      </c>
      <c r="J142" s="59">
        <f t="shared" si="49"/>
        <v>0</v>
      </c>
      <c r="K142" s="59">
        <f t="shared" si="49"/>
        <v>0</v>
      </c>
      <c r="L142" s="59">
        <f t="shared" si="49"/>
        <v>0</v>
      </c>
      <c r="M142" s="59">
        <f t="shared" si="49"/>
        <v>0</v>
      </c>
      <c r="N142" s="59"/>
      <c r="O142" s="3" t="str">
        <f>IF(ISBLANK(P142),"",MAX(O$5:O141)+1)</f>
        <v/>
      </c>
    </row>
    <row r="143" spans="2:17">
      <c r="B143" s="33" t="s">
        <v>64</v>
      </c>
      <c r="C143" s="33"/>
      <c r="D143" s="33"/>
      <c r="E143" s="33"/>
      <c r="F143" s="29" t="str">
        <f t="shared" si="44"/>
        <v>$</v>
      </c>
      <c r="G143" s="34">
        <f t="shared" ref="G143:M143" si="50">IFERROR(IF($G$8="no",MAX(0,G$105)/G$109*G137*$H$75,G$209*G137*$H$75),0)</f>
        <v>0</v>
      </c>
      <c r="H143" s="34">
        <f t="shared" si="50"/>
        <v>0</v>
      </c>
      <c r="I143" s="34">
        <f t="shared" si="50"/>
        <v>0</v>
      </c>
      <c r="J143" s="34">
        <f t="shared" si="50"/>
        <v>0</v>
      </c>
      <c r="K143" s="34">
        <f t="shared" si="50"/>
        <v>0</v>
      </c>
      <c r="L143" s="34">
        <f t="shared" si="50"/>
        <v>0</v>
      </c>
      <c r="M143" s="34">
        <f t="shared" si="50"/>
        <v>0</v>
      </c>
      <c r="N143" s="34"/>
      <c r="O143" s="3" t="str">
        <f>IF(ISBLANK(P143),"",MAX(O$5:O142)+1)</f>
        <v/>
      </c>
      <c r="Q143" s="72"/>
    </row>
    <row r="144" spans="2:17">
      <c r="B144" s="30" t="s">
        <v>66</v>
      </c>
      <c r="C144" s="30"/>
      <c r="D144" s="30"/>
      <c r="E144" s="30"/>
      <c r="F144" s="29" t="s">
        <v>15</v>
      </c>
      <c r="G144" s="61" t="str">
        <f t="shared" ref="G144:M144" si="51">IF($H$73=$B$327,"no",IF($H$73=$B$329,"yes",IF(G141&gt;G143,"yes","no")))</f>
        <v>no</v>
      </c>
      <c r="H144" s="61" t="str">
        <f t="shared" si="51"/>
        <v>no</v>
      </c>
      <c r="I144" s="61" t="str">
        <f t="shared" si="51"/>
        <v>no</v>
      </c>
      <c r="J144" s="61" t="str">
        <f t="shared" si="51"/>
        <v>no</v>
      </c>
      <c r="K144" s="61" t="str">
        <f t="shared" si="51"/>
        <v>no</v>
      </c>
      <c r="L144" s="61" t="str">
        <f t="shared" si="51"/>
        <v>no</v>
      </c>
      <c r="M144" s="61" t="str">
        <f t="shared" si="51"/>
        <v>no</v>
      </c>
      <c r="N144" s="61"/>
      <c r="O144" s="3" t="str">
        <f>IF(ISBLANK(P144),"",MAX(O$5:O143)+1)</f>
        <v/>
      </c>
    </row>
    <row r="145" spans="2:16">
      <c r="B145" s="30" t="s">
        <v>67</v>
      </c>
      <c r="C145" s="30"/>
      <c r="D145" s="30"/>
      <c r="E145" s="30"/>
      <c r="F145" s="29" t="s">
        <v>5</v>
      </c>
      <c r="G145" s="59">
        <f t="shared" ref="G145:M145" si="52">IFERROR(IF(G144="yes",INDEX(G146:G148,MATCH($H$73,$B$327:$B$329,0))/G$209,0),0)</f>
        <v>0</v>
      </c>
      <c r="H145" s="59">
        <f t="shared" si="52"/>
        <v>0</v>
      </c>
      <c r="I145" s="59">
        <f t="shared" si="52"/>
        <v>0</v>
      </c>
      <c r="J145" s="59">
        <f t="shared" si="52"/>
        <v>0</v>
      </c>
      <c r="K145" s="59">
        <f t="shared" si="52"/>
        <v>0</v>
      </c>
      <c r="L145" s="59">
        <f t="shared" si="52"/>
        <v>0</v>
      </c>
      <c r="M145" s="59">
        <f t="shared" si="52"/>
        <v>0</v>
      </c>
      <c r="N145" s="59"/>
      <c r="O145" s="3" t="str">
        <f>IF(ISBLANK(P145),"",MAX(O$5:O144)+1)</f>
        <v/>
      </c>
    </row>
    <row r="146" spans="2:16">
      <c r="B146" s="33" t="str">
        <f>"Note: Participation, if "&amp;B327</f>
        <v>Note: Participation, if Non Participating Preferred</v>
      </c>
      <c r="C146" s="33"/>
      <c r="D146" s="33"/>
      <c r="E146" s="33"/>
      <c r="F146" s="29" t="str">
        <f>F$5</f>
        <v>$</v>
      </c>
      <c r="G146" s="59">
        <f>MAX(0,G140-G$138)</f>
        <v>0</v>
      </c>
      <c r="H146" s="59">
        <f t="shared" ref="H146:M148" si="53">MAX(0,H140-H$138)</f>
        <v>0</v>
      </c>
      <c r="I146" s="59">
        <f t="shared" si="53"/>
        <v>0</v>
      </c>
      <c r="J146" s="59">
        <f t="shared" si="53"/>
        <v>0</v>
      </c>
      <c r="K146" s="59">
        <f t="shared" si="53"/>
        <v>0</v>
      </c>
      <c r="L146" s="59">
        <f t="shared" si="53"/>
        <v>0</v>
      </c>
      <c r="M146" s="59">
        <f t="shared" si="53"/>
        <v>0</v>
      </c>
      <c r="N146" s="59"/>
      <c r="O146" s="3" t="str">
        <f>IF(ISBLANK(P146),"",MAX(O$5:O145)+1)</f>
        <v/>
      </c>
    </row>
    <row r="147" spans="2:16">
      <c r="B147" s="33" t="str">
        <f>"Note: Participation, if "&amp;B328</f>
        <v>Note: Participation, if Participating Preferred with a Cap</v>
      </c>
      <c r="C147" s="33"/>
      <c r="D147" s="33"/>
      <c r="E147" s="33"/>
      <c r="F147" s="29" t="str">
        <f>F$5</f>
        <v>$</v>
      </c>
      <c r="G147" s="59">
        <f>MAX(0,G141-G$138)</f>
        <v>0</v>
      </c>
      <c r="H147" s="59">
        <f t="shared" si="53"/>
        <v>0</v>
      </c>
      <c r="I147" s="59">
        <f t="shared" si="53"/>
        <v>0</v>
      </c>
      <c r="J147" s="59">
        <f t="shared" si="53"/>
        <v>0</v>
      </c>
      <c r="K147" s="59">
        <f t="shared" si="53"/>
        <v>0</v>
      </c>
      <c r="L147" s="59">
        <f t="shared" si="53"/>
        <v>0</v>
      </c>
      <c r="M147" s="59">
        <f t="shared" si="53"/>
        <v>0</v>
      </c>
      <c r="N147" s="59"/>
      <c r="O147" s="3" t="str">
        <f>IF(ISBLANK(P147),"",MAX(O$5:O146)+1)</f>
        <v/>
      </c>
    </row>
    <row r="148" spans="2:16" s="55" customFormat="1">
      <c r="B148" s="33" t="str">
        <f>"Note: Participation, if "&amp;B329</f>
        <v>Note: Participation, if Full Participating Preferred</v>
      </c>
      <c r="C148" s="33"/>
      <c r="D148" s="33"/>
      <c r="E148" s="33"/>
      <c r="F148" s="29" t="str">
        <f>F$5</f>
        <v>$</v>
      </c>
      <c r="G148" s="59">
        <f>MAX(0,G142-G$138)</f>
        <v>0</v>
      </c>
      <c r="H148" s="59">
        <f t="shared" si="53"/>
        <v>0</v>
      </c>
      <c r="I148" s="59">
        <f t="shared" si="53"/>
        <v>0</v>
      </c>
      <c r="J148" s="59">
        <f t="shared" si="53"/>
        <v>0</v>
      </c>
      <c r="K148" s="59">
        <f t="shared" si="53"/>
        <v>0</v>
      </c>
      <c r="L148" s="59">
        <f t="shared" si="53"/>
        <v>0</v>
      </c>
      <c r="M148" s="59">
        <f t="shared" si="53"/>
        <v>0</v>
      </c>
      <c r="N148" s="59"/>
      <c r="O148" s="3" t="str">
        <f>IF(ISBLANK(P148),"",MAX(O$5:O147)+1)</f>
        <v/>
      </c>
    </row>
    <row r="149" spans="2:16" s="55" customFormat="1">
      <c r="B149" s="30" t="s">
        <v>70</v>
      </c>
      <c r="C149" s="30"/>
      <c r="D149" s="30"/>
      <c r="E149" s="30"/>
      <c r="F149" s="29" t="s">
        <v>15</v>
      </c>
      <c r="G149" s="61" t="str">
        <f t="shared" ref="G149:M149" si="54">IF($H$73=$B$327,IF(G140&gt;=G143,"no","yes"),IF(G144="yes","no","yes"))</f>
        <v>no</v>
      </c>
      <c r="H149" s="61" t="str">
        <f t="shared" si="54"/>
        <v>no</v>
      </c>
      <c r="I149" s="61" t="str">
        <f t="shared" si="54"/>
        <v>no</v>
      </c>
      <c r="J149" s="61" t="str">
        <f t="shared" si="54"/>
        <v>no</v>
      </c>
      <c r="K149" s="61" t="str">
        <f t="shared" si="54"/>
        <v>no</v>
      </c>
      <c r="L149" s="61" t="str">
        <f t="shared" si="54"/>
        <v>no</v>
      </c>
      <c r="M149" s="61" t="str">
        <f t="shared" si="54"/>
        <v>no</v>
      </c>
      <c r="N149" s="61"/>
      <c r="O149" s="3" t="str">
        <f>IF(ISBLANK(P149),"",MAX(O$5:O148)+1)</f>
        <v/>
      </c>
    </row>
    <row r="150" spans="2:16" s="55" customFormat="1">
      <c r="B150" s="30" t="s">
        <v>72</v>
      </c>
      <c r="C150" s="30"/>
      <c r="D150" s="30"/>
      <c r="E150" s="30"/>
      <c r="F150" s="29" t="s">
        <v>5</v>
      </c>
      <c r="G150" s="59">
        <f>IF(G149="yes",G137*$H$75,0)</f>
        <v>0</v>
      </c>
      <c r="H150" s="59">
        <f t="shared" ref="H150:M150" si="55">IF(H149="yes",H137*$H$75,0)</f>
        <v>0</v>
      </c>
      <c r="I150" s="59">
        <f t="shared" si="55"/>
        <v>0</v>
      </c>
      <c r="J150" s="59">
        <f t="shared" si="55"/>
        <v>0</v>
      </c>
      <c r="K150" s="59">
        <f t="shared" si="55"/>
        <v>0</v>
      </c>
      <c r="L150" s="59">
        <f t="shared" si="55"/>
        <v>0</v>
      </c>
      <c r="M150" s="59">
        <f t="shared" si="55"/>
        <v>0</v>
      </c>
      <c r="N150" s="59"/>
      <c r="O150" s="3" t="str">
        <f>IF(ISBLANK(P150),"",MAX(O$5:O149)+1)</f>
        <v/>
      </c>
    </row>
    <row r="151" spans="2:16" s="55" customFormat="1">
      <c r="B151" s="30" t="s">
        <v>74</v>
      </c>
      <c r="C151" s="30"/>
      <c r="D151" s="30"/>
      <c r="E151" s="30"/>
      <c r="F151" s="29" t="str">
        <f>F$5</f>
        <v>$</v>
      </c>
      <c r="G151" s="34">
        <f t="shared" ref="G151:M151" si="56">IF($G$8="yes",IFERROR(G150*G$209,0),IFERROR(G150/G$109*G$105,0))</f>
        <v>0</v>
      </c>
      <c r="H151" s="34">
        <f t="shared" si="56"/>
        <v>0</v>
      </c>
      <c r="I151" s="34">
        <f t="shared" si="56"/>
        <v>0</v>
      </c>
      <c r="J151" s="34">
        <f t="shared" si="56"/>
        <v>0</v>
      </c>
      <c r="K151" s="34">
        <f t="shared" si="56"/>
        <v>0</v>
      </c>
      <c r="L151" s="34">
        <f t="shared" si="56"/>
        <v>0</v>
      </c>
      <c r="M151" s="34">
        <f t="shared" si="56"/>
        <v>0</v>
      </c>
      <c r="N151" s="34"/>
      <c r="O151" s="3" t="str">
        <f>IF(ISBLANK(P151),"",MAX(O$5:O150)+1)</f>
        <v/>
      </c>
    </row>
    <row r="152" spans="2:16" s="55" customFormat="1">
      <c r="B152" s="30" t="s">
        <v>40</v>
      </c>
      <c r="C152" s="30"/>
      <c r="D152" s="30"/>
      <c r="E152" s="30"/>
      <c r="F152" s="29" t="str">
        <f>F$5</f>
        <v>$</v>
      </c>
      <c r="G152" s="34">
        <f t="shared" ref="G152:M152" si="57">IF(OR(G149="yes",$H$76=$B$334),0,IF($H$76=$B$332,$H$77*$H$71,ROUND(YEARFRAC($H$78,$G$6,1),0)*$H$77*$H$71))</f>
        <v>0</v>
      </c>
      <c r="H152" s="34">
        <f t="shared" si="57"/>
        <v>0</v>
      </c>
      <c r="I152" s="34">
        <f t="shared" si="57"/>
        <v>0</v>
      </c>
      <c r="J152" s="34">
        <f t="shared" si="57"/>
        <v>0</v>
      </c>
      <c r="K152" s="34">
        <f t="shared" si="57"/>
        <v>0</v>
      </c>
      <c r="L152" s="34">
        <f t="shared" si="57"/>
        <v>0</v>
      </c>
      <c r="M152" s="34">
        <f t="shared" si="57"/>
        <v>0</v>
      </c>
      <c r="N152" s="34"/>
      <c r="O152" s="3" t="str">
        <f>IF(ISBLANK(P152),"",MAX(O$5:O151)+1)</f>
        <v/>
      </c>
    </row>
    <row r="153" spans="2:16" s="55" customFormat="1">
      <c r="B153" s="30" t="str">
        <f>"Proceeds to "&amp;B134</f>
        <v>Proceeds to Preferred, B</v>
      </c>
      <c r="C153" s="30"/>
      <c r="D153" s="30"/>
      <c r="E153" s="30"/>
      <c r="F153" s="29" t="str">
        <f>F$5</f>
        <v>$</v>
      </c>
      <c r="G153" s="59">
        <f t="shared" ref="G153:M153" si="58">MIN(G135,MAX(G152+INDEX(G140:G142,MATCH($H$73,$B$327:$B$329,0)),G151))</f>
        <v>0</v>
      </c>
      <c r="H153" s="59">
        <f t="shared" si="58"/>
        <v>0</v>
      </c>
      <c r="I153" s="59">
        <f t="shared" si="58"/>
        <v>0</v>
      </c>
      <c r="J153" s="59">
        <f t="shared" si="58"/>
        <v>0</v>
      </c>
      <c r="K153" s="59">
        <f t="shared" si="58"/>
        <v>0</v>
      </c>
      <c r="L153" s="59">
        <f t="shared" si="58"/>
        <v>0</v>
      </c>
      <c r="M153" s="59">
        <f t="shared" si="58"/>
        <v>0</v>
      </c>
      <c r="N153" s="59"/>
      <c r="O153" s="3" t="str">
        <f>IF(ISBLANK(P153),"",MAX(O$5:O152)+1)</f>
        <v/>
      </c>
    </row>
    <row r="154" spans="2:16" s="55" customFormat="1">
      <c r="B154" s="30" t="s">
        <v>77</v>
      </c>
      <c r="C154" s="30"/>
      <c r="D154" s="30"/>
      <c r="E154" s="30"/>
      <c r="F154" s="29" t="str">
        <f>F$5</f>
        <v>$</v>
      </c>
      <c r="G154" s="35">
        <f>IFERROR(G153/G137,0)</f>
        <v>0</v>
      </c>
      <c r="H154" s="35">
        <f t="shared" ref="H154:M154" si="59">IFERROR(H153/H137,0)</f>
        <v>0</v>
      </c>
      <c r="I154" s="35">
        <f t="shared" si="59"/>
        <v>0</v>
      </c>
      <c r="J154" s="35">
        <f t="shared" si="59"/>
        <v>0</v>
      </c>
      <c r="K154" s="35">
        <f t="shared" si="59"/>
        <v>0</v>
      </c>
      <c r="L154" s="35">
        <f t="shared" si="59"/>
        <v>0</v>
      </c>
      <c r="M154" s="35">
        <f t="shared" si="59"/>
        <v>0</v>
      </c>
      <c r="N154" s="35"/>
      <c r="O154" s="3" t="str">
        <f>IF(ISBLANK(P154),"",MAX(O$5:O153)+1)</f>
        <v/>
      </c>
    </row>
    <row r="155" spans="2:16" s="55" customFormat="1">
      <c r="B155" s="52"/>
      <c r="C155" s="52"/>
      <c r="D155" s="52"/>
      <c r="E155" s="52"/>
      <c r="F155" s="53"/>
      <c r="G155" s="52"/>
      <c r="H155" s="52"/>
      <c r="I155" s="52"/>
      <c r="J155" s="52"/>
      <c r="K155" s="52"/>
      <c r="L155" s="52"/>
      <c r="M155" s="52"/>
      <c r="N155" s="52"/>
      <c r="O155" s="3" t="str">
        <f>IF(ISBLANK(P155),"",MAX(O$5:O154)+1)</f>
        <v/>
      </c>
    </row>
    <row r="156" spans="2:16">
      <c r="B156" s="33" t="str">
        <f>"Preferred, "&amp;I79</f>
        <v>Preferred, A</v>
      </c>
      <c r="C156" s="33"/>
      <c r="D156" s="33"/>
      <c r="E156" s="33"/>
      <c r="F156" s="69"/>
      <c r="G156" s="59"/>
      <c r="H156" s="59"/>
      <c r="I156" s="59"/>
      <c r="J156" s="59"/>
      <c r="K156" s="59"/>
      <c r="L156" s="59"/>
      <c r="M156" s="59"/>
      <c r="N156" s="59"/>
      <c r="O156" s="3" t="str">
        <f>IF(ISBLANK(P156),"",MAX(O$5:O155)+1)</f>
        <v/>
      </c>
    </row>
    <row r="157" spans="2:16">
      <c r="B157" s="30" t="s">
        <v>55</v>
      </c>
      <c r="C157" s="30"/>
      <c r="D157" s="30"/>
      <c r="E157" s="30"/>
      <c r="F157" s="29" t="str">
        <f>F$5</f>
        <v>$</v>
      </c>
      <c r="G157" s="59">
        <f t="shared" ref="G157:M157" si="60">IF(G149="no",MAX(0,G135-G138-G152),IF($H$73=$B$329,MAX(0,G135-G138-G152),IF(AND($H$73=$B$328,G151=0),MAX(0,G135-G138-G152),G135)))</f>
        <v>0</v>
      </c>
      <c r="H157" s="59">
        <f t="shared" si="60"/>
        <v>0</v>
      </c>
      <c r="I157" s="59">
        <f t="shared" si="60"/>
        <v>0</v>
      </c>
      <c r="J157" s="59">
        <f t="shared" si="60"/>
        <v>0</v>
      </c>
      <c r="K157" s="59">
        <f t="shared" si="60"/>
        <v>0</v>
      </c>
      <c r="L157" s="59">
        <f t="shared" si="60"/>
        <v>0</v>
      </c>
      <c r="M157" s="59">
        <f t="shared" si="60"/>
        <v>0</v>
      </c>
      <c r="N157" s="59"/>
      <c r="O157" s="3" t="str">
        <f>IF(ISBLANK(P157),"",MAX(O$5:O156)+1)</f>
        <v/>
      </c>
      <c r="P157" s="31"/>
    </row>
    <row r="158" spans="2:16">
      <c r="B158" s="30" t="s">
        <v>57</v>
      </c>
      <c r="C158" s="30"/>
      <c r="D158" s="30"/>
      <c r="E158" s="30"/>
      <c r="F158" s="53" t="s">
        <v>5</v>
      </c>
      <c r="G158" s="59">
        <f>G136-G150</f>
        <v>0</v>
      </c>
      <c r="H158" s="59">
        <f t="shared" ref="H158:M158" si="61">H136-H150</f>
        <v>0</v>
      </c>
      <c r="I158" s="59">
        <f t="shared" si="61"/>
        <v>0</v>
      </c>
      <c r="J158" s="59">
        <f t="shared" si="61"/>
        <v>0</v>
      </c>
      <c r="K158" s="59">
        <f t="shared" si="61"/>
        <v>0</v>
      </c>
      <c r="L158" s="59">
        <f t="shared" si="61"/>
        <v>0</v>
      </c>
      <c r="M158" s="59">
        <f t="shared" si="61"/>
        <v>0</v>
      </c>
      <c r="N158" s="59"/>
      <c r="O158" s="3" t="str">
        <f>IF(ISBLANK(P158),"",MAX(O$5:O157)+1)</f>
        <v/>
      </c>
    </row>
    <row r="159" spans="2:16">
      <c r="B159" s="30" t="str">
        <f>"Shares, "&amp;B156</f>
        <v>Shares, Preferred, A</v>
      </c>
      <c r="C159" s="30"/>
      <c r="D159" s="30"/>
      <c r="E159" s="30"/>
      <c r="F159" s="29" t="s">
        <v>5</v>
      </c>
      <c r="G159" s="59">
        <f t="shared" ref="G159:M159" si="62">$I70</f>
        <v>0</v>
      </c>
      <c r="H159" s="59">
        <f t="shared" si="62"/>
        <v>0</v>
      </c>
      <c r="I159" s="59">
        <f t="shared" si="62"/>
        <v>0</v>
      </c>
      <c r="J159" s="59">
        <f t="shared" si="62"/>
        <v>0</v>
      </c>
      <c r="K159" s="59">
        <f t="shared" si="62"/>
        <v>0</v>
      </c>
      <c r="L159" s="59">
        <f t="shared" si="62"/>
        <v>0</v>
      </c>
      <c r="M159" s="59">
        <f t="shared" si="62"/>
        <v>0</v>
      </c>
      <c r="N159" s="59"/>
      <c r="O159" s="3" t="str">
        <f>IF(ISBLANK(P159),"",MAX(O$5:O158)+1)</f>
        <v/>
      </c>
    </row>
    <row r="160" spans="2:16">
      <c r="B160" s="30" t="s">
        <v>60</v>
      </c>
      <c r="C160" s="30"/>
      <c r="D160" s="30"/>
      <c r="E160" s="30"/>
      <c r="F160" s="29" t="str">
        <f t="shared" ref="F160:F165" si="63">F$5</f>
        <v>$</v>
      </c>
      <c r="G160" s="32">
        <f t="shared" ref="G160:M160" si="64">$I72</f>
        <v>0</v>
      </c>
      <c r="H160" s="32">
        <f t="shared" si="64"/>
        <v>0</v>
      </c>
      <c r="I160" s="32">
        <f t="shared" si="64"/>
        <v>0</v>
      </c>
      <c r="J160" s="32">
        <f t="shared" si="64"/>
        <v>0</v>
      </c>
      <c r="K160" s="32">
        <f t="shared" si="64"/>
        <v>0</v>
      </c>
      <c r="L160" s="32">
        <f t="shared" si="64"/>
        <v>0</v>
      </c>
      <c r="M160" s="32">
        <f t="shared" si="64"/>
        <v>0</v>
      </c>
      <c r="N160" s="32"/>
      <c r="O160" s="3" t="str">
        <f>IF(ISBLANK(P160),"",MAX(O$5:O159)+1)</f>
        <v/>
      </c>
    </row>
    <row r="161" spans="2:17">
      <c r="B161" s="30" t="s">
        <v>62</v>
      </c>
      <c r="C161" s="30"/>
      <c r="D161" s="30"/>
      <c r="E161" s="30"/>
      <c r="F161" s="29" t="str">
        <f t="shared" si="63"/>
        <v>$</v>
      </c>
      <c r="G161" s="32" t="str">
        <f t="shared" ref="G161:M161" si="65">IF($I$73=$B$328,$I71*$I$74,IF($I$73=$B$329,0,"na"))</f>
        <v>na</v>
      </c>
      <c r="H161" s="32" t="str">
        <f t="shared" si="65"/>
        <v>na</v>
      </c>
      <c r="I161" s="32" t="str">
        <f t="shared" si="65"/>
        <v>na</v>
      </c>
      <c r="J161" s="32" t="str">
        <f t="shared" si="65"/>
        <v>na</v>
      </c>
      <c r="K161" s="32" t="str">
        <f t="shared" si="65"/>
        <v>na</v>
      </c>
      <c r="L161" s="32" t="str">
        <f t="shared" si="65"/>
        <v>na</v>
      </c>
      <c r="M161" s="32" t="str">
        <f t="shared" si="65"/>
        <v>na</v>
      </c>
      <c r="N161" s="32"/>
      <c r="O161" s="3" t="str">
        <f>IF(ISBLANK(P161),"",MAX(O$5:O160)+1)</f>
        <v/>
      </c>
    </row>
    <row r="162" spans="2:17">
      <c r="B162" s="33" t="str">
        <f>"Note: Implied Proceeds, do not convert to Common, if "&amp;B$327</f>
        <v>Note: Implied Proceeds, do not convert to Common, if Non Participating Preferred</v>
      </c>
      <c r="C162" s="33"/>
      <c r="D162" s="33"/>
      <c r="E162" s="33"/>
      <c r="F162" s="29" t="str">
        <f t="shared" si="63"/>
        <v>$</v>
      </c>
      <c r="G162" s="59">
        <f>MIN(G157,G160)</f>
        <v>0</v>
      </c>
      <c r="H162" s="59">
        <f t="shared" ref="H162:M162" si="66">MIN(H157,H160)</f>
        <v>0</v>
      </c>
      <c r="I162" s="59">
        <f t="shared" si="66"/>
        <v>0</v>
      </c>
      <c r="J162" s="59">
        <f t="shared" si="66"/>
        <v>0</v>
      </c>
      <c r="K162" s="59">
        <f t="shared" si="66"/>
        <v>0</v>
      </c>
      <c r="L162" s="59">
        <f t="shared" si="66"/>
        <v>0</v>
      </c>
      <c r="M162" s="59">
        <f t="shared" si="66"/>
        <v>0</v>
      </c>
      <c r="N162" s="59"/>
      <c r="O162" s="3" t="str">
        <f>IF(ISBLANK(P162),"",MAX(O$5:O161)+1)</f>
        <v/>
      </c>
    </row>
    <row r="163" spans="2:17">
      <c r="B163" s="33" t="str">
        <f>"Note: Implied Proceeds, do not convert to Common, if "&amp;B$328</f>
        <v>Note: Implied Proceeds, do not convert to Common, if Participating Preferred with a Cap</v>
      </c>
      <c r="C163" s="33"/>
      <c r="D163" s="33"/>
      <c r="E163" s="33"/>
      <c r="F163" s="29" t="str">
        <f t="shared" si="63"/>
        <v>$</v>
      </c>
      <c r="G163" s="59">
        <f t="shared" ref="G163:M163" si="67">IFERROR(IF($G$8="no",MIN(MAX(0,G$105)/G$109*G159+G160,G157,$I$71*$I$74),MIN(G$209*G159+G160,G157,$I$71*$I$74)),0)</f>
        <v>0</v>
      </c>
      <c r="H163" s="59">
        <f t="shared" si="67"/>
        <v>0</v>
      </c>
      <c r="I163" s="59">
        <f t="shared" si="67"/>
        <v>0</v>
      </c>
      <c r="J163" s="59">
        <f t="shared" si="67"/>
        <v>0</v>
      </c>
      <c r="K163" s="59">
        <f t="shared" si="67"/>
        <v>0</v>
      </c>
      <c r="L163" s="59">
        <f t="shared" si="67"/>
        <v>0</v>
      </c>
      <c r="M163" s="59">
        <f t="shared" si="67"/>
        <v>0</v>
      </c>
      <c r="N163" s="59"/>
      <c r="O163" s="3" t="str">
        <f>IF(ISBLANK(P163),"",MAX(O$5:O162)+1)</f>
        <v/>
      </c>
    </row>
    <row r="164" spans="2:17">
      <c r="B164" s="33" t="str">
        <f>"Note: Implied Proceeds, do not convert to Common, if "&amp;B$329</f>
        <v>Note: Implied Proceeds, do not convert to Common, if Full Participating Preferred</v>
      </c>
      <c r="C164" s="33"/>
      <c r="D164" s="33"/>
      <c r="E164" s="33"/>
      <c r="F164" s="29" t="str">
        <f t="shared" si="63"/>
        <v>$</v>
      </c>
      <c r="G164" s="59">
        <f>IFERROR(MIN(G$209*G159+G160,G157),0)</f>
        <v>0</v>
      </c>
      <c r="H164" s="59">
        <f t="shared" ref="H164:M164" si="68">IFERROR(MIN(H$209*H159+H160,H157),0)</f>
        <v>0</v>
      </c>
      <c r="I164" s="59">
        <f t="shared" si="68"/>
        <v>0</v>
      </c>
      <c r="J164" s="59">
        <f t="shared" si="68"/>
        <v>0</v>
      </c>
      <c r="K164" s="59">
        <f t="shared" si="68"/>
        <v>0</v>
      </c>
      <c r="L164" s="59">
        <f t="shared" si="68"/>
        <v>0</v>
      </c>
      <c r="M164" s="59">
        <f t="shared" si="68"/>
        <v>0</v>
      </c>
      <c r="N164" s="59"/>
      <c r="O164" s="3" t="str">
        <f>IF(ISBLANK(P164),"",MAX(O$5:O163)+1)</f>
        <v/>
      </c>
    </row>
    <row r="165" spans="2:17">
      <c r="B165" s="33" t="s">
        <v>64</v>
      </c>
      <c r="C165" s="33"/>
      <c r="D165" s="33"/>
      <c r="E165" s="33"/>
      <c r="F165" s="29" t="str">
        <f t="shared" si="63"/>
        <v>$</v>
      </c>
      <c r="G165" s="34">
        <f t="shared" ref="G165:M165" si="69">IFERROR(IF($G$8="no",MAX(0,G$105)/G$109*G159*$I$75,G$209*G159*$I$75),0)</f>
        <v>0</v>
      </c>
      <c r="H165" s="34">
        <f t="shared" si="69"/>
        <v>0</v>
      </c>
      <c r="I165" s="34">
        <f t="shared" si="69"/>
        <v>0</v>
      </c>
      <c r="J165" s="34">
        <f t="shared" si="69"/>
        <v>0</v>
      </c>
      <c r="K165" s="34">
        <f t="shared" si="69"/>
        <v>0</v>
      </c>
      <c r="L165" s="34">
        <f t="shared" si="69"/>
        <v>0</v>
      </c>
      <c r="M165" s="34">
        <f t="shared" si="69"/>
        <v>0</v>
      </c>
      <c r="N165" s="34"/>
      <c r="O165" s="3" t="str">
        <f>IF(ISBLANK(P165),"",MAX(O$5:O164)+1)</f>
        <v/>
      </c>
      <c r="Q165" s="72"/>
    </row>
    <row r="166" spans="2:17">
      <c r="B166" s="30" t="s">
        <v>66</v>
      </c>
      <c r="C166" s="30"/>
      <c r="D166" s="30"/>
      <c r="E166" s="30"/>
      <c r="F166" s="29" t="s">
        <v>15</v>
      </c>
      <c r="G166" s="61" t="str">
        <f t="shared" ref="G166:M166" si="70">IF($I$73=$B$327,"no",IF($I$73=$B$329,"yes",IF(G163&gt;G165,"yes","no")))</f>
        <v>no</v>
      </c>
      <c r="H166" s="61" t="str">
        <f t="shared" si="70"/>
        <v>no</v>
      </c>
      <c r="I166" s="61" t="str">
        <f t="shared" si="70"/>
        <v>no</v>
      </c>
      <c r="J166" s="61" t="str">
        <f t="shared" si="70"/>
        <v>no</v>
      </c>
      <c r="K166" s="61" t="str">
        <f t="shared" si="70"/>
        <v>no</v>
      </c>
      <c r="L166" s="61" t="str">
        <f t="shared" si="70"/>
        <v>no</v>
      </c>
      <c r="M166" s="61" t="str">
        <f t="shared" si="70"/>
        <v>no</v>
      </c>
      <c r="N166" s="61"/>
      <c r="O166" s="3" t="str">
        <f>IF(ISBLANK(P166),"",MAX(O$5:O165)+1)</f>
        <v/>
      </c>
    </row>
    <row r="167" spans="2:17">
      <c r="B167" s="30" t="s">
        <v>67</v>
      </c>
      <c r="C167" s="30"/>
      <c r="D167" s="30"/>
      <c r="E167" s="30"/>
      <c r="F167" s="29" t="s">
        <v>5</v>
      </c>
      <c r="G167" s="59">
        <f t="shared" ref="G167:M167" si="71">IFERROR(IF(G166="yes",INDEX(G168:G170,MATCH($I$73,$B$327:$B$329,0))/G$209,0),0)</f>
        <v>0</v>
      </c>
      <c r="H167" s="59">
        <f t="shared" si="71"/>
        <v>0</v>
      </c>
      <c r="I167" s="59">
        <f t="shared" si="71"/>
        <v>0</v>
      </c>
      <c r="J167" s="59">
        <f t="shared" si="71"/>
        <v>0</v>
      </c>
      <c r="K167" s="59">
        <f t="shared" si="71"/>
        <v>0</v>
      </c>
      <c r="L167" s="59">
        <f t="shared" si="71"/>
        <v>0</v>
      </c>
      <c r="M167" s="59">
        <f t="shared" si="71"/>
        <v>0</v>
      </c>
      <c r="N167" s="59"/>
      <c r="O167" s="3" t="str">
        <f>IF(ISBLANK(P167),"",MAX(O$5:O166)+1)</f>
        <v/>
      </c>
    </row>
    <row r="168" spans="2:17">
      <c r="B168" s="33" t="str">
        <f>"Note: Participation, if "&amp;B327</f>
        <v>Note: Participation, if Non Participating Preferred</v>
      </c>
      <c r="C168" s="33"/>
      <c r="D168" s="33"/>
      <c r="E168" s="33"/>
      <c r="F168" s="29" t="str">
        <f>F$5</f>
        <v>$</v>
      </c>
      <c r="G168" s="59">
        <f>MAX(0,G162-G$160)</f>
        <v>0</v>
      </c>
      <c r="H168" s="59">
        <f t="shared" ref="H168:M170" si="72">MAX(0,H162-H$160)</f>
        <v>0</v>
      </c>
      <c r="I168" s="59">
        <f t="shared" si="72"/>
        <v>0</v>
      </c>
      <c r="J168" s="59">
        <f t="shared" si="72"/>
        <v>0</v>
      </c>
      <c r="K168" s="59">
        <f t="shared" si="72"/>
        <v>0</v>
      </c>
      <c r="L168" s="59">
        <f t="shared" si="72"/>
        <v>0</v>
      </c>
      <c r="M168" s="59">
        <f t="shared" si="72"/>
        <v>0</v>
      </c>
      <c r="N168" s="59"/>
      <c r="O168" s="3" t="str">
        <f>IF(ISBLANK(P168),"",MAX(O$5:O167)+1)</f>
        <v/>
      </c>
    </row>
    <row r="169" spans="2:17">
      <c r="B169" s="33" t="str">
        <f>"Note: Participation, if "&amp;B328</f>
        <v>Note: Participation, if Participating Preferred with a Cap</v>
      </c>
      <c r="C169" s="33"/>
      <c r="D169" s="33"/>
      <c r="E169" s="33"/>
      <c r="F169" s="29" t="str">
        <f>F$5</f>
        <v>$</v>
      </c>
      <c r="G169" s="59">
        <f>MAX(0,G163-G$160)</f>
        <v>0</v>
      </c>
      <c r="H169" s="59">
        <f t="shared" si="72"/>
        <v>0</v>
      </c>
      <c r="I169" s="59">
        <f t="shared" si="72"/>
        <v>0</v>
      </c>
      <c r="J169" s="59">
        <f t="shared" si="72"/>
        <v>0</v>
      </c>
      <c r="K169" s="59">
        <f t="shared" si="72"/>
        <v>0</v>
      </c>
      <c r="L169" s="59">
        <f t="shared" si="72"/>
        <v>0</v>
      </c>
      <c r="M169" s="59">
        <f t="shared" si="72"/>
        <v>0</v>
      </c>
      <c r="N169" s="59"/>
      <c r="O169" s="3" t="str">
        <f>IF(ISBLANK(P169),"",MAX(O$5:O168)+1)</f>
        <v/>
      </c>
    </row>
    <row r="170" spans="2:17" s="55" customFormat="1">
      <c r="B170" s="33" t="str">
        <f>"Note: Participation, if "&amp;B329</f>
        <v>Note: Participation, if Full Participating Preferred</v>
      </c>
      <c r="C170" s="33"/>
      <c r="D170" s="33"/>
      <c r="E170" s="33"/>
      <c r="F170" s="29" t="str">
        <f>F$5</f>
        <v>$</v>
      </c>
      <c r="G170" s="59">
        <f>MAX(0,G164-G$160)</f>
        <v>0</v>
      </c>
      <c r="H170" s="59">
        <f t="shared" si="72"/>
        <v>0</v>
      </c>
      <c r="I170" s="59">
        <f t="shared" si="72"/>
        <v>0</v>
      </c>
      <c r="J170" s="59">
        <f t="shared" si="72"/>
        <v>0</v>
      </c>
      <c r="K170" s="59">
        <f t="shared" si="72"/>
        <v>0</v>
      </c>
      <c r="L170" s="59">
        <f t="shared" si="72"/>
        <v>0</v>
      </c>
      <c r="M170" s="59">
        <f t="shared" si="72"/>
        <v>0</v>
      </c>
      <c r="N170" s="59"/>
      <c r="O170" s="3" t="str">
        <f>IF(ISBLANK(P170),"",MAX(O$5:O169)+1)</f>
        <v/>
      </c>
    </row>
    <row r="171" spans="2:17" s="55" customFormat="1">
      <c r="B171" s="30" t="s">
        <v>70</v>
      </c>
      <c r="C171" s="30"/>
      <c r="D171" s="30"/>
      <c r="E171" s="30"/>
      <c r="F171" s="29" t="s">
        <v>15</v>
      </c>
      <c r="G171" s="61" t="str">
        <f t="shared" ref="G171:M171" si="73">IF($I$73=$B$327,IF(G162&gt;=G165,"no","yes"),IF(G166="yes","no","yes"))</f>
        <v>no</v>
      </c>
      <c r="H171" s="61" t="str">
        <f t="shared" si="73"/>
        <v>no</v>
      </c>
      <c r="I171" s="61" t="str">
        <f t="shared" si="73"/>
        <v>no</v>
      </c>
      <c r="J171" s="61" t="str">
        <f t="shared" si="73"/>
        <v>no</v>
      </c>
      <c r="K171" s="61" t="str">
        <f t="shared" si="73"/>
        <v>no</v>
      </c>
      <c r="L171" s="61" t="str">
        <f t="shared" si="73"/>
        <v>no</v>
      </c>
      <c r="M171" s="61" t="str">
        <f t="shared" si="73"/>
        <v>no</v>
      </c>
      <c r="N171" s="61"/>
      <c r="O171" s="3" t="str">
        <f>IF(ISBLANK(P171),"",MAX(O$5:O170)+1)</f>
        <v/>
      </c>
    </row>
    <row r="172" spans="2:17" s="55" customFormat="1">
      <c r="B172" s="30" t="s">
        <v>72</v>
      </c>
      <c r="C172" s="30"/>
      <c r="D172" s="30"/>
      <c r="E172" s="30"/>
      <c r="F172" s="29" t="s">
        <v>5</v>
      </c>
      <c r="G172" s="59">
        <f>IF(G171="yes",G159*$I$75,0)</f>
        <v>0</v>
      </c>
      <c r="H172" s="59">
        <f t="shared" ref="H172:M172" si="74">IF(H171="yes",H159*$I$75,0)</f>
        <v>0</v>
      </c>
      <c r="I172" s="59">
        <f t="shared" si="74"/>
        <v>0</v>
      </c>
      <c r="J172" s="59">
        <f t="shared" si="74"/>
        <v>0</v>
      </c>
      <c r="K172" s="59">
        <f t="shared" si="74"/>
        <v>0</v>
      </c>
      <c r="L172" s="59">
        <f t="shared" si="74"/>
        <v>0</v>
      </c>
      <c r="M172" s="59">
        <f t="shared" si="74"/>
        <v>0</v>
      </c>
      <c r="N172" s="59"/>
      <c r="O172" s="3" t="str">
        <f>IF(ISBLANK(P172),"",MAX(O$5:O171)+1)</f>
        <v/>
      </c>
    </row>
    <row r="173" spans="2:17" s="55" customFormat="1">
      <c r="B173" s="30" t="s">
        <v>74</v>
      </c>
      <c r="C173" s="30"/>
      <c r="D173" s="30"/>
      <c r="E173" s="30"/>
      <c r="F173" s="29" t="str">
        <f>F$5</f>
        <v>$</v>
      </c>
      <c r="G173" s="34">
        <f t="shared" ref="G173:M173" si="75">IF($G$8="yes",IFERROR(G172*G$209,0),IFERROR(G172/G$109*G$105,0))</f>
        <v>0</v>
      </c>
      <c r="H173" s="34">
        <f t="shared" si="75"/>
        <v>0</v>
      </c>
      <c r="I173" s="34">
        <f t="shared" si="75"/>
        <v>0</v>
      </c>
      <c r="J173" s="34">
        <f t="shared" si="75"/>
        <v>0</v>
      </c>
      <c r="K173" s="34">
        <f t="shared" si="75"/>
        <v>0</v>
      </c>
      <c r="L173" s="34">
        <f t="shared" si="75"/>
        <v>0</v>
      </c>
      <c r="M173" s="34">
        <f t="shared" si="75"/>
        <v>0</v>
      </c>
      <c r="N173" s="34"/>
      <c r="O173" s="3" t="str">
        <f>IF(ISBLANK(P173),"",MAX(O$5:O172)+1)</f>
        <v/>
      </c>
    </row>
    <row r="174" spans="2:17" s="55" customFormat="1">
      <c r="B174" s="30" t="s">
        <v>40</v>
      </c>
      <c r="C174" s="30"/>
      <c r="D174" s="30"/>
      <c r="E174" s="30"/>
      <c r="F174" s="29" t="str">
        <f>F$5</f>
        <v>$</v>
      </c>
      <c r="G174" s="34">
        <f t="shared" ref="G174:M174" si="76">IF(OR(G171="yes",$I$76=$B$334),0,IF($I$76=$B$332,$I$77*$I$71,ROUND(YEARFRAC($I$78,$G$6,1),0)*$I$77*$I$71))</f>
        <v>0</v>
      </c>
      <c r="H174" s="34">
        <f t="shared" si="76"/>
        <v>0</v>
      </c>
      <c r="I174" s="34">
        <f t="shared" si="76"/>
        <v>0</v>
      </c>
      <c r="J174" s="34">
        <f t="shared" si="76"/>
        <v>0</v>
      </c>
      <c r="K174" s="34">
        <f t="shared" si="76"/>
        <v>0</v>
      </c>
      <c r="L174" s="34">
        <f t="shared" si="76"/>
        <v>0</v>
      </c>
      <c r="M174" s="34">
        <f t="shared" si="76"/>
        <v>0</v>
      </c>
      <c r="N174" s="34"/>
      <c r="O174" s="3" t="str">
        <f>IF(ISBLANK(P174),"",MAX(O$5:O173)+1)</f>
        <v/>
      </c>
    </row>
    <row r="175" spans="2:17" s="55" customFormat="1">
      <c r="B175" s="30" t="str">
        <f>"Proceeds to "&amp;B156</f>
        <v>Proceeds to Preferred, A</v>
      </c>
      <c r="C175" s="30"/>
      <c r="D175" s="30"/>
      <c r="E175" s="30"/>
      <c r="F175" s="29" t="str">
        <f>F$5</f>
        <v>$</v>
      </c>
      <c r="G175" s="59">
        <f t="shared" ref="G175:M175" si="77">MIN(G157,MAX(G174+INDEX(G162:G164,MATCH($I$73,$B$327:$B$329,0)),G173))</f>
        <v>0</v>
      </c>
      <c r="H175" s="59">
        <f t="shared" si="77"/>
        <v>0</v>
      </c>
      <c r="I175" s="59">
        <f t="shared" si="77"/>
        <v>0</v>
      </c>
      <c r="J175" s="59">
        <f t="shared" si="77"/>
        <v>0</v>
      </c>
      <c r="K175" s="59">
        <f t="shared" si="77"/>
        <v>0</v>
      </c>
      <c r="L175" s="59">
        <f t="shared" si="77"/>
        <v>0</v>
      </c>
      <c r="M175" s="59">
        <f t="shared" si="77"/>
        <v>0</v>
      </c>
      <c r="N175" s="59"/>
      <c r="O175" s="3" t="str">
        <f>IF(ISBLANK(P175),"",MAX(O$5:O174)+1)</f>
        <v/>
      </c>
    </row>
    <row r="176" spans="2:17" s="55" customFormat="1">
      <c r="B176" s="30" t="s">
        <v>77</v>
      </c>
      <c r="C176" s="30"/>
      <c r="D176" s="30"/>
      <c r="E176" s="30"/>
      <c r="F176" s="29" t="str">
        <f>F$5</f>
        <v>$</v>
      </c>
      <c r="G176" s="35">
        <f>IFERROR(G175/G159,0)</f>
        <v>0</v>
      </c>
      <c r="H176" s="35">
        <f t="shared" ref="H176:M176" si="78">IFERROR(H175/H159,0)</f>
        <v>0</v>
      </c>
      <c r="I176" s="35">
        <f t="shared" si="78"/>
        <v>0</v>
      </c>
      <c r="J176" s="35">
        <f t="shared" si="78"/>
        <v>0</v>
      </c>
      <c r="K176" s="35">
        <f t="shared" si="78"/>
        <v>0</v>
      </c>
      <c r="L176" s="35">
        <f t="shared" si="78"/>
        <v>0</v>
      </c>
      <c r="M176" s="35">
        <f t="shared" si="78"/>
        <v>0</v>
      </c>
      <c r="N176" s="35"/>
      <c r="O176" s="3" t="str">
        <f>IF(ISBLANK(P176),"",MAX(O$5:O175)+1)</f>
        <v/>
      </c>
    </row>
    <row r="177" spans="1:29" s="55" customFormat="1">
      <c r="B177" s="52"/>
      <c r="C177" s="52"/>
      <c r="D177" s="52"/>
      <c r="E177" s="52"/>
      <c r="F177" s="53"/>
      <c r="G177" s="52"/>
      <c r="H177" s="52"/>
      <c r="I177" s="52"/>
      <c r="J177" s="52"/>
      <c r="K177" s="34"/>
      <c r="L177" s="52"/>
      <c r="M177" s="52"/>
      <c r="N177" s="52"/>
      <c r="O177" s="3" t="str">
        <f>IF(ISBLANK(P177),"",MAX(O$5:O176)+1)</f>
        <v/>
      </c>
    </row>
    <row r="178" spans="1:29">
      <c r="B178" s="33" t="str">
        <f>"Preferred, "&amp;J79</f>
        <v>Preferred, Seed</v>
      </c>
      <c r="C178" s="33"/>
      <c r="D178" s="33"/>
      <c r="E178" s="33"/>
      <c r="F178" s="69"/>
      <c r="G178" s="59"/>
      <c r="H178" s="59"/>
      <c r="I178" s="59"/>
      <c r="J178" s="59"/>
      <c r="K178" s="59"/>
      <c r="L178" s="59"/>
      <c r="O178" s="3" t="str">
        <f>IF(ISBLANK(P178),"",MAX(O$5:O177)+1)</f>
        <v/>
      </c>
    </row>
    <row r="179" spans="1:29">
      <c r="B179" s="30" t="s">
        <v>55</v>
      </c>
      <c r="C179" s="30"/>
      <c r="D179" s="30"/>
      <c r="E179" s="30"/>
      <c r="F179" s="29" t="str">
        <f>F$5</f>
        <v>$</v>
      </c>
      <c r="G179" s="59">
        <f t="shared" ref="G179:M179" si="79">IF(G171="no",MAX(0,G157-G160-G174),IF($I$73=$B$329,MAX(0,G157-G160-G174),IF(AND($I$73=$B$328,G173=0),MAX(0,G157-G160-G174),G157)))</f>
        <v>0</v>
      </c>
      <c r="H179" s="59">
        <f t="shared" si="79"/>
        <v>0</v>
      </c>
      <c r="I179" s="59">
        <f t="shared" si="79"/>
        <v>0</v>
      </c>
      <c r="J179" s="59">
        <f t="shared" si="79"/>
        <v>0</v>
      </c>
      <c r="K179" s="59">
        <f t="shared" si="79"/>
        <v>0</v>
      </c>
      <c r="L179" s="59">
        <f t="shared" si="79"/>
        <v>0</v>
      </c>
      <c r="M179" s="59">
        <f t="shared" si="79"/>
        <v>0</v>
      </c>
      <c r="N179" s="59"/>
      <c r="O179" s="3" t="str">
        <f>IF(ISBLANK(P179),"",MAX(O$5:O178)+1)</f>
        <v/>
      </c>
      <c r="P179" s="31"/>
    </row>
    <row r="180" spans="1:29">
      <c r="B180" s="30" t="s">
        <v>57</v>
      </c>
      <c r="C180" s="30"/>
      <c r="D180" s="30"/>
      <c r="E180" s="30"/>
      <c r="F180" s="53" t="s">
        <v>5</v>
      </c>
      <c r="G180" s="59">
        <f>G158-G172</f>
        <v>0</v>
      </c>
      <c r="H180" s="59">
        <f t="shared" ref="H180:M180" si="80">H158-H172</f>
        <v>0</v>
      </c>
      <c r="I180" s="59">
        <f t="shared" si="80"/>
        <v>0</v>
      </c>
      <c r="J180" s="59">
        <f t="shared" si="80"/>
        <v>0</v>
      </c>
      <c r="K180" s="59">
        <f t="shared" si="80"/>
        <v>0</v>
      </c>
      <c r="L180" s="59">
        <f t="shared" si="80"/>
        <v>0</v>
      </c>
      <c r="M180" s="59">
        <f t="shared" si="80"/>
        <v>0</v>
      </c>
      <c r="N180" s="59"/>
      <c r="O180" s="3" t="str">
        <f>IF(ISBLANK(P180),"",MAX(O$5:O179)+1)</f>
        <v/>
      </c>
    </row>
    <row r="181" spans="1:29">
      <c r="B181" s="30" t="str">
        <f>"Shares, "&amp;B178</f>
        <v>Shares, Preferred, Seed</v>
      </c>
      <c r="C181" s="30"/>
      <c r="D181" s="30"/>
      <c r="E181" s="30"/>
      <c r="F181" s="29" t="s">
        <v>5</v>
      </c>
      <c r="G181" s="59">
        <f t="shared" ref="G181:M181" si="81">$J70</f>
        <v>0</v>
      </c>
      <c r="H181" s="59">
        <f t="shared" si="81"/>
        <v>0</v>
      </c>
      <c r="I181" s="59">
        <f t="shared" si="81"/>
        <v>0</v>
      </c>
      <c r="J181" s="59">
        <f t="shared" si="81"/>
        <v>0</v>
      </c>
      <c r="K181" s="59">
        <f t="shared" si="81"/>
        <v>0</v>
      </c>
      <c r="L181" s="59">
        <f t="shared" si="81"/>
        <v>0</v>
      </c>
      <c r="M181" s="59">
        <f t="shared" si="81"/>
        <v>0</v>
      </c>
      <c r="N181" s="59"/>
      <c r="O181" s="3" t="str">
        <f>IF(ISBLANK(P181),"",MAX(O$5:O180)+1)</f>
        <v/>
      </c>
    </row>
    <row r="182" spans="1:29">
      <c r="B182" s="30" t="s">
        <v>60</v>
      </c>
      <c r="C182" s="30"/>
      <c r="D182" s="30"/>
      <c r="E182" s="30"/>
      <c r="F182" s="29" t="str">
        <f>F5</f>
        <v>$</v>
      </c>
      <c r="G182" s="32">
        <f t="shared" ref="G182:M182" si="82">$J72</f>
        <v>0</v>
      </c>
      <c r="H182" s="32">
        <f t="shared" si="82"/>
        <v>0</v>
      </c>
      <c r="I182" s="32">
        <f t="shared" si="82"/>
        <v>0</v>
      </c>
      <c r="J182" s="32">
        <f t="shared" si="82"/>
        <v>0</v>
      </c>
      <c r="K182" s="32">
        <f t="shared" si="82"/>
        <v>0</v>
      </c>
      <c r="L182" s="32">
        <f t="shared" si="82"/>
        <v>0</v>
      </c>
      <c r="M182" s="32">
        <f t="shared" si="82"/>
        <v>0</v>
      </c>
      <c r="N182" s="32"/>
      <c r="O182" s="3" t="str">
        <f>IF(ISBLANK(P182),"",MAX(O$5:O181)+1)</f>
        <v/>
      </c>
    </row>
    <row r="183" spans="1:29">
      <c r="B183" s="30" t="s">
        <v>62</v>
      </c>
      <c r="C183" s="30"/>
      <c r="D183" s="30"/>
      <c r="E183" s="30"/>
      <c r="F183" s="29" t="str">
        <f>F$5</f>
        <v>$</v>
      </c>
      <c r="G183" s="32" t="str">
        <f t="shared" ref="G183:M183" si="83">IF($J$73=$B$328,$J71*$J$74,IF($J$73=$B$329,0,"na"))</f>
        <v>na</v>
      </c>
      <c r="H183" s="32" t="str">
        <f t="shared" si="83"/>
        <v>na</v>
      </c>
      <c r="I183" s="32" t="str">
        <f t="shared" si="83"/>
        <v>na</v>
      </c>
      <c r="J183" s="32" t="str">
        <f t="shared" si="83"/>
        <v>na</v>
      </c>
      <c r="K183" s="32" t="str">
        <f t="shared" si="83"/>
        <v>na</v>
      </c>
      <c r="L183" s="32" t="str">
        <f t="shared" si="83"/>
        <v>na</v>
      </c>
      <c r="M183" s="32" t="str">
        <f t="shared" si="83"/>
        <v>na</v>
      </c>
      <c r="N183" s="32"/>
      <c r="O183" s="3" t="str">
        <f>IF(ISBLANK(P183),"",MAX(O$5:O182)+1)</f>
        <v/>
      </c>
    </row>
    <row r="184" spans="1:29">
      <c r="B184" s="33" t="str">
        <f>"Note: Implied Proceeds, do not convert to Common, if "&amp;B$327</f>
        <v>Note: Implied Proceeds, do not convert to Common, if Non Participating Preferred</v>
      </c>
      <c r="C184" s="33"/>
      <c r="D184" s="33"/>
      <c r="E184" s="33"/>
      <c r="F184" s="29" t="str">
        <f>F$5</f>
        <v>$</v>
      </c>
      <c r="G184" s="59">
        <f>MIN(G179,G182)</f>
        <v>0</v>
      </c>
      <c r="H184" s="59">
        <f t="shared" ref="H184:M184" si="84">MIN(H179,H182)</f>
        <v>0</v>
      </c>
      <c r="I184" s="59">
        <f t="shared" si="84"/>
        <v>0</v>
      </c>
      <c r="J184" s="59">
        <f t="shared" si="84"/>
        <v>0</v>
      </c>
      <c r="K184" s="59">
        <f t="shared" si="84"/>
        <v>0</v>
      </c>
      <c r="L184" s="59">
        <f t="shared" si="84"/>
        <v>0</v>
      </c>
      <c r="M184" s="59">
        <f t="shared" si="84"/>
        <v>0</v>
      </c>
      <c r="N184" s="59"/>
      <c r="O184" s="3" t="str">
        <f>IF(ISBLANK(P184),"",MAX(O$5:O183)+1)</f>
        <v/>
      </c>
    </row>
    <row r="185" spans="1:29">
      <c r="B185" s="33" t="str">
        <f>"Note: Implied Proceeds, do not convert to Common, if "&amp;B$328</f>
        <v>Note: Implied Proceeds, do not convert to Common, if Participating Preferred with a Cap</v>
      </c>
      <c r="C185" s="33"/>
      <c r="D185" s="33"/>
      <c r="E185" s="33"/>
      <c r="F185" s="29" t="str">
        <f>F$5</f>
        <v>$</v>
      </c>
      <c r="G185" s="59">
        <f t="shared" ref="G185:M185" si="85">IFERROR(IF($G$8="no",MIN(MAX(0,G$105)/G$109*G181+G182,G179,$J$71*$J$74),MIN(G$209*G181+G182,G179,$J$71*$J$74)),0)</f>
        <v>0</v>
      </c>
      <c r="H185" s="59">
        <f t="shared" si="85"/>
        <v>0</v>
      </c>
      <c r="I185" s="59">
        <f t="shared" si="85"/>
        <v>0</v>
      </c>
      <c r="J185" s="59">
        <f t="shared" si="85"/>
        <v>0</v>
      </c>
      <c r="K185" s="59">
        <f t="shared" si="85"/>
        <v>0</v>
      </c>
      <c r="L185" s="59">
        <f t="shared" si="85"/>
        <v>0</v>
      </c>
      <c r="M185" s="59">
        <f t="shared" si="85"/>
        <v>0</v>
      </c>
      <c r="N185" s="59"/>
      <c r="O185" s="3" t="str">
        <f>IF(ISBLANK(P185),"",MAX(O$5:O184)+1)</f>
        <v/>
      </c>
    </row>
    <row r="186" spans="1:29">
      <c r="B186" s="33" t="str">
        <f>"Note: Implied Proceeds, do not convert to Common, if "&amp;B$329</f>
        <v>Note: Implied Proceeds, do not convert to Common, if Full Participating Preferred</v>
      </c>
      <c r="C186" s="33"/>
      <c r="D186" s="33"/>
      <c r="E186" s="33"/>
      <c r="F186" s="29" t="str">
        <f>F$5</f>
        <v>$</v>
      </c>
      <c r="G186" s="59">
        <f>IFERROR(MIN(G$209*G181+G182,G179),0)</f>
        <v>0</v>
      </c>
      <c r="H186" s="59">
        <f t="shared" ref="H186:M186" si="86">IFERROR(MIN(H$209*H181+H182,H179),0)</f>
        <v>0</v>
      </c>
      <c r="I186" s="59">
        <f t="shared" si="86"/>
        <v>0</v>
      </c>
      <c r="J186" s="59">
        <f t="shared" si="86"/>
        <v>0</v>
      </c>
      <c r="K186" s="59">
        <f t="shared" si="86"/>
        <v>0</v>
      </c>
      <c r="L186" s="59">
        <f t="shared" si="86"/>
        <v>0</v>
      </c>
      <c r="M186" s="59">
        <f t="shared" si="86"/>
        <v>0</v>
      </c>
      <c r="N186" s="59"/>
      <c r="O186" s="3" t="str">
        <f>IF(ISBLANK(P186),"",MAX(O$5:O185)+1)</f>
        <v/>
      </c>
    </row>
    <row r="187" spans="1:29">
      <c r="B187" s="33" t="s">
        <v>64</v>
      </c>
      <c r="C187" s="33"/>
      <c r="D187" s="33"/>
      <c r="E187" s="33"/>
      <c r="F187" s="29" t="str">
        <f>F5</f>
        <v>$</v>
      </c>
      <c r="G187" s="34">
        <f t="shared" ref="G187:M187" si="87">IFERROR(IF($G$8="no",MAX(0,G$105)/G$109*G181*$J$75,G$209*G181*$J$75),0)</f>
        <v>0</v>
      </c>
      <c r="H187" s="34">
        <f t="shared" si="87"/>
        <v>0</v>
      </c>
      <c r="I187" s="34">
        <f t="shared" si="87"/>
        <v>0</v>
      </c>
      <c r="J187" s="34">
        <f t="shared" si="87"/>
        <v>0</v>
      </c>
      <c r="K187" s="34">
        <f t="shared" si="87"/>
        <v>0</v>
      </c>
      <c r="L187" s="34">
        <f t="shared" si="87"/>
        <v>0</v>
      </c>
      <c r="M187" s="34">
        <f t="shared" si="87"/>
        <v>0</v>
      </c>
      <c r="N187" s="34"/>
      <c r="O187" s="3" t="str">
        <f>IF(ISBLANK(P187),"",MAX(O$5:O186)+1)</f>
        <v/>
      </c>
      <c r="Q187" s="72"/>
    </row>
    <row r="188" spans="1:29">
      <c r="B188" s="30" t="s">
        <v>66</v>
      </c>
      <c r="C188" s="30"/>
      <c r="D188" s="30"/>
      <c r="E188" s="30"/>
      <c r="F188" s="29" t="s">
        <v>15</v>
      </c>
      <c r="G188" s="61" t="str">
        <f t="shared" ref="G188:M188" si="88">IF($J$73=$B$327,"no",IF($J$73=$B$329,"yes",IF(G185&gt;G187,"yes","no")))</f>
        <v>no</v>
      </c>
      <c r="H188" s="61" t="str">
        <f t="shared" si="88"/>
        <v>no</v>
      </c>
      <c r="I188" s="61" t="str">
        <f t="shared" si="88"/>
        <v>no</v>
      </c>
      <c r="J188" s="61" t="str">
        <f t="shared" si="88"/>
        <v>no</v>
      </c>
      <c r="K188" s="61" t="str">
        <f t="shared" si="88"/>
        <v>no</v>
      </c>
      <c r="L188" s="61" t="str">
        <f t="shared" si="88"/>
        <v>no</v>
      </c>
      <c r="M188" s="61" t="str">
        <f t="shared" si="88"/>
        <v>no</v>
      </c>
      <c r="N188" s="61"/>
      <c r="O188" s="3" t="str">
        <f>IF(ISBLANK(P188),"",MAX(O$5:O187)+1)</f>
        <v/>
      </c>
    </row>
    <row r="189" spans="1:29">
      <c r="B189" s="30" t="s">
        <v>67</v>
      </c>
      <c r="C189" s="30"/>
      <c r="D189" s="30"/>
      <c r="E189" s="30"/>
      <c r="F189" s="29" t="s">
        <v>5</v>
      </c>
      <c r="G189" s="59">
        <f t="shared" ref="G189:M189" si="89">IFERROR(IF(G188="yes",INDEX(G190:G192,MATCH($J$73,$B$327:$B$329,0))/G$209,0),0)</f>
        <v>0</v>
      </c>
      <c r="H189" s="59">
        <f t="shared" si="89"/>
        <v>0</v>
      </c>
      <c r="I189" s="59">
        <f t="shared" si="89"/>
        <v>0</v>
      </c>
      <c r="J189" s="59">
        <f t="shared" si="89"/>
        <v>0</v>
      </c>
      <c r="K189" s="59">
        <f t="shared" si="89"/>
        <v>0</v>
      </c>
      <c r="L189" s="59">
        <f t="shared" si="89"/>
        <v>0</v>
      </c>
      <c r="M189" s="59">
        <f t="shared" si="89"/>
        <v>0</v>
      </c>
      <c r="N189" s="59"/>
      <c r="O189" s="3" t="str">
        <f>IF(ISBLANK(P189),"",MAX(O$5:O188)+1)</f>
        <v/>
      </c>
    </row>
    <row r="190" spans="1:29">
      <c r="B190" s="33" t="str">
        <f>"Note: Participation, if "&amp;B327</f>
        <v>Note: Participation, if Non Participating Preferred</v>
      </c>
      <c r="C190" s="33"/>
      <c r="D190" s="33"/>
      <c r="E190" s="33"/>
      <c r="F190" s="29" t="str">
        <f>F$5</f>
        <v>$</v>
      </c>
      <c r="G190" s="59">
        <f>MAX(0,G184-G$182)</f>
        <v>0</v>
      </c>
      <c r="H190" s="59">
        <f t="shared" ref="H190:M192" si="90">MAX(0,H184-H$182)</f>
        <v>0</v>
      </c>
      <c r="I190" s="59">
        <f t="shared" si="90"/>
        <v>0</v>
      </c>
      <c r="J190" s="59">
        <f t="shared" si="90"/>
        <v>0</v>
      </c>
      <c r="K190" s="59">
        <f t="shared" si="90"/>
        <v>0</v>
      </c>
      <c r="L190" s="59">
        <f t="shared" si="90"/>
        <v>0</v>
      </c>
      <c r="M190" s="59">
        <f t="shared" si="90"/>
        <v>0</v>
      </c>
      <c r="N190" s="59"/>
      <c r="O190" s="3" t="str">
        <f>IF(ISBLANK(P190),"",MAX(O$5:O189)+1)</f>
        <v/>
      </c>
    </row>
    <row r="191" spans="1:29" s="55" customFormat="1">
      <c r="A191" s="52"/>
      <c r="B191" s="33" t="str">
        <f>"Note: Participation, if "&amp;B328</f>
        <v>Note: Participation, if Participating Preferred with a Cap</v>
      </c>
      <c r="C191" s="33"/>
      <c r="D191" s="33"/>
      <c r="E191" s="33"/>
      <c r="F191" s="29" t="str">
        <f>F$5</f>
        <v>$</v>
      </c>
      <c r="G191" s="59">
        <f>MAX(0,G185-G$182)</f>
        <v>0</v>
      </c>
      <c r="H191" s="59">
        <f t="shared" si="90"/>
        <v>0</v>
      </c>
      <c r="I191" s="59">
        <f t="shared" si="90"/>
        <v>0</v>
      </c>
      <c r="J191" s="59">
        <f t="shared" si="90"/>
        <v>0</v>
      </c>
      <c r="K191" s="59">
        <f t="shared" si="90"/>
        <v>0</v>
      </c>
      <c r="L191" s="59">
        <f t="shared" si="90"/>
        <v>0</v>
      </c>
      <c r="M191" s="59">
        <f t="shared" si="90"/>
        <v>0</v>
      </c>
      <c r="N191" s="59"/>
      <c r="O191" s="3" t="str">
        <f>IF(ISBLANK(P191),"",MAX(O$5:O190)+1)</f>
        <v/>
      </c>
      <c r="Q191" s="52"/>
      <c r="R191" s="52"/>
      <c r="S191" s="52"/>
      <c r="T191" s="52"/>
      <c r="U191" s="52"/>
      <c r="V191" s="52"/>
      <c r="W191" s="52"/>
      <c r="X191" s="52"/>
      <c r="Y191" s="52"/>
      <c r="Z191" s="52"/>
      <c r="AA191" s="52"/>
      <c r="AB191" s="52"/>
      <c r="AC191" s="52"/>
    </row>
    <row r="192" spans="1:29" s="55" customFormat="1">
      <c r="B192" s="33" t="str">
        <f>"Note: Participation, if "&amp;B329</f>
        <v>Note: Participation, if Full Participating Preferred</v>
      </c>
      <c r="C192" s="33"/>
      <c r="D192" s="33"/>
      <c r="E192" s="33"/>
      <c r="F192" s="29" t="str">
        <f>F$5</f>
        <v>$</v>
      </c>
      <c r="G192" s="59">
        <f>MAX(0,G186-G$182)</f>
        <v>0</v>
      </c>
      <c r="H192" s="59">
        <f t="shared" si="90"/>
        <v>0</v>
      </c>
      <c r="I192" s="59">
        <f t="shared" si="90"/>
        <v>0</v>
      </c>
      <c r="J192" s="59">
        <f t="shared" si="90"/>
        <v>0</v>
      </c>
      <c r="K192" s="59">
        <f t="shared" si="90"/>
        <v>0</v>
      </c>
      <c r="L192" s="59">
        <f t="shared" si="90"/>
        <v>0</v>
      </c>
      <c r="M192" s="59">
        <f t="shared" si="90"/>
        <v>0</v>
      </c>
      <c r="N192" s="59"/>
      <c r="O192" s="3" t="str">
        <f>IF(ISBLANK(P192),"",MAX(O$5:O191)+1)</f>
        <v/>
      </c>
    </row>
    <row r="193" spans="2:15" s="55" customFormat="1">
      <c r="B193" s="30" t="s">
        <v>70</v>
      </c>
      <c r="C193" s="30"/>
      <c r="D193" s="30"/>
      <c r="E193" s="30"/>
      <c r="F193" s="29" t="s">
        <v>15</v>
      </c>
      <c r="G193" s="61" t="str">
        <f t="shared" ref="G193:M193" si="91">IF($J$73=$B$327,IF(G184&gt;=G187,"no","yes"),IF(G188="yes","no","yes"))</f>
        <v>no</v>
      </c>
      <c r="H193" s="61" t="str">
        <f t="shared" si="91"/>
        <v>no</v>
      </c>
      <c r="I193" s="61" t="str">
        <f t="shared" si="91"/>
        <v>no</v>
      </c>
      <c r="J193" s="61" t="str">
        <f t="shared" si="91"/>
        <v>no</v>
      </c>
      <c r="K193" s="61" t="str">
        <f t="shared" si="91"/>
        <v>no</v>
      </c>
      <c r="L193" s="61" t="str">
        <f t="shared" si="91"/>
        <v>no</v>
      </c>
      <c r="M193" s="61" t="str">
        <f t="shared" si="91"/>
        <v>no</v>
      </c>
      <c r="N193" s="61"/>
      <c r="O193" s="3" t="str">
        <f>IF(ISBLANK(P193),"",MAX(O$5:O192)+1)</f>
        <v/>
      </c>
    </row>
    <row r="194" spans="2:15" s="55" customFormat="1">
      <c r="B194" s="30" t="s">
        <v>72</v>
      </c>
      <c r="C194" s="30"/>
      <c r="D194" s="30"/>
      <c r="E194" s="30"/>
      <c r="F194" s="29" t="s">
        <v>5</v>
      </c>
      <c r="G194" s="59">
        <f>IF(G193="yes",G181*$J$75,0)</f>
        <v>0</v>
      </c>
      <c r="H194" s="59">
        <f t="shared" ref="H194:M194" si="92">IF(H193="yes",H181*$J$75,0)</f>
        <v>0</v>
      </c>
      <c r="I194" s="59">
        <f t="shared" si="92"/>
        <v>0</v>
      </c>
      <c r="J194" s="59">
        <f t="shared" si="92"/>
        <v>0</v>
      </c>
      <c r="K194" s="59">
        <f t="shared" si="92"/>
        <v>0</v>
      </c>
      <c r="L194" s="59">
        <f t="shared" si="92"/>
        <v>0</v>
      </c>
      <c r="M194" s="59">
        <f t="shared" si="92"/>
        <v>0</v>
      </c>
      <c r="N194" s="59"/>
      <c r="O194" s="3" t="str">
        <f>IF(ISBLANK(P194),"",MAX(O$5:O193)+1)</f>
        <v/>
      </c>
    </row>
    <row r="195" spans="2:15" s="55" customFormat="1">
      <c r="B195" s="30" t="s">
        <v>74</v>
      </c>
      <c r="C195" s="30"/>
      <c r="D195" s="30"/>
      <c r="E195" s="30"/>
      <c r="F195" s="29" t="str">
        <f>F5</f>
        <v>$</v>
      </c>
      <c r="G195" s="34">
        <f t="shared" ref="G195:M195" si="93">IF($G$8="yes",IFERROR(G194*G$209,0),IFERROR(G194/G$109*G$105,0))</f>
        <v>0</v>
      </c>
      <c r="H195" s="34">
        <f t="shared" si="93"/>
        <v>0</v>
      </c>
      <c r="I195" s="34">
        <f t="shared" si="93"/>
        <v>0</v>
      </c>
      <c r="J195" s="34">
        <f t="shared" si="93"/>
        <v>0</v>
      </c>
      <c r="K195" s="34">
        <f t="shared" si="93"/>
        <v>0</v>
      </c>
      <c r="L195" s="34">
        <f t="shared" si="93"/>
        <v>0</v>
      </c>
      <c r="M195" s="34">
        <f t="shared" si="93"/>
        <v>0</v>
      </c>
      <c r="N195" s="34"/>
      <c r="O195" s="3" t="str">
        <f>IF(ISBLANK(P195),"",MAX(O$5:O194)+1)</f>
        <v/>
      </c>
    </row>
    <row r="196" spans="2:15" s="55" customFormat="1">
      <c r="B196" s="30" t="s">
        <v>40</v>
      </c>
      <c r="C196" s="30"/>
      <c r="D196" s="30"/>
      <c r="E196" s="30"/>
      <c r="F196" s="29" t="str">
        <f>F$5</f>
        <v>$</v>
      </c>
      <c r="G196" s="34">
        <f t="shared" ref="G196:M196" si="94">IF(OR(G193="yes",$J$76=$B$334),0,IF($J$76=$B$332,$J$77*$J$71,ROUND(YEARFRAC($J$78,$G$6,1),0)*$J$77*$J$71))</f>
        <v>0</v>
      </c>
      <c r="H196" s="34">
        <f t="shared" si="94"/>
        <v>0</v>
      </c>
      <c r="I196" s="34">
        <f t="shared" si="94"/>
        <v>0</v>
      </c>
      <c r="J196" s="34">
        <f t="shared" si="94"/>
        <v>0</v>
      </c>
      <c r="K196" s="34">
        <f t="shared" si="94"/>
        <v>0</v>
      </c>
      <c r="L196" s="34">
        <f t="shared" si="94"/>
        <v>0</v>
      </c>
      <c r="M196" s="34">
        <f t="shared" si="94"/>
        <v>0</v>
      </c>
      <c r="N196" s="34"/>
      <c r="O196" s="3" t="str">
        <f>IF(ISBLANK(P196),"",MAX(O$5:O195)+1)</f>
        <v/>
      </c>
    </row>
    <row r="197" spans="2:15" s="55" customFormat="1">
      <c r="B197" s="30" t="str">
        <f>"Proceeds to "&amp;B178</f>
        <v>Proceeds to Preferred, Seed</v>
      </c>
      <c r="C197" s="30"/>
      <c r="D197" s="30"/>
      <c r="E197" s="30"/>
      <c r="F197" s="29" t="str">
        <f>F5</f>
        <v>$</v>
      </c>
      <c r="G197" s="59">
        <f t="shared" ref="G197:M197" si="95">MIN(G179,MAX(G196+INDEX(G184:G186,MATCH($J$73,$B$327:$B$329,0)),G195))</f>
        <v>0</v>
      </c>
      <c r="H197" s="59">
        <f t="shared" si="95"/>
        <v>0</v>
      </c>
      <c r="I197" s="59">
        <f t="shared" si="95"/>
        <v>0</v>
      </c>
      <c r="J197" s="59">
        <f t="shared" si="95"/>
        <v>0</v>
      </c>
      <c r="K197" s="59">
        <f t="shared" si="95"/>
        <v>0</v>
      </c>
      <c r="L197" s="59">
        <f t="shared" si="95"/>
        <v>0</v>
      </c>
      <c r="M197" s="59">
        <f t="shared" si="95"/>
        <v>0</v>
      </c>
      <c r="N197" s="59"/>
      <c r="O197" s="3" t="str">
        <f>IF(ISBLANK(P197),"",MAX(O$5:O196)+1)</f>
        <v/>
      </c>
    </row>
    <row r="198" spans="2:15" s="55" customFormat="1">
      <c r="B198" s="30" t="s">
        <v>77</v>
      </c>
      <c r="C198" s="30"/>
      <c r="D198" s="30"/>
      <c r="E198" s="30"/>
      <c r="F198" s="29" t="str">
        <f>F5</f>
        <v>$</v>
      </c>
      <c r="G198" s="35">
        <f>IFERROR(G197/G181,0)</f>
        <v>0</v>
      </c>
      <c r="H198" s="35">
        <f t="shared" ref="H198:M198" si="96">IFERROR(H197/H181,0)</f>
        <v>0</v>
      </c>
      <c r="I198" s="35">
        <f t="shared" si="96"/>
        <v>0</v>
      </c>
      <c r="J198" s="35">
        <f t="shared" si="96"/>
        <v>0</v>
      </c>
      <c r="K198" s="35">
        <f t="shared" si="96"/>
        <v>0</v>
      </c>
      <c r="L198" s="35">
        <f t="shared" si="96"/>
        <v>0</v>
      </c>
      <c r="M198" s="35">
        <f t="shared" si="96"/>
        <v>0</v>
      </c>
      <c r="N198" s="35"/>
      <c r="O198" s="3" t="str">
        <f>IF(ISBLANK(P198),"",MAX(O$5:O197)+1)</f>
        <v/>
      </c>
    </row>
    <row r="199" spans="2:15" s="55" customFormat="1">
      <c r="B199" s="52"/>
      <c r="C199" s="52"/>
      <c r="D199" s="52"/>
      <c r="E199" s="52"/>
      <c r="F199" s="53"/>
      <c r="G199" s="52"/>
      <c r="H199" s="52"/>
      <c r="I199" s="52"/>
      <c r="J199" s="52"/>
      <c r="K199" s="34"/>
      <c r="L199" s="52"/>
      <c r="M199" s="52"/>
      <c r="N199" s="52"/>
      <c r="O199" s="3" t="str">
        <f>IF(ISBLANK(P199),"",MAX(O$5:O198)+1)</f>
        <v/>
      </c>
    </row>
    <row r="200" spans="2:15" s="55" customFormat="1">
      <c r="B200" s="33" t="str">
        <f>K79</f>
        <v>Common</v>
      </c>
      <c r="C200" s="33"/>
      <c r="D200" s="33"/>
      <c r="E200" s="33"/>
      <c r="F200" s="72"/>
      <c r="G200" s="52"/>
      <c r="H200" s="52"/>
      <c r="I200" s="52"/>
      <c r="J200" s="52"/>
      <c r="K200" s="34"/>
      <c r="L200" s="52"/>
      <c r="M200" s="52"/>
      <c r="N200" s="52"/>
      <c r="O200" s="3" t="str">
        <f>IF(ISBLANK(P200),"",MAX(O$5:O199)+1)</f>
        <v/>
      </c>
    </row>
    <row r="201" spans="2:15" s="55" customFormat="1">
      <c r="B201" s="30" t="s">
        <v>55</v>
      </c>
      <c r="C201" s="30"/>
      <c r="D201" s="30"/>
      <c r="E201" s="30"/>
      <c r="F201" s="29" t="str">
        <f>F5</f>
        <v>$</v>
      </c>
      <c r="G201" s="59">
        <f t="shared" ref="G201:M201" si="97">IF(G193="no",MAX(0,G179-G182-G196),IF($J46=$B$329,MAX(0,G179-G182-G196),IF(AND($J46=$B$328,G195=0),MAX(0,G179-G182-G196),G179)))</f>
        <v>0</v>
      </c>
      <c r="H201" s="59">
        <f t="shared" si="97"/>
        <v>0</v>
      </c>
      <c r="I201" s="59">
        <f t="shared" si="97"/>
        <v>0</v>
      </c>
      <c r="J201" s="59">
        <f t="shared" si="97"/>
        <v>0</v>
      </c>
      <c r="K201" s="59">
        <f t="shared" si="97"/>
        <v>0</v>
      </c>
      <c r="L201" s="59">
        <f t="shared" si="97"/>
        <v>0</v>
      </c>
      <c r="M201" s="59">
        <f t="shared" si="97"/>
        <v>0</v>
      </c>
      <c r="N201" s="59"/>
      <c r="O201" s="3" t="str">
        <f>IF(ISBLANK(P201),"",MAX(O$5:O200)+1)</f>
        <v/>
      </c>
    </row>
    <row r="202" spans="2:15" s="55" customFormat="1">
      <c r="B202" s="30" t="s">
        <v>57</v>
      </c>
      <c r="C202" s="30"/>
      <c r="D202" s="30"/>
      <c r="E202" s="30"/>
      <c r="F202" s="53" t="s">
        <v>5</v>
      </c>
      <c r="G202" s="59">
        <f t="shared" ref="G202:M202" si="98">G180-G194</f>
        <v>0</v>
      </c>
      <c r="H202" s="59">
        <f t="shared" si="98"/>
        <v>0</v>
      </c>
      <c r="I202" s="59">
        <f t="shared" si="98"/>
        <v>0</v>
      </c>
      <c r="J202" s="59">
        <f t="shared" si="98"/>
        <v>0</v>
      </c>
      <c r="K202" s="59">
        <f t="shared" si="98"/>
        <v>0</v>
      </c>
      <c r="L202" s="59">
        <f t="shared" si="98"/>
        <v>0</v>
      </c>
      <c r="M202" s="59">
        <f t="shared" si="98"/>
        <v>0</v>
      </c>
      <c r="N202" s="59"/>
      <c r="O202" s="3" t="str">
        <f>IF(ISBLANK(P202),"",MAX(O$5:O201)+1)</f>
        <v/>
      </c>
    </row>
    <row r="203" spans="2:15" s="55" customFormat="1">
      <c r="B203" s="30" t="s">
        <v>79</v>
      </c>
      <c r="C203" s="30"/>
      <c r="D203" s="30"/>
      <c r="E203" s="30"/>
      <c r="F203" s="29" t="s">
        <v>5</v>
      </c>
      <c r="G203" s="34">
        <f t="shared" ref="G203:M203" si="99">$K70+$L70-G108</f>
        <v>0</v>
      </c>
      <c r="H203" s="34">
        <f t="shared" si="99"/>
        <v>0</v>
      </c>
      <c r="I203" s="34">
        <f t="shared" si="99"/>
        <v>0</v>
      </c>
      <c r="J203" s="34">
        <f t="shared" si="99"/>
        <v>0</v>
      </c>
      <c r="K203" s="34">
        <f t="shared" si="99"/>
        <v>0</v>
      </c>
      <c r="L203" s="34">
        <f t="shared" si="99"/>
        <v>0</v>
      </c>
      <c r="M203" s="34">
        <f t="shared" si="99"/>
        <v>0</v>
      </c>
      <c r="N203" s="34"/>
      <c r="O203" s="3" t="str">
        <f>IF(ISBLANK(P203),"",MAX(O$5:O202)+1)</f>
        <v/>
      </c>
    </row>
    <row r="204" spans="2:15" s="55" customFormat="1">
      <c r="B204" s="30" t="s">
        <v>80</v>
      </c>
      <c r="C204" s="30"/>
      <c r="D204" s="30"/>
      <c r="E204" s="30"/>
      <c r="F204" s="29" t="s">
        <v>5</v>
      </c>
      <c r="G204" s="34">
        <f>G189+G123+G167+G145</f>
        <v>0</v>
      </c>
      <c r="H204" s="34">
        <f t="shared" ref="H204:M204" si="100">H189+H123+H167+H145</f>
        <v>0</v>
      </c>
      <c r="I204" s="34">
        <f t="shared" si="100"/>
        <v>0</v>
      </c>
      <c r="J204" s="34">
        <f t="shared" si="100"/>
        <v>0</v>
      </c>
      <c r="K204" s="34">
        <f t="shared" si="100"/>
        <v>0</v>
      </c>
      <c r="L204" s="34">
        <f t="shared" si="100"/>
        <v>0</v>
      </c>
      <c r="M204" s="34">
        <f t="shared" si="100"/>
        <v>0</v>
      </c>
      <c r="N204" s="34"/>
      <c r="O204" s="3" t="str">
        <f>IF(ISBLANK(P204),"",MAX(O$5:O203)+1)</f>
        <v/>
      </c>
    </row>
    <row r="205" spans="2:15" s="55" customFormat="1">
      <c r="B205" s="30" t="s">
        <v>81</v>
      </c>
      <c r="C205" s="30"/>
      <c r="D205" s="30"/>
      <c r="E205" s="30"/>
      <c r="F205" s="29" t="s">
        <v>5</v>
      </c>
      <c r="G205" s="34">
        <f>G128+G194+G172+G150</f>
        <v>0</v>
      </c>
      <c r="H205" s="34">
        <f t="shared" ref="H205:M205" si="101">H128+H194+H172+H150</f>
        <v>0</v>
      </c>
      <c r="I205" s="34">
        <f t="shared" si="101"/>
        <v>0</v>
      </c>
      <c r="J205" s="34">
        <f t="shared" si="101"/>
        <v>0</v>
      </c>
      <c r="K205" s="34">
        <f t="shared" si="101"/>
        <v>0</v>
      </c>
      <c r="L205" s="34">
        <f t="shared" si="101"/>
        <v>0</v>
      </c>
      <c r="M205" s="34">
        <f t="shared" si="101"/>
        <v>0</v>
      </c>
      <c r="N205" s="34"/>
      <c r="O205" s="3" t="str">
        <f>IF(ISBLANK(P205),"",MAX(O$5:O204)+1)</f>
        <v/>
      </c>
    </row>
    <row r="206" spans="2:15" s="55" customFormat="1">
      <c r="B206" s="30" t="s">
        <v>82</v>
      </c>
      <c r="C206" s="30"/>
      <c r="D206" s="30"/>
      <c r="E206" s="30"/>
      <c r="F206" s="29" t="s">
        <v>5</v>
      </c>
      <c r="G206" s="59">
        <f t="shared" ref="G206:M206" si="102">G205+G203+G204</f>
        <v>0</v>
      </c>
      <c r="H206" s="59">
        <f t="shared" si="102"/>
        <v>0</v>
      </c>
      <c r="I206" s="59">
        <f t="shared" si="102"/>
        <v>0</v>
      </c>
      <c r="J206" s="59">
        <f t="shared" si="102"/>
        <v>0</v>
      </c>
      <c r="K206" s="59">
        <f t="shared" si="102"/>
        <v>0</v>
      </c>
      <c r="L206" s="59">
        <f t="shared" si="102"/>
        <v>0</v>
      </c>
      <c r="M206" s="59">
        <f t="shared" si="102"/>
        <v>0</v>
      </c>
      <c r="N206" s="59"/>
      <c r="O206" s="3" t="str">
        <f>IF(ISBLANK(P206),"",MAX(O$5:O205)+1)</f>
        <v/>
      </c>
    </row>
    <row r="207" spans="2:15" s="55" customFormat="1">
      <c r="B207" s="30" t="s">
        <v>83</v>
      </c>
      <c r="C207" s="30"/>
      <c r="D207" s="30"/>
      <c r="E207" s="30"/>
      <c r="F207" s="29" t="str">
        <f>F$5</f>
        <v>$</v>
      </c>
      <c r="G207" s="59">
        <f t="shared" ref="G207:M207" si="103">G201</f>
        <v>0</v>
      </c>
      <c r="H207" s="59">
        <f t="shared" si="103"/>
        <v>0</v>
      </c>
      <c r="I207" s="59">
        <f t="shared" si="103"/>
        <v>0</v>
      </c>
      <c r="J207" s="59">
        <f t="shared" si="103"/>
        <v>0</v>
      </c>
      <c r="K207" s="59">
        <f t="shared" si="103"/>
        <v>0</v>
      </c>
      <c r="L207" s="59">
        <f t="shared" si="103"/>
        <v>0</v>
      </c>
      <c r="M207" s="59">
        <f t="shared" si="103"/>
        <v>0</v>
      </c>
      <c r="N207" s="59"/>
      <c r="O207" s="3" t="str">
        <f>IF(ISBLANK(P207),"",MAX(O$5:O206)+1)</f>
        <v/>
      </c>
    </row>
    <row r="208" spans="2:15" s="55" customFormat="1">
      <c r="B208" s="30" t="str">
        <f>"Proceeds to "&amp;B200</f>
        <v>Proceeds to Common</v>
      </c>
      <c r="C208" s="30"/>
      <c r="D208" s="30"/>
      <c r="E208" s="30"/>
      <c r="F208" s="29" t="str">
        <f>F$5</f>
        <v>$</v>
      </c>
      <c r="G208" s="59">
        <f t="shared" ref="G208:M208" si="104">G209*G203</f>
        <v>0</v>
      </c>
      <c r="H208" s="59">
        <f t="shared" si="104"/>
        <v>0</v>
      </c>
      <c r="I208" s="59">
        <f t="shared" si="104"/>
        <v>0</v>
      </c>
      <c r="J208" s="59">
        <f t="shared" si="104"/>
        <v>0</v>
      </c>
      <c r="K208" s="59">
        <f t="shared" si="104"/>
        <v>0</v>
      </c>
      <c r="L208" s="59">
        <f t="shared" si="104"/>
        <v>0</v>
      </c>
      <c r="M208" s="59">
        <f t="shared" si="104"/>
        <v>0</v>
      </c>
      <c r="N208" s="59"/>
      <c r="O208" s="3" t="str">
        <f>IF(ISBLANK(P208),"",MAX(O$5:O207)+1)</f>
        <v/>
      </c>
    </row>
    <row r="209" spans="2:16">
      <c r="B209" s="30" t="s">
        <v>77</v>
      </c>
      <c r="C209" s="30"/>
      <c r="D209" s="30"/>
      <c r="E209" s="30"/>
      <c r="F209" s="29" t="str">
        <f>F$5</f>
        <v>$</v>
      </c>
      <c r="G209" s="35">
        <f>IFERROR(G207/G206,0)</f>
        <v>0</v>
      </c>
      <c r="H209" s="35">
        <f t="shared" ref="H209:M209" si="105">IFERROR(H207/H206,0)</f>
        <v>0</v>
      </c>
      <c r="I209" s="35">
        <f t="shared" si="105"/>
        <v>0</v>
      </c>
      <c r="J209" s="35">
        <f t="shared" si="105"/>
        <v>0</v>
      </c>
      <c r="K209" s="35">
        <f t="shared" si="105"/>
        <v>0</v>
      </c>
      <c r="L209" s="35">
        <f t="shared" si="105"/>
        <v>0</v>
      </c>
      <c r="M209" s="35">
        <f t="shared" si="105"/>
        <v>0</v>
      </c>
      <c r="N209" s="35"/>
      <c r="O209" s="3" t="str">
        <f>IF(ISBLANK(P209),"",MAX(O$5:O208)+1)</f>
        <v/>
      </c>
      <c r="P209" s="31"/>
    </row>
    <row r="210" spans="2:16">
      <c r="O210" s="3" t="str">
        <f>IF(ISBLANK(P210),"",MAX(O$5:O209)+1)</f>
        <v/>
      </c>
      <c r="P210" s="31"/>
    </row>
    <row r="211" spans="2:16">
      <c r="B211" s="30" t="s">
        <v>84</v>
      </c>
      <c r="C211" s="30"/>
      <c r="D211" s="30"/>
      <c r="E211" s="30"/>
      <c r="F211" s="29" t="str">
        <f>F5</f>
        <v>$</v>
      </c>
      <c r="G211" s="73">
        <f>G208+G197+G131+G175+G153</f>
        <v>0</v>
      </c>
      <c r="H211" s="73">
        <f t="shared" ref="H211:M211" si="106">H208+H197+H131+H175+H153</f>
        <v>0</v>
      </c>
      <c r="I211" s="73">
        <f t="shared" si="106"/>
        <v>0</v>
      </c>
      <c r="J211" s="73">
        <f t="shared" si="106"/>
        <v>0</v>
      </c>
      <c r="K211" s="73">
        <f t="shared" si="106"/>
        <v>0</v>
      </c>
      <c r="L211" s="73">
        <f t="shared" si="106"/>
        <v>0</v>
      </c>
      <c r="M211" s="73">
        <f t="shared" si="106"/>
        <v>0</v>
      </c>
      <c r="N211" s="59"/>
      <c r="O211" s="3">
        <f>IF(ISBLANK(P211),"",MAX(O$5:O210)+1)</f>
        <v>69</v>
      </c>
      <c r="P211" s="31" t="s">
        <v>85</v>
      </c>
    </row>
    <row r="212" spans="2:16" s="65" customFormat="1">
      <c r="B212" s="33" t="s">
        <v>86</v>
      </c>
      <c r="C212" s="33"/>
      <c r="D212" s="33"/>
      <c r="E212" s="33"/>
      <c r="F212" s="36" t="str">
        <f>F$5</f>
        <v>$</v>
      </c>
      <c r="G212" s="74">
        <f t="shared" ref="G212:M212" si="107">ROUND(G105-G211,1)</f>
        <v>0</v>
      </c>
      <c r="H212" s="74">
        <f t="shared" si="107"/>
        <v>0</v>
      </c>
      <c r="I212" s="74">
        <f t="shared" si="107"/>
        <v>0</v>
      </c>
      <c r="J212" s="74">
        <f t="shared" si="107"/>
        <v>0</v>
      </c>
      <c r="K212" s="74">
        <f t="shared" si="107"/>
        <v>0</v>
      </c>
      <c r="L212" s="74">
        <f t="shared" si="107"/>
        <v>0</v>
      </c>
      <c r="M212" s="74">
        <f t="shared" si="107"/>
        <v>0</v>
      </c>
      <c r="N212" s="74"/>
      <c r="O212" s="3">
        <f>IF(ISBLANK(P212),"",MAX(O$5:O211)+1)</f>
        <v>70</v>
      </c>
      <c r="P212" s="37" t="s">
        <v>87</v>
      </c>
    </row>
    <row r="213" spans="2:16">
      <c r="G213" s="59"/>
      <c r="H213" s="59"/>
      <c r="I213" s="71"/>
      <c r="J213" s="71"/>
      <c r="O213" s="3" t="str">
        <f>IF(ISBLANK(P213),"",MAX(O$5:O212)+1)</f>
        <v/>
      </c>
      <c r="P213" s="31"/>
    </row>
    <row r="214" spans="2:16">
      <c r="B214" s="33" t="s">
        <v>88</v>
      </c>
      <c r="C214" s="33"/>
      <c r="D214" s="33"/>
      <c r="E214" s="33"/>
      <c r="I214" s="59"/>
      <c r="O214" s="3" t="str">
        <f>IF(ISBLANK(P214),"",MAX(O$5:O213)+1)</f>
        <v/>
      </c>
      <c r="P214" s="31"/>
    </row>
    <row r="215" spans="2:16">
      <c r="B215" s="30" t="str">
        <f>B112</f>
        <v>Preferred, C</v>
      </c>
      <c r="C215" s="30"/>
      <c r="D215" s="30"/>
      <c r="E215" s="30"/>
      <c r="F215" s="29" t="str">
        <f t="shared" ref="F215:F220" si="108">F$5</f>
        <v>$</v>
      </c>
      <c r="G215" s="59">
        <f t="shared" ref="G215:M218" si="109">G$131*$G82+G$153*$H82+G$175*$I82+G$197*$J82+G$208*$K82</f>
        <v>0</v>
      </c>
      <c r="H215" s="59">
        <f t="shared" si="109"/>
        <v>0</v>
      </c>
      <c r="I215" s="59">
        <f t="shared" si="109"/>
        <v>0</v>
      </c>
      <c r="J215" s="59">
        <f t="shared" si="109"/>
        <v>0</v>
      </c>
      <c r="K215" s="59">
        <f t="shared" si="109"/>
        <v>0</v>
      </c>
      <c r="L215" s="59">
        <f t="shared" si="109"/>
        <v>0</v>
      </c>
      <c r="M215" s="59">
        <f t="shared" si="109"/>
        <v>0</v>
      </c>
      <c r="N215" s="59"/>
      <c r="O215" s="3" t="str">
        <f>IF(ISBLANK(P215),"",MAX(O$5:O214)+1)</f>
        <v/>
      </c>
      <c r="P215" s="31"/>
    </row>
    <row r="216" spans="2:16">
      <c r="B216" s="30" t="str">
        <f>B134</f>
        <v>Preferred, B</v>
      </c>
      <c r="C216" s="30"/>
      <c r="D216" s="30"/>
      <c r="E216" s="30"/>
      <c r="F216" s="29" t="str">
        <f t="shared" si="108"/>
        <v>$</v>
      </c>
      <c r="G216" s="59">
        <f t="shared" si="109"/>
        <v>0</v>
      </c>
      <c r="H216" s="59">
        <f t="shared" si="109"/>
        <v>0</v>
      </c>
      <c r="I216" s="59">
        <f t="shared" si="109"/>
        <v>0</v>
      </c>
      <c r="J216" s="59">
        <f t="shared" si="109"/>
        <v>0</v>
      </c>
      <c r="K216" s="59">
        <f t="shared" si="109"/>
        <v>0</v>
      </c>
      <c r="L216" s="59">
        <f t="shared" si="109"/>
        <v>0</v>
      </c>
      <c r="M216" s="59">
        <f t="shared" si="109"/>
        <v>0</v>
      </c>
      <c r="N216" s="59"/>
      <c r="O216" s="3" t="str">
        <f>IF(ISBLANK(P216),"",MAX(O$5:O215)+1)</f>
        <v/>
      </c>
      <c r="P216" s="31"/>
    </row>
    <row r="217" spans="2:16">
      <c r="B217" s="30" t="str">
        <f>B156</f>
        <v>Preferred, A</v>
      </c>
      <c r="C217" s="30"/>
      <c r="D217" s="30"/>
      <c r="E217" s="30"/>
      <c r="F217" s="29" t="str">
        <f t="shared" si="108"/>
        <v>$</v>
      </c>
      <c r="G217" s="59">
        <f t="shared" si="109"/>
        <v>0</v>
      </c>
      <c r="H217" s="59">
        <f t="shared" si="109"/>
        <v>0</v>
      </c>
      <c r="I217" s="59">
        <f t="shared" si="109"/>
        <v>0</v>
      </c>
      <c r="J217" s="59">
        <f t="shared" si="109"/>
        <v>0</v>
      </c>
      <c r="K217" s="59">
        <f t="shared" si="109"/>
        <v>0</v>
      </c>
      <c r="L217" s="59">
        <f t="shared" si="109"/>
        <v>0</v>
      </c>
      <c r="M217" s="59">
        <f t="shared" si="109"/>
        <v>0</v>
      </c>
      <c r="N217" s="59"/>
      <c r="O217" s="3" t="str">
        <f>IF(ISBLANK(P217),"",MAX(O$5:O216)+1)</f>
        <v/>
      </c>
      <c r="P217" s="31"/>
    </row>
    <row r="218" spans="2:16">
      <c r="B218" s="30" t="str">
        <f>B178</f>
        <v>Preferred, Seed</v>
      </c>
      <c r="C218" s="30"/>
      <c r="D218" s="30"/>
      <c r="E218" s="30"/>
      <c r="F218" s="29" t="str">
        <f t="shared" si="108"/>
        <v>$</v>
      </c>
      <c r="G218" s="59">
        <f t="shared" si="109"/>
        <v>0</v>
      </c>
      <c r="H218" s="59">
        <f t="shared" si="109"/>
        <v>0</v>
      </c>
      <c r="I218" s="59">
        <f t="shared" si="109"/>
        <v>0</v>
      </c>
      <c r="J218" s="59">
        <f t="shared" si="109"/>
        <v>0</v>
      </c>
      <c r="K218" s="59">
        <f t="shared" si="109"/>
        <v>0</v>
      </c>
      <c r="L218" s="59">
        <f t="shared" si="109"/>
        <v>0</v>
      </c>
      <c r="M218" s="59">
        <f t="shared" si="109"/>
        <v>0</v>
      </c>
      <c r="N218" s="59"/>
      <c r="O218" s="3" t="str">
        <f>IF(ISBLANK(P218),"",MAX(O$5:O217)+1)</f>
        <v/>
      </c>
      <c r="P218" s="31"/>
    </row>
    <row r="219" spans="2:16">
      <c r="B219" s="30" t="str">
        <f>B200&amp;" (including Options)"</f>
        <v>Common (including Options)</v>
      </c>
      <c r="C219" s="30"/>
      <c r="D219" s="30"/>
      <c r="E219" s="30"/>
      <c r="F219" s="29" t="str">
        <f t="shared" si="108"/>
        <v>$</v>
      </c>
      <c r="G219" s="59">
        <f t="shared" ref="G219:M219" si="110">G$131*$G86+G$153*$H86+G$175*$I86+G$197*$J86+G$208*($K86+$K87)</f>
        <v>0</v>
      </c>
      <c r="H219" s="59">
        <f t="shared" si="110"/>
        <v>0</v>
      </c>
      <c r="I219" s="59">
        <f t="shared" si="110"/>
        <v>0</v>
      </c>
      <c r="J219" s="59">
        <f t="shared" si="110"/>
        <v>0</v>
      </c>
      <c r="K219" s="59">
        <f t="shared" si="110"/>
        <v>0</v>
      </c>
      <c r="L219" s="59">
        <f t="shared" si="110"/>
        <v>0</v>
      </c>
      <c r="M219" s="59">
        <f t="shared" si="110"/>
        <v>0</v>
      </c>
      <c r="N219" s="59"/>
      <c r="O219" s="3" t="str">
        <f>IF(ISBLANK(P219),"",MAX(O$5:O218)+1)</f>
        <v/>
      </c>
      <c r="P219" s="31"/>
    </row>
    <row r="220" spans="2:16">
      <c r="B220" s="30" t="s">
        <v>28</v>
      </c>
      <c r="C220" s="30"/>
      <c r="D220" s="30"/>
      <c r="E220" s="30"/>
      <c r="F220" s="29" t="str">
        <f t="shared" si="108"/>
        <v>$</v>
      </c>
      <c r="G220" s="73">
        <f t="shared" ref="G220:M220" si="111">SUM(G215:G219)</f>
        <v>0</v>
      </c>
      <c r="H220" s="73">
        <f t="shared" si="111"/>
        <v>0</v>
      </c>
      <c r="I220" s="73">
        <f t="shared" si="111"/>
        <v>0</v>
      </c>
      <c r="J220" s="73">
        <f t="shared" si="111"/>
        <v>0</v>
      </c>
      <c r="K220" s="73">
        <f t="shared" si="111"/>
        <v>0</v>
      </c>
      <c r="L220" s="73">
        <f t="shared" si="111"/>
        <v>0</v>
      </c>
      <c r="M220" s="73">
        <f t="shared" si="111"/>
        <v>0</v>
      </c>
      <c r="N220" s="59"/>
      <c r="O220" s="3">
        <f>IF(ISBLANK(P220),"",MAX(O$5:O219)+1)</f>
        <v>71</v>
      </c>
      <c r="P220" s="31" t="s">
        <v>85</v>
      </c>
    </row>
    <row r="221" spans="2:16">
      <c r="B221" s="33" t="s">
        <v>140</v>
      </c>
      <c r="C221" s="33"/>
      <c r="D221" s="33"/>
      <c r="E221" s="33"/>
      <c r="F221" s="36" t="str">
        <f>F$5</f>
        <v>$</v>
      </c>
      <c r="G221" s="74">
        <f>G220-G211</f>
        <v>0</v>
      </c>
      <c r="H221" s="74">
        <f t="shared" ref="H221:M221" si="112">H220-H211</f>
        <v>0</v>
      </c>
      <c r="I221" s="74">
        <f t="shared" si="112"/>
        <v>0</v>
      </c>
      <c r="J221" s="74">
        <f t="shared" si="112"/>
        <v>0</v>
      </c>
      <c r="K221" s="74">
        <f t="shared" si="112"/>
        <v>0</v>
      </c>
      <c r="L221" s="74">
        <f t="shared" si="112"/>
        <v>0</v>
      </c>
      <c r="M221" s="74">
        <f t="shared" si="112"/>
        <v>0</v>
      </c>
      <c r="N221" s="74"/>
      <c r="O221" s="3">
        <f>IF(ISBLANK(P221),"",MAX(O$5:O220)+1)</f>
        <v>72</v>
      </c>
      <c r="P221" s="31" t="s">
        <v>141</v>
      </c>
    </row>
    <row r="222" spans="2:16">
      <c r="O222" s="3" t="str">
        <f>IF(ISBLANK(P222),"",MAX(O$5:O221)+1)</f>
        <v/>
      </c>
      <c r="P222" s="31"/>
    </row>
    <row r="223" spans="2:16">
      <c r="B223" s="12" t="s">
        <v>142</v>
      </c>
      <c r="C223" s="33"/>
      <c r="D223" s="33"/>
      <c r="E223" s="33"/>
      <c r="O223" s="3" t="str">
        <f>IF(ISBLANK(P223),"",MAX(O$5:O222)+1)</f>
        <v/>
      </c>
      <c r="P223" s="31"/>
    </row>
    <row r="224" spans="2:16">
      <c r="B224" s="71" t="str">
        <f>B215</f>
        <v>Preferred, C</v>
      </c>
      <c r="C224" s="71"/>
      <c r="D224" s="71"/>
      <c r="E224" s="71"/>
      <c r="F224" s="29" t="str">
        <f t="shared" ref="F224:F228" si="113">F$5</f>
        <v>$</v>
      </c>
      <c r="G224" s="75">
        <f t="shared" ref="G224:M224" si="114">IFERROR(G215/$G24,0)</f>
        <v>0</v>
      </c>
      <c r="H224" s="75">
        <f t="shared" si="114"/>
        <v>0</v>
      </c>
      <c r="I224" s="75">
        <f t="shared" si="114"/>
        <v>0</v>
      </c>
      <c r="J224" s="75">
        <f t="shared" si="114"/>
        <v>0</v>
      </c>
      <c r="K224" s="75">
        <f t="shared" si="114"/>
        <v>0</v>
      </c>
      <c r="L224" s="75">
        <f t="shared" si="114"/>
        <v>0</v>
      </c>
      <c r="M224" s="75">
        <f t="shared" si="114"/>
        <v>0</v>
      </c>
      <c r="N224" s="75"/>
      <c r="O224" s="3" t="str">
        <f>IF(ISBLANK(P224),"",MAX(O$5:O223)+1)</f>
        <v/>
      </c>
      <c r="P224" s="31"/>
    </row>
    <row r="225" spans="2:16">
      <c r="B225" s="71" t="str">
        <f>B216</f>
        <v>Preferred, B</v>
      </c>
      <c r="C225" s="71"/>
      <c r="D225" s="71"/>
      <c r="E225" s="71"/>
      <c r="F225" s="29" t="str">
        <f t="shared" si="113"/>
        <v>$</v>
      </c>
      <c r="G225" s="75">
        <f t="shared" ref="G225:M225" si="115">IFERROR(G216/$H24,0)</f>
        <v>0</v>
      </c>
      <c r="H225" s="75">
        <f t="shared" si="115"/>
        <v>0</v>
      </c>
      <c r="I225" s="75">
        <f t="shared" si="115"/>
        <v>0</v>
      </c>
      <c r="J225" s="75">
        <f t="shared" si="115"/>
        <v>0</v>
      </c>
      <c r="K225" s="75">
        <f t="shared" si="115"/>
        <v>0</v>
      </c>
      <c r="L225" s="75">
        <f t="shared" si="115"/>
        <v>0</v>
      </c>
      <c r="M225" s="75">
        <f t="shared" si="115"/>
        <v>0</v>
      </c>
      <c r="N225" s="75"/>
      <c r="O225" s="3" t="str">
        <f>IF(ISBLANK(P225),"",MAX(O$5:O224)+1)</f>
        <v/>
      </c>
      <c r="P225" s="31"/>
    </row>
    <row r="226" spans="2:16">
      <c r="B226" s="71" t="str">
        <f>B217</f>
        <v>Preferred, A</v>
      </c>
      <c r="C226" s="71"/>
      <c r="D226" s="71"/>
      <c r="E226" s="71"/>
      <c r="F226" s="29" t="str">
        <f t="shared" si="113"/>
        <v>$</v>
      </c>
      <c r="G226" s="75">
        <f t="shared" ref="G226:M226" si="116">IFERROR(G217/$I24,0)</f>
        <v>0</v>
      </c>
      <c r="H226" s="75">
        <f t="shared" si="116"/>
        <v>0</v>
      </c>
      <c r="I226" s="75">
        <f t="shared" si="116"/>
        <v>0</v>
      </c>
      <c r="J226" s="75">
        <f t="shared" si="116"/>
        <v>0</v>
      </c>
      <c r="K226" s="75">
        <f t="shared" si="116"/>
        <v>0</v>
      </c>
      <c r="L226" s="75">
        <f t="shared" si="116"/>
        <v>0</v>
      </c>
      <c r="M226" s="75">
        <f t="shared" si="116"/>
        <v>0</v>
      </c>
      <c r="N226" s="75"/>
      <c r="O226" s="3" t="str">
        <f>IF(ISBLANK(P226),"",MAX(O$5:O225)+1)</f>
        <v/>
      </c>
      <c r="P226" s="31"/>
    </row>
    <row r="227" spans="2:16">
      <c r="B227" s="71" t="str">
        <f>B218</f>
        <v>Preferred, Seed</v>
      </c>
      <c r="C227" s="71"/>
      <c r="D227" s="71"/>
      <c r="E227" s="71"/>
      <c r="F227" s="29" t="str">
        <f t="shared" si="113"/>
        <v>$</v>
      </c>
      <c r="G227" s="75">
        <f t="shared" ref="G227:M227" si="117">IFERROR(G218/$J24,0)</f>
        <v>0</v>
      </c>
      <c r="H227" s="75">
        <f t="shared" si="117"/>
        <v>0</v>
      </c>
      <c r="I227" s="75">
        <f t="shared" si="117"/>
        <v>0</v>
      </c>
      <c r="J227" s="75">
        <f t="shared" si="117"/>
        <v>0</v>
      </c>
      <c r="K227" s="75">
        <f t="shared" si="117"/>
        <v>0</v>
      </c>
      <c r="L227" s="75">
        <f t="shared" si="117"/>
        <v>0</v>
      </c>
      <c r="M227" s="75">
        <f t="shared" si="117"/>
        <v>0</v>
      </c>
      <c r="N227" s="75"/>
      <c r="O227" s="3" t="str">
        <f>IF(ISBLANK(P227),"",MAX(O$5:O226)+1)</f>
        <v/>
      </c>
      <c r="P227" s="31"/>
    </row>
    <row r="228" spans="2:16">
      <c r="B228" s="71" t="str">
        <f>B219</f>
        <v>Common (including Options)</v>
      </c>
      <c r="C228" s="71"/>
      <c r="D228" s="71"/>
      <c r="E228" s="71"/>
      <c r="F228" s="29" t="str">
        <f t="shared" si="113"/>
        <v>$</v>
      </c>
      <c r="G228" s="75">
        <f t="shared" ref="G228:M228" si="118">IFERROR(G219/($K24+$L24),0)</f>
        <v>0</v>
      </c>
      <c r="H228" s="75">
        <f t="shared" si="118"/>
        <v>0</v>
      </c>
      <c r="I228" s="75">
        <f t="shared" si="118"/>
        <v>0</v>
      </c>
      <c r="J228" s="75">
        <f t="shared" si="118"/>
        <v>0</v>
      </c>
      <c r="K228" s="75">
        <f t="shared" si="118"/>
        <v>0</v>
      </c>
      <c r="L228" s="75">
        <f t="shared" si="118"/>
        <v>0</v>
      </c>
      <c r="M228" s="75">
        <f t="shared" si="118"/>
        <v>0</v>
      </c>
      <c r="N228" s="75"/>
      <c r="O228" s="3" t="str">
        <f>IF(ISBLANK(P228),"",MAX(O$5:O227)+1)</f>
        <v/>
      </c>
      <c r="P228" s="31"/>
    </row>
    <row r="229" spans="2:16">
      <c r="O229" s="3" t="str">
        <f>IF(ISBLANK(P229),"",MAX(O$5:O228)+1)</f>
        <v/>
      </c>
      <c r="P229" s="31"/>
    </row>
    <row r="230" spans="2:16">
      <c r="B230" s="33" t="s">
        <v>89</v>
      </c>
      <c r="C230" s="33"/>
      <c r="D230" s="33"/>
      <c r="E230" s="33"/>
      <c r="G230" s="27"/>
      <c r="H230" s="27"/>
      <c r="I230" s="27"/>
      <c r="J230" s="27"/>
      <c r="K230" s="27"/>
      <c r="L230" s="27"/>
      <c r="M230" s="27"/>
      <c r="N230" s="27"/>
      <c r="O230" s="3" t="str">
        <f>IF(ISBLANK(P230),"",MAX(O$5:O229)+1)</f>
        <v/>
      </c>
      <c r="P230" s="31"/>
    </row>
    <row r="231" spans="2:16">
      <c r="B231" s="30" t="str">
        <f>B112</f>
        <v>Preferred, C</v>
      </c>
      <c r="C231" s="30"/>
      <c r="D231" s="30"/>
      <c r="E231" s="30"/>
      <c r="F231" s="29" t="str">
        <f t="shared" ref="F231:F236" si="119">F$5</f>
        <v>$</v>
      </c>
      <c r="G231" s="59">
        <f t="shared" ref="G231:M231" si="120">IF($G$46=$B$329,MIN(G113,$G72),IF($G$46=$B$328,IF(G123=0,0,MIN(G113,$G72)),IF(G121&gt;G116,0,MIN(G113,$G72))))</f>
        <v>0</v>
      </c>
      <c r="H231" s="59">
        <f t="shared" si="120"/>
        <v>0</v>
      </c>
      <c r="I231" s="59">
        <f t="shared" si="120"/>
        <v>0</v>
      </c>
      <c r="J231" s="59">
        <f t="shared" si="120"/>
        <v>0</v>
      </c>
      <c r="K231" s="59">
        <f t="shared" si="120"/>
        <v>0</v>
      </c>
      <c r="L231" s="59">
        <f t="shared" si="120"/>
        <v>0</v>
      </c>
      <c r="M231" s="59">
        <f t="shared" si="120"/>
        <v>0</v>
      </c>
      <c r="N231" s="59"/>
      <c r="O231" s="3">
        <f>IF(ISBLANK(P231),"",MAX(O$5:O230)+1)</f>
        <v>73</v>
      </c>
      <c r="P231" s="31" t="s">
        <v>90</v>
      </c>
    </row>
    <row r="232" spans="2:16">
      <c r="B232" s="30" t="str">
        <f>B134</f>
        <v>Preferred, B</v>
      </c>
      <c r="C232" s="30"/>
      <c r="D232" s="30"/>
      <c r="E232" s="30"/>
      <c r="F232" s="29" t="str">
        <f t="shared" si="119"/>
        <v>$</v>
      </c>
      <c r="G232" s="59">
        <f t="shared" ref="G232:M232" si="121">IF($G$46=$B$329,MIN(G135,$H72),IF($G$46=$B$328,IF(G145=0,0,MIN(G135,$H72)),IF(G143&gt;G138,0,MIN(G135,$H72))))</f>
        <v>0</v>
      </c>
      <c r="H232" s="59">
        <f t="shared" si="121"/>
        <v>0</v>
      </c>
      <c r="I232" s="59">
        <f t="shared" si="121"/>
        <v>0</v>
      </c>
      <c r="J232" s="59">
        <f t="shared" si="121"/>
        <v>0</v>
      </c>
      <c r="K232" s="59">
        <f t="shared" si="121"/>
        <v>0</v>
      </c>
      <c r="L232" s="59">
        <f t="shared" si="121"/>
        <v>0</v>
      </c>
      <c r="M232" s="59">
        <f t="shared" si="121"/>
        <v>0</v>
      </c>
      <c r="N232" s="59"/>
      <c r="O232" s="3" t="str">
        <f>IF(ISBLANK(P232),"",MAX(O$5:O231)+1)</f>
        <v/>
      </c>
      <c r="P232" s="31"/>
    </row>
    <row r="233" spans="2:16">
      <c r="B233" s="30" t="str">
        <f>B156</f>
        <v>Preferred, A</v>
      </c>
      <c r="C233" s="30"/>
      <c r="D233" s="30"/>
      <c r="E233" s="30"/>
      <c r="F233" s="29" t="str">
        <f t="shared" si="119"/>
        <v>$</v>
      </c>
      <c r="G233" s="59">
        <f t="shared" ref="G233:M233" si="122">IF($I$46=$B$329,MIN(G157,$I72),IF($I$46=$B$328,IF(G167=0,0,MIN(G157,$I72)),IF(G165&gt;G160,0,MIN(G157,$I72))))</f>
        <v>0</v>
      </c>
      <c r="H233" s="59">
        <f t="shared" si="122"/>
        <v>0</v>
      </c>
      <c r="I233" s="59">
        <f t="shared" si="122"/>
        <v>0</v>
      </c>
      <c r="J233" s="59">
        <f t="shared" si="122"/>
        <v>0</v>
      </c>
      <c r="K233" s="59">
        <f t="shared" si="122"/>
        <v>0</v>
      </c>
      <c r="L233" s="59">
        <f t="shared" si="122"/>
        <v>0</v>
      </c>
      <c r="M233" s="59">
        <f t="shared" si="122"/>
        <v>0</v>
      </c>
      <c r="N233" s="59"/>
      <c r="O233" s="3" t="str">
        <f>IF(ISBLANK(P233),"",MAX(O$5:O232)+1)</f>
        <v/>
      </c>
      <c r="P233" s="31"/>
    </row>
    <row r="234" spans="2:16">
      <c r="B234" s="30" t="str">
        <f>B178</f>
        <v>Preferred, Seed</v>
      </c>
      <c r="C234" s="30"/>
      <c r="D234" s="30"/>
      <c r="E234" s="30"/>
      <c r="F234" s="29" t="str">
        <f t="shared" si="119"/>
        <v>$</v>
      </c>
      <c r="G234" s="59">
        <f t="shared" ref="G234:M234" si="123">IF($J$46=$B$329,MIN(G179,$J72),IF($J$46=$B$328,IF(AND(G195=0,G187&gt;G182),0,MIN(G179,$J72)),IF(G187&gt;G182,0,MIN(G179,$J72))))</f>
        <v>0</v>
      </c>
      <c r="H234" s="59">
        <f t="shared" si="123"/>
        <v>0</v>
      </c>
      <c r="I234" s="59">
        <f t="shared" si="123"/>
        <v>0</v>
      </c>
      <c r="J234" s="59">
        <f t="shared" si="123"/>
        <v>0</v>
      </c>
      <c r="K234" s="59">
        <f t="shared" si="123"/>
        <v>0</v>
      </c>
      <c r="L234" s="59">
        <f t="shared" si="123"/>
        <v>0</v>
      </c>
      <c r="M234" s="59">
        <f t="shared" si="123"/>
        <v>0</v>
      </c>
      <c r="N234" s="59"/>
      <c r="O234" s="3" t="str">
        <f>IF(ISBLANK(P234),"",MAX(O$5:O233)+1)</f>
        <v/>
      </c>
      <c r="P234" s="52"/>
    </row>
    <row r="235" spans="2:16">
      <c r="B235" s="30" t="str">
        <f>B200&amp;" (including Options)"</f>
        <v>Common (including Options)</v>
      </c>
      <c r="C235" s="30"/>
      <c r="D235" s="30"/>
      <c r="E235" s="30"/>
      <c r="F235" s="29" t="str">
        <f t="shared" si="119"/>
        <v>$</v>
      </c>
      <c r="G235" s="59">
        <v>0</v>
      </c>
      <c r="H235" s="59">
        <v>0</v>
      </c>
      <c r="I235" s="59">
        <v>0</v>
      </c>
      <c r="J235" s="59">
        <v>0</v>
      </c>
      <c r="K235" s="59">
        <v>0</v>
      </c>
      <c r="L235" s="59">
        <v>0</v>
      </c>
      <c r="M235" s="59">
        <v>0</v>
      </c>
      <c r="N235" s="59"/>
      <c r="O235" s="3" t="str">
        <f>IF(ISBLANK(P235),"",MAX(O$5:O234)+1)</f>
        <v/>
      </c>
      <c r="P235" s="52"/>
    </row>
    <row r="236" spans="2:16">
      <c r="B236" s="30" t="s">
        <v>28</v>
      </c>
      <c r="C236" s="30"/>
      <c r="D236" s="30"/>
      <c r="E236" s="30"/>
      <c r="F236" s="29" t="str">
        <f t="shared" si="119"/>
        <v>$</v>
      </c>
      <c r="G236" s="73">
        <f t="shared" ref="G236:M236" si="124">SUM(G231:G235)</f>
        <v>0</v>
      </c>
      <c r="H236" s="73">
        <f t="shared" si="124"/>
        <v>0</v>
      </c>
      <c r="I236" s="73">
        <f t="shared" si="124"/>
        <v>0</v>
      </c>
      <c r="J236" s="73">
        <f t="shared" si="124"/>
        <v>0</v>
      </c>
      <c r="K236" s="73">
        <f t="shared" si="124"/>
        <v>0</v>
      </c>
      <c r="L236" s="73">
        <f t="shared" si="124"/>
        <v>0</v>
      </c>
      <c r="M236" s="73">
        <f t="shared" si="124"/>
        <v>0</v>
      </c>
      <c r="N236" s="59"/>
      <c r="O236" s="3" t="str">
        <f>IF(ISBLANK(P236),"",MAX(O$5:O235)+1)</f>
        <v/>
      </c>
      <c r="P236" s="4"/>
    </row>
    <row r="237" spans="2:16">
      <c r="N237" s="59"/>
      <c r="O237" s="3" t="str">
        <f>IF(ISBLANK(P237),"",MAX(O$5:O236)+1)</f>
        <v/>
      </c>
      <c r="P237" s="4"/>
    </row>
    <row r="238" spans="2:16">
      <c r="B238" s="79" t="s">
        <v>91</v>
      </c>
      <c r="C238" s="79"/>
      <c r="D238" s="79"/>
      <c r="E238" s="79"/>
      <c r="O238" s="3">
        <f>IF(ISBLANK(P238),"",MAX(O$5:O237)+1)</f>
        <v>74</v>
      </c>
      <c r="P238" s="4" t="s">
        <v>92</v>
      </c>
    </row>
    <row r="239" spans="2:16">
      <c r="B239" s="65"/>
      <c r="C239" s="65"/>
      <c r="D239" s="65"/>
      <c r="E239" s="65"/>
      <c r="O239" s="3">
        <f>IF(ISBLANK(P239),"",MAX(O$5:O238)+1)</f>
        <v>75</v>
      </c>
      <c r="P239" s="4" t="s">
        <v>93</v>
      </c>
    </row>
    <row r="240" spans="2:16">
      <c r="B240" s="59" t="str">
        <f t="shared" ref="B240:B247" si="125">B14</f>
        <v>Investor</v>
      </c>
      <c r="C240" s="59"/>
      <c r="D240" s="59"/>
      <c r="E240" s="59"/>
      <c r="F240" s="29" t="str">
        <f t="shared" ref="F240:F249" si="126">F$5</f>
        <v>$</v>
      </c>
      <c r="G240" s="34">
        <f t="shared" ref="G240:M247" si="127">G$224*$G14+$H14*G$225+$I14*G$226+$J14*G$227+($K14+$L14)*G$228+G56</f>
        <v>0</v>
      </c>
      <c r="H240" s="34">
        <f t="shared" si="127"/>
        <v>0</v>
      </c>
      <c r="I240" s="34">
        <f t="shared" si="127"/>
        <v>0</v>
      </c>
      <c r="J240" s="34">
        <f t="shared" si="127"/>
        <v>0</v>
      </c>
      <c r="K240" s="34">
        <f t="shared" si="127"/>
        <v>0</v>
      </c>
      <c r="L240" s="34">
        <f t="shared" si="127"/>
        <v>0</v>
      </c>
      <c r="M240" s="34">
        <f t="shared" si="127"/>
        <v>0</v>
      </c>
      <c r="N240" s="34"/>
      <c r="O240" s="3" t="str">
        <f>IF(ISBLANK(P240),"",MAX(O$5:O239)+1)</f>
        <v/>
      </c>
    </row>
    <row r="241" spans="2:16">
      <c r="B241" s="59" t="str">
        <f t="shared" si="125"/>
        <v>Investor</v>
      </c>
      <c r="C241" s="59"/>
      <c r="D241" s="59"/>
      <c r="E241" s="59"/>
      <c r="F241" s="29" t="str">
        <f t="shared" si="126"/>
        <v>$</v>
      </c>
      <c r="G241" s="34">
        <f t="shared" si="127"/>
        <v>0</v>
      </c>
      <c r="H241" s="34">
        <f t="shared" si="127"/>
        <v>0</v>
      </c>
      <c r="I241" s="34">
        <f t="shared" si="127"/>
        <v>0</v>
      </c>
      <c r="J241" s="34">
        <f t="shared" si="127"/>
        <v>0</v>
      </c>
      <c r="K241" s="34">
        <f t="shared" si="127"/>
        <v>0</v>
      </c>
      <c r="L241" s="34">
        <f t="shared" si="127"/>
        <v>0</v>
      </c>
      <c r="M241" s="34">
        <f t="shared" si="127"/>
        <v>0</v>
      </c>
      <c r="N241" s="34"/>
      <c r="O241" s="3" t="str">
        <f>IF(ISBLANK(P241),"",MAX(O$5:O240)+1)</f>
        <v/>
      </c>
    </row>
    <row r="242" spans="2:16">
      <c r="B242" s="59" t="str">
        <f t="shared" si="125"/>
        <v>Investor</v>
      </c>
      <c r="C242" s="59"/>
      <c r="D242" s="59"/>
      <c r="E242" s="59"/>
      <c r="F242" s="29" t="str">
        <f t="shared" si="126"/>
        <v>$</v>
      </c>
      <c r="G242" s="34">
        <f t="shared" si="127"/>
        <v>0</v>
      </c>
      <c r="H242" s="34">
        <f t="shared" si="127"/>
        <v>0</v>
      </c>
      <c r="I242" s="34">
        <f t="shared" si="127"/>
        <v>0</v>
      </c>
      <c r="J242" s="34">
        <f t="shared" si="127"/>
        <v>0</v>
      </c>
      <c r="K242" s="34">
        <f t="shared" si="127"/>
        <v>0</v>
      </c>
      <c r="L242" s="34">
        <f t="shared" si="127"/>
        <v>0</v>
      </c>
      <c r="M242" s="34">
        <f t="shared" si="127"/>
        <v>0</v>
      </c>
      <c r="N242" s="34"/>
      <c r="O242" s="3" t="str">
        <f>IF(ISBLANK(P242),"",MAX(O$5:O241)+1)</f>
        <v/>
      </c>
    </row>
    <row r="243" spans="2:16">
      <c r="B243" s="59" t="str">
        <f t="shared" si="125"/>
        <v>Investor</v>
      </c>
      <c r="C243" s="59"/>
      <c r="D243" s="59"/>
      <c r="E243" s="59"/>
      <c r="F243" s="29" t="str">
        <f t="shared" si="126"/>
        <v>$</v>
      </c>
      <c r="G243" s="34">
        <f t="shared" si="127"/>
        <v>0</v>
      </c>
      <c r="H243" s="34">
        <f t="shared" si="127"/>
        <v>0</v>
      </c>
      <c r="I243" s="34">
        <f t="shared" si="127"/>
        <v>0</v>
      </c>
      <c r="J243" s="34">
        <f t="shared" si="127"/>
        <v>0</v>
      </c>
      <c r="K243" s="34">
        <f t="shared" si="127"/>
        <v>0</v>
      </c>
      <c r="L243" s="34">
        <f t="shared" si="127"/>
        <v>0</v>
      </c>
      <c r="M243" s="34">
        <f t="shared" si="127"/>
        <v>0</v>
      </c>
      <c r="N243" s="34"/>
      <c r="O243" s="3" t="str">
        <f>IF(ISBLANK(P243),"",MAX(O$5:O242)+1)</f>
        <v/>
      </c>
    </row>
    <row r="244" spans="2:16">
      <c r="B244" s="59" t="str">
        <f t="shared" si="125"/>
        <v>Investor</v>
      </c>
      <c r="C244" s="59"/>
      <c r="D244" s="59"/>
      <c r="E244" s="59"/>
      <c r="F244" s="29" t="str">
        <f t="shared" si="126"/>
        <v>$</v>
      </c>
      <c r="G244" s="34">
        <f t="shared" si="127"/>
        <v>0</v>
      </c>
      <c r="H244" s="34">
        <f t="shared" si="127"/>
        <v>0</v>
      </c>
      <c r="I244" s="34">
        <f t="shared" si="127"/>
        <v>0</v>
      </c>
      <c r="J244" s="34">
        <f t="shared" si="127"/>
        <v>0</v>
      </c>
      <c r="K244" s="34">
        <f t="shared" si="127"/>
        <v>0</v>
      </c>
      <c r="L244" s="34">
        <f t="shared" si="127"/>
        <v>0</v>
      </c>
      <c r="M244" s="34">
        <f t="shared" si="127"/>
        <v>0</v>
      </c>
      <c r="N244" s="34"/>
      <c r="O244" s="3" t="str">
        <f>IF(ISBLANK(P244),"",MAX(O$5:O243)+1)</f>
        <v/>
      </c>
    </row>
    <row r="245" spans="2:16">
      <c r="B245" s="59" t="str">
        <f t="shared" si="125"/>
        <v>Investor</v>
      </c>
      <c r="C245" s="59"/>
      <c r="D245" s="59"/>
      <c r="E245" s="59"/>
      <c r="F245" s="29" t="str">
        <f t="shared" si="126"/>
        <v>$</v>
      </c>
      <c r="G245" s="34">
        <f t="shared" si="127"/>
        <v>0</v>
      </c>
      <c r="H245" s="34">
        <f t="shared" si="127"/>
        <v>0</v>
      </c>
      <c r="I245" s="34">
        <f t="shared" si="127"/>
        <v>0</v>
      </c>
      <c r="J245" s="34">
        <f t="shared" si="127"/>
        <v>0</v>
      </c>
      <c r="K245" s="34">
        <f t="shared" si="127"/>
        <v>0</v>
      </c>
      <c r="L245" s="34">
        <f t="shared" si="127"/>
        <v>0</v>
      </c>
      <c r="M245" s="34">
        <f t="shared" si="127"/>
        <v>0</v>
      </c>
      <c r="N245" s="34"/>
      <c r="O245" s="3" t="str">
        <f>IF(ISBLANK(P245),"",MAX(O$5:O244)+1)</f>
        <v/>
      </c>
    </row>
    <row r="246" spans="2:16">
      <c r="B246" s="59" t="str">
        <f t="shared" si="125"/>
        <v>Investor</v>
      </c>
      <c r="C246" s="59"/>
      <c r="D246" s="59"/>
      <c r="E246" s="59"/>
      <c r="F246" s="29" t="str">
        <f t="shared" si="126"/>
        <v>$</v>
      </c>
      <c r="G246" s="34">
        <f t="shared" si="127"/>
        <v>0</v>
      </c>
      <c r="H246" s="34">
        <f t="shared" si="127"/>
        <v>0</v>
      </c>
      <c r="I246" s="34">
        <f t="shared" si="127"/>
        <v>0</v>
      </c>
      <c r="J246" s="34">
        <f t="shared" si="127"/>
        <v>0</v>
      </c>
      <c r="K246" s="34">
        <f t="shared" si="127"/>
        <v>0</v>
      </c>
      <c r="L246" s="34">
        <f t="shared" si="127"/>
        <v>0</v>
      </c>
      <c r="M246" s="34">
        <f t="shared" si="127"/>
        <v>0</v>
      </c>
      <c r="N246" s="34"/>
      <c r="O246" s="3" t="str">
        <f>IF(ISBLANK(P246),"",MAX(O$5:O245)+1)</f>
        <v/>
      </c>
      <c r="P246" s="4"/>
    </row>
    <row r="247" spans="2:16">
      <c r="B247" s="59" t="str">
        <f t="shared" si="125"/>
        <v>Options Exercised</v>
      </c>
      <c r="C247" s="59"/>
      <c r="D247" s="59"/>
      <c r="E247" s="59"/>
      <c r="F247" s="29" t="str">
        <f t="shared" si="126"/>
        <v>$</v>
      </c>
      <c r="G247" s="34">
        <f t="shared" si="127"/>
        <v>0</v>
      </c>
      <c r="H247" s="34">
        <f t="shared" si="127"/>
        <v>0</v>
      </c>
      <c r="I247" s="34">
        <f t="shared" si="127"/>
        <v>0</v>
      </c>
      <c r="J247" s="34">
        <f t="shared" si="127"/>
        <v>0</v>
      </c>
      <c r="K247" s="34">
        <f t="shared" si="127"/>
        <v>0</v>
      </c>
      <c r="L247" s="34">
        <f t="shared" si="127"/>
        <v>0</v>
      </c>
      <c r="M247" s="34">
        <f t="shared" si="127"/>
        <v>0</v>
      </c>
      <c r="N247" s="34"/>
      <c r="O247" s="3" t="str">
        <f>IF(ISBLANK(P247),"",MAX(O$5:O246)+1)</f>
        <v/>
      </c>
      <c r="P247" s="4"/>
    </row>
    <row r="248" spans="2:16">
      <c r="B248" s="59" t="s">
        <v>28</v>
      </c>
      <c r="C248" s="59"/>
      <c r="D248" s="59"/>
      <c r="E248" s="59"/>
      <c r="F248" s="29" t="str">
        <f t="shared" si="126"/>
        <v>$</v>
      </c>
      <c r="G248" s="73">
        <f t="shared" ref="G248:M248" si="128">SUM(G240:G247)</f>
        <v>0</v>
      </c>
      <c r="H248" s="73">
        <f t="shared" si="128"/>
        <v>0</v>
      </c>
      <c r="I248" s="73">
        <f t="shared" si="128"/>
        <v>0</v>
      </c>
      <c r="J248" s="73">
        <f t="shared" si="128"/>
        <v>0</v>
      </c>
      <c r="K248" s="73">
        <f t="shared" si="128"/>
        <v>0</v>
      </c>
      <c r="L248" s="73">
        <f t="shared" si="128"/>
        <v>0</v>
      </c>
      <c r="M248" s="73">
        <f t="shared" si="128"/>
        <v>0</v>
      </c>
      <c r="N248" s="59"/>
      <c r="O248" s="3" t="str">
        <f>IF(ISBLANK(P248),"",MAX(O$5:O247)+1)</f>
        <v/>
      </c>
      <c r="P248" s="4"/>
    </row>
    <row r="249" spans="2:16">
      <c r="B249" s="74" t="s">
        <v>143</v>
      </c>
      <c r="C249" s="74"/>
      <c r="D249" s="74"/>
      <c r="E249" s="74"/>
      <c r="F249" s="36" t="str">
        <f t="shared" si="126"/>
        <v>$</v>
      </c>
      <c r="G249" s="59">
        <f t="shared" ref="G249:M249" si="129">G248-G211</f>
        <v>0</v>
      </c>
      <c r="H249" s="59">
        <f t="shared" si="129"/>
        <v>0</v>
      </c>
      <c r="I249" s="59">
        <f t="shared" si="129"/>
        <v>0</v>
      </c>
      <c r="J249" s="59">
        <f t="shared" si="129"/>
        <v>0</v>
      </c>
      <c r="K249" s="59">
        <f t="shared" si="129"/>
        <v>0</v>
      </c>
      <c r="L249" s="59">
        <f t="shared" si="129"/>
        <v>0</v>
      </c>
      <c r="M249" s="59">
        <f t="shared" si="129"/>
        <v>0</v>
      </c>
      <c r="N249" s="59"/>
      <c r="O249" s="3" t="str">
        <f>IF(ISBLANK(P249),"",MAX(O$5:O248)+1)</f>
        <v/>
      </c>
      <c r="P249" s="4"/>
    </row>
    <row r="250" spans="2:16">
      <c r="O250" s="3" t="str">
        <f>IF(ISBLANK(P250),"",MAX(O$5:O249)+1)</f>
        <v/>
      </c>
      <c r="P250" s="4"/>
    </row>
    <row r="251" spans="2:16">
      <c r="B251" s="79" t="s">
        <v>94</v>
      </c>
      <c r="C251" s="79"/>
      <c r="D251" s="79"/>
      <c r="E251" s="79"/>
      <c r="O251" s="3" t="str">
        <f>IF(ISBLANK(P251),"",MAX(O$5:O250)+1)</f>
        <v/>
      </c>
      <c r="P251" s="4"/>
    </row>
    <row r="252" spans="2:16">
      <c r="O252" s="3" t="str">
        <f>IF(ISBLANK(P252),"",MAX(O$5:O251)+1)</f>
        <v/>
      </c>
      <c r="P252" s="4"/>
    </row>
    <row r="253" spans="2:16">
      <c r="B253" s="59" t="str">
        <f t="shared" ref="B253:B258" si="130">B14</f>
        <v>Investor</v>
      </c>
      <c r="C253" s="59"/>
      <c r="D253" s="59"/>
      <c r="E253" s="59"/>
      <c r="F253" s="53" t="s">
        <v>12</v>
      </c>
      <c r="G253" s="38" t="str">
        <f t="shared" ref="G253:M260" si="131">IFERROR((G240-SUM($G28:$L28))/(SUM($G28:$L28)),"na")</f>
        <v>na</v>
      </c>
      <c r="H253" s="38" t="str">
        <f t="shared" si="131"/>
        <v>na</v>
      </c>
      <c r="I253" s="38" t="str">
        <f t="shared" si="131"/>
        <v>na</v>
      </c>
      <c r="J253" s="38" t="str">
        <f t="shared" si="131"/>
        <v>na</v>
      </c>
      <c r="K253" s="38" t="str">
        <f t="shared" si="131"/>
        <v>na</v>
      </c>
      <c r="L253" s="38" t="str">
        <f t="shared" si="131"/>
        <v>na</v>
      </c>
      <c r="M253" s="38" t="str">
        <f t="shared" si="131"/>
        <v>na</v>
      </c>
      <c r="N253" s="38"/>
      <c r="O253" s="3">
        <f>IF(ISBLANK(P253),"",MAX(O$5:O252)+1)</f>
        <v>76</v>
      </c>
      <c r="P253" s="4" t="s">
        <v>95</v>
      </c>
    </row>
    <row r="254" spans="2:16">
      <c r="B254" s="59" t="str">
        <f t="shared" si="130"/>
        <v>Investor</v>
      </c>
      <c r="C254" s="59"/>
      <c r="D254" s="59"/>
      <c r="E254" s="59"/>
      <c r="F254" s="53" t="s">
        <v>12</v>
      </c>
      <c r="G254" s="38" t="str">
        <f t="shared" si="131"/>
        <v>na</v>
      </c>
      <c r="H254" s="38" t="str">
        <f t="shared" si="131"/>
        <v>na</v>
      </c>
      <c r="I254" s="38" t="str">
        <f t="shared" si="131"/>
        <v>na</v>
      </c>
      <c r="J254" s="38" t="str">
        <f t="shared" si="131"/>
        <v>na</v>
      </c>
      <c r="K254" s="38" t="str">
        <f t="shared" si="131"/>
        <v>na</v>
      </c>
      <c r="L254" s="38" t="str">
        <f t="shared" si="131"/>
        <v>na</v>
      </c>
      <c r="M254" s="38" t="str">
        <f t="shared" si="131"/>
        <v>na</v>
      </c>
      <c r="N254" s="38"/>
      <c r="O254" s="3" t="str">
        <f>IF(ISBLANK(P254),"",MAX(O$5:O253)+1)</f>
        <v/>
      </c>
      <c r="P254" s="4"/>
    </row>
    <row r="255" spans="2:16">
      <c r="B255" s="59" t="str">
        <f t="shared" si="130"/>
        <v>Investor</v>
      </c>
      <c r="C255" s="59"/>
      <c r="D255" s="59"/>
      <c r="E255" s="59"/>
      <c r="F255" s="53" t="s">
        <v>12</v>
      </c>
      <c r="G255" s="38" t="str">
        <f t="shared" si="131"/>
        <v>na</v>
      </c>
      <c r="H255" s="38" t="str">
        <f t="shared" si="131"/>
        <v>na</v>
      </c>
      <c r="I255" s="38" t="str">
        <f t="shared" si="131"/>
        <v>na</v>
      </c>
      <c r="J255" s="38" t="str">
        <f t="shared" si="131"/>
        <v>na</v>
      </c>
      <c r="K255" s="38" t="str">
        <f t="shared" si="131"/>
        <v>na</v>
      </c>
      <c r="L255" s="38" t="str">
        <f t="shared" si="131"/>
        <v>na</v>
      </c>
      <c r="M255" s="38" t="str">
        <f t="shared" si="131"/>
        <v>na</v>
      </c>
      <c r="N255" s="38"/>
      <c r="O255" s="3" t="str">
        <f>IF(ISBLANK(P255),"",MAX(O$5:O254)+1)</f>
        <v/>
      </c>
      <c r="P255" s="4"/>
    </row>
    <row r="256" spans="2:16">
      <c r="B256" s="59" t="str">
        <f t="shared" si="130"/>
        <v>Investor</v>
      </c>
      <c r="C256" s="59"/>
      <c r="D256" s="59"/>
      <c r="E256" s="59"/>
      <c r="F256" s="53" t="s">
        <v>12</v>
      </c>
      <c r="G256" s="38" t="str">
        <f t="shared" si="131"/>
        <v>na</v>
      </c>
      <c r="H256" s="38" t="str">
        <f t="shared" si="131"/>
        <v>na</v>
      </c>
      <c r="I256" s="38" t="str">
        <f t="shared" si="131"/>
        <v>na</v>
      </c>
      <c r="J256" s="38" t="str">
        <f t="shared" si="131"/>
        <v>na</v>
      </c>
      <c r="K256" s="38" t="str">
        <f t="shared" si="131"/>
        <v>na</v>
      </c>
      <c r="L256" s="38" t="str">
        <f t="shared" si="131"/>
        <v>na</v>
      </c>
      <c r="M256" s="38" t="str">
        <f t="shared" si="131"/>
        <v>na</v>
      </c>
      <c r="N256" s="38"/>
      <c r="O256" s="3" t="str">
        <f>IF(ISBLANK(P256),"",MAX(O$5:O255)+1)</f>
        <v/>
      </c>
      <c r="P256" s="4"/>
    </row>
    <row r="257" spans="2:16">
      <c r="B257" s="59" t="str">
        <f t="shared" si="130"/>
        <v>Investor</v>
      </c>
      <c r="C257" s="59"/>
      <c r="D257" s="59"/>
      <c r="E257" s="59"/>
      <c r="F257" s="53" t="s">
        <v>12</v>
      </c>
      <c r="G257" s="38" t="str">
        <f t="shared" si="131"/>
        <v>na</v>
      </c>
      <c r="H257" s="38" t="str">
        <f t="shared" si="131"/>
        <v>na</v>
      </c>
      <c r="I257" s="38" t="str">
        <f t="shared" si="131"/>
        <v>na</v>
      </c>
      <c r="J257" s="38" t="str">
        <f t="shared" si="131"/>
        <v>na</v>
      </c>
      <c r="K257" s="38" t="str">
        <f t="shared" si="131"/>
        <v>na</v>
      </c>
      <c r="L257" s="38" t="str">
        <f t="shared" si="131"/>
        <v>na</v>
      </c>
      <c r="M257" s="38" t="str">
        <f t="shared" si="131"/>
        <v>na</v>
      </c>
      <c r="N257" s="38"/>
      <c r="O257" s="3" t="str">
        <f>IF(ISBLANK(P257),"",MAX(O$5:O256)+1)</f>
        <v/>
      </c>
      <c r="P257" s="4"/>
    </row>
    <row r="258" spans="2:16">
      <c r="B258" s="59" t="str">
        <f t="shared" si="130"/>
        <v>Investor</v>
      </c>
      <c r="C258" s="59"/>
      <c r="D258" s="59"/>
      <c r="E258" s="59"/>
      <c r="F258" s="53" t="s">
        <v>12</v>
      </c>
      <c r="G258" s="38" t="str">
        <f t="shared" si="131"/>
        <v>na</v>
      </c>
      <c r="H258" s="38" t="str">
        <f t="shared" si="131"/>
        <v>na</v>
      </c>
      <c r="I258" s="38" t="str">
        <f t="shared" si="131"/>
        <v>na</v>
      </c>
      <c r="J258" s="38" t="str">
        <f t="shared" si="131"/>
        <v>na</v>
      </c>
      <c r="K258" s="38" t="str">
        <f t="shared" si="131"/>
        <v>na</v>
      </c>
      <c r="L258" s="38" t="str">
        <f t="shared" si="131"/>
        <v>na</v>
      </c>
      <c r="M258" s="38" t="str">
        <f t="shared" si="131"/>
        <v>na</v>
      </c>
      <c r="N258" s="38"/>
      <c r="O258" s="3" t="str">
        <f>IF(ISBLANK(P258),"",MAX(O$5:O257)+1)</f>
        <v/>
      </c>
      <c r="P258" s="4"/>
    </row>
    <row r="259" spans="2:16">
      <c r="B259" s="59" t="str">
        <f>B$20</f>
        <v>Investor</v>
      </c>
      <c r="C259" s="59"/>
      <c r="D259" s="59"/>
      <c r="E259" s="59"/>
      <c r="F259" s="53" t="s">
        <v>12</v>
      </c>
      <c r="G259" s="38" t="str">
        <f t="shared" si="131"/>
        <v>na</v>
      </c>
      <c r="H259" s="38" t="str">
        <f t="shared" si="131"/>
        <v>na</v>
      </c>
      <c r="I259" s="38" t="str">
        <f t="shared" si="131"/>
        <v>na</v>
      </c>
      <c r="J259" s="38" t="str">
        <f t="shared" si="131"/>
        <v>na</v>
      </c>
      <c r="K259" s="38" t="str">
        <f t="shared" si="131"/>
        <v>na</v>
      </c>
      <c r="L259" s="38" t="str">
        <f t="shared" si="131"/>
        <v>na</v>
      </c>
      <c r="M259" s="38" t="str">
        <f t="shared" si="131"/>
        <v>na</v>
      </c>
      <c r="N259" s="38"/>
      <c r="O259" s="3" t="str">
        <f>IF(ISBLANK(P259),"",MAX(O$5:O258)+1)</f>
        <v/>
      </c>
      <c r="P259" s="4"/>
    </row>
    <row r="260" spans="2:16">
      <c r="B260" s="59" t="str">
        <f>B$21</f>
        <v>Options Exercised</v>
      </c>
      <c r="C260" s="59"/>
      <c r="D260" s="59"/>
      <c r="E260" s="59"/>
      <c r="F260" s="53" t="s">
        <v>12</v>
      </c>
      <c r="G260" s="38" t="str">
        <f t="shared" si="131"/>
        <v>na</v>
      </c>
      <c r="H260" s="38" t="str">
        <f t="shared" si="131"/>
        <v>na</v>
      </c>
      <c r="I260" s="38" t="str">
        <f t="shared" si="131"/>
        <v>na</v>
      </c>
      <c r="J260" s="38" t="str">
        <f t="shared" si="131"/>
        <v>na</v>
      </c>
      <c r="K260" s="38" t="str">
        <f t="shared" si="131"/>
        <v>na</v>
      </c>
      <c r="L260" s="38" t="str">
        <f t="shared" si="131"/>
        <v>na</v>
      </c>
      <c r="M260" s="38" t="str">
        <f t="shared" si="131"/>
        <v>na</v>
      </c>
      <c r="N260" s="38"/>
      <c r="O260" s="3" t="str">
        <f>IF(ISBLANK(P260),"",MAX(O$5:O259)+1)</f>
        <v/>
      </c>
      <c r="P260" s="4"/>
    </row>
    <row r="261" spans="2:16">
      <c r="B261" s="59" t="s">
        <v>28</v>
      </c>
      <c r="C261" s="59"/>
      <c r="D261" s="59"/>
      <c r="E261" s="59"/>
      <c r="F261" s="53" t="s">
        <v>12</v>
      </c>
      <c r="G261" s="39">
        <f t="shared" ref="G261:M261" si="132">IFERROR((G248-$M39)/$M39,0)</f>
        <v>0</v>
      </c>
      <c r="H261" s="39">
        <f t="shared" si="132"/>
        <v>0</v>
      </c>
      <c r="I261" s="39">
        <f t="shared" si="132"/>
        <v>0</v>
      </c>
      <c r="J261" s="39">
        <f t="shared" si="132"/>
        <v>0</v>
      </c>
      <c r="K261" s="39">
        <f t="shared" si="132"/>
        <v>0</v>
      </c>
      <c r="L261" s="39">
        <f t="shared" si="132"/>
        <v>0</v>
      </c>
      <c r="M261" s="39">
        <f t="shared" si="132"/>
        <v>0</v>
      </c>
      <c r="N261" s="63"/>
      <c r="O261" s="3" t="str">
        <f>IF(ISBLANK(P261),"",MAX(O$5:O260)+1)</f>
        <v/>
      </c>
    </row>
    <row r="262" spans="2:16">
      <c r="O262" s="3" t="str">
        <f>IF(ISBLANK(P262),"",MAX(O$5:O261)+1)</f>
        <v/>
      </c>
    </row>
    <row r="263" spans="2:16">
      <c r="O263" s="3" t="str">
        <f>IF(ISBLANK(P263),"",MAX(O$5:O262)+1)</f>
        <v/>
      </c>
    </row>
    <row r="264" spans="2:16">
      <c r="O264" s="3" t="str">
        <f>IF(ISBLANK(P264),"",MAX(O$5:O263)+1)</f>
        <v/>
      </c>
    </row>
    <row r="265" spans="2:16">
      <c r="O265" s="3">
        <f>IF(ISBLANK(P265),"",MAX(O$5:O264)+1)</f>
        <v>77</v>
      </c>
      <c r="P265" s="4" t="s">
        <v>122</v>
      </c>
    </row>
    <row r="266" spans="2:16">
      <c r="O266" s="3" t="str">
        <f>IF(ISBLANK(P266),"",MAX(O$5:O265)+1)</f>
        <v/>
      </c>
    </row>
    <row r="267" spans="2:16">
      <c r="O267" s="3" t="str">
        <f>IF(ISBLANK(P267),"",MAX(O$5:O266)+1)</f>
        <v/>
      </c>
    </row>
    <row r="268" spans="2:16" s="55" customFormat="1">
      <c r="F268" s="53"/>
      <c r="G268" s="52"/>
      <c r="H268" s="52"/>
      <c r="I268" s="52"/>
      <c r="J268" s="52"/>
      <c r="K268" s="52"/>
      <c r="L268" s="52"/>
      <c r="M268" s="52"/>
      <c r="N268" s="52"/>
      <c r="O268" s="3" t="str">
        <f>IF(ISBLANK(P268),"",MAX(O$5:O267)+1)</f>
        <v/>
      </c>
    </row>
    <row r="269" spans="2:16" s="55" customFormat="1">
      <c r="F269" s="53"/>
      <c r="G269" s="52"/>
      <c r="H269" s="52"/>
      <c r="I269" s="52"/>
      <c r="J269" s="52"/>
      <c r="K269" s="52"/>
      <c r="L269" s="52"/>
      <c r="M269" s="52"/>
      <c r="N269" s="52"/>
      <c r="O269" s="3" t="str">
        <f>IF(ISBLANK(P269),"",MAX(O$5:O268)+1)</f>
        <v/>
      </c>
    </row>
    <row r="270" spans="2:16" s="55" customFormat="1">
      <c r="F270" s="53"/>
      <c r="G270" s="52"/>
      <c r="H270" s="52"/>
      <c r="I270" s="52"/>
      <c r="J270" s="52"/>
      <c r="K270" s="52"/>
      <c r="L270" s="52"/>
      <c r="M270" s="52"/>
      <c r="N270" s="52"/>
      <c r="O270" s="3" t="str">
        <f>IF(ISBLANK(P270),"",MAX(O$5:O269)+1)</f>
        <v/>
      </c>
    </row>
    <row r="271" spans="2:16" s="55" customFormat="1">
      <c r="F271" s="53"/>
      <c r="G271" s="52"/>
      <c r="H271" s="52"/>
      <c r="I271" s="52"/>
      <c r="J271" s="52"/>
      <c r="K271" s="52"/>
      <c r="L271" s="52"/>
      <c r="M271" s="52"/>
      <c r="N271" s="52"/>
      <c r="O271" s="3" t="str">
        <f>IF(ISBLANK(P271),"",MAX(O$5:O270)+1)</f>
        <v/>
      </c>
    </row>
    <row r="272" spans="2:16" s="55" customFormat="1">
      <c r="F272" s="53"/>
      <c r="G272" s="52"/>
      <c r="H272" s="52"/>
      <c r="I272" s="52"/>
      <c r="J272" s="52"/>
      <c r="K272" s="52"/>
      <c r="L272" s="52"/>
      <c r="M272" s="52"/>
      <c r="N272" s="52"/>
      <c r="O272" s="3" t="str">
        <f>IF(ISBLANK(P272),"",MAX(O$5:O271)+1)</f>
        <v/>
      </c>
    </row>
    <row r="273" spans="1:29" s="55" customFormat="1">
      <c r="F273" s="53"/>
      <c r="G273" s="52"/>
      <c r="H273" s="52"/>
      <c r="I273" s="52"/>
      <c r="J273" s="52"/>
      <c r="K273" s="52"/>
      <c r="L273" s="52"/>
      <c r="M273" s="52"/>
      <c r="N273" s="52"/>
      <c r="O273" s="3" t="str">
        <f>IF(ISBLANK(P273),"",MAX(O$5:O272)+1)</f>
        <v/>
      </c>
    </row>
    <row r="274" spans="1:29" s="55" customFormat="1">
      <c r="F274" s="53"/>
      <c r="G274" s="52"/>
      <c r="H274" s="52"/>
      <c r="I274" s="52"/>
      <c r="J274" s="52"/>
      <c r="K274" s="52"/>
      <c r="L274" s="52"/>
      <c r="M274" s="52"/>
      <c r="N274" s="52"/>
      <c r="O274" s="3" t="str">
        <f>IF(ISBLANK(P274),"",MAX(O$5:O273)+1)</f>
        <v/>
      </c>
    </row>
    <row r="275" spans="1:29" s="55" customFormat="1">
      <c r="F275" s="53"/>
      <c r="G275" s="52"/>
      <c r="H275" s="52"/>
      <c r="I275" s="52"/>
      <c r="J275" s="52"/>
      <c r="K275" s="52"/>
      <c r="L275" s="52"/>
      <c r="M275" s="52"/>
      <c r="N275" s="52"/>
      <c r="O275" s="3" t="str">
        <f>IF(ISBLANK(P275),"",MAX(O$5:O274)+1)</f>
        <v/>
      </c>
    </row>
    <row r="276" spans="1:29" s="55" customFormat="1">
      <c r="F276" s="53"/>
      <c r="G276" s="52"/>
      <c r="H276" s="52"/>
      <c r="I276" s="52"/>
      <c r="J276" s="52"/>
      <c r="K276" s="52"/>
      <c r="L276" s="52"/>
      <c r="M276" s="52"/>
      <c r="N276" s="52"/>
      <c r="O276" s="3" t="str">
        <f>IF(ISBLANK(P276),"",MAX(O$5:O275)+1)</f>
        <v/>
      </c>
    </row>
    <row r="277" spans="1:29" s="55" customFormat="1">
      <c r="F277" s="53"/>
      <c r="G277" s="52"/>
      <c r="H277" s="52"/>
      <c r="I277" s="52"/>
      <c r="J277" s="52"/>
      <c r="K277" s="52"/>
      <c r="L277" s="52"/>
      <c r="M277" s="52"/>
      <c r="N277" s="52"/>
      <c r="O277" s="3" t="str">
        <f>IF(ISBLANK(P277),"",MAX(O$5:O276)+1)</f>
        <v/>
      </c>
    </row>
    <row r="278" spans="1:29" s="55" customFormat="1">
      <c r="F278" s="53"/>
      <c r="G278" s="52"/>
      <c r="H278" s="52"/>
      <c r="I278" s="52"/>
      <c r="J278" s="52"/>
      <c r="K278" s="52"/>
      <c r="L278" s="52"/>
      <c r="M278" s="52"/>
      <c r="N278" s="52"/>
      <c r="O278" s="3" t="str">
        <f>IF(ISBLANK(P278),"",MAX(O$5:O277)+1)</f>
        <v/>
      </c>
    </row>
    <row r="279" spans="1:29" s="55" customFormat="1">
      <c r="F279" s="53"/>
      <c r="G279" s="52"/>
      <c r="H279" s="52"/>
      <c r="I279" s="52"/>
      <c r="J279" s="52"/>
      <c r="K279" s="52"/>
      <c r="L279" s="52"/>
      <c r="M279" s="52"/>
      <c r="N279" s="52"/>
      <c r="O279" s="3" t="str">
        <f>IF(ISBLANK(P279),"",MAX(O$5:O278)+1)</f>
        <v/>
      </c>
    </row>
    <row r="280" spans="1:29" s="55" customFormat="1">
      <c r="F280" s="53"/>
      <c r="G280" s="52"/>
      <c r="H280" s="52"/>
      <c r="I280" s="52"/>
      <c r="J280" s="52"/>
      <c r="K280" s="52"/>
      <c r="L280" s="52"/>
      <c r="M280" s="52"/>
      <c r="N280" s="52"/>
      <c r="O280" s="3" t="str">
        <f>IF(ISBLANK(P280),"",MAX(O$5:O279)+1)</f>
        <v/>
      </c>
    </row>
    <row r="281" spans="1:29" s="55" customFormat="1">
      <c r="F281" s="53"/>
      <c r="G281" s="52"/>
      <c r="H281" s="52"/>
      <c r="I281" s="52"/>
      <c r="J281" s="52"/>
      <c r="K281" s="52"/>
      <c r="L281" s="52"/>
      <c r="M281" s="52"/>
      <c r="N281" s="52"/>
      <c r="O281" s="3" t="str">
        <f>IF(ISBLANK(P281),"",MAX(O$5:O280)+1)</f>
        <v/>
      </c>
    </row>
    <row r="282" spans="1:29" s="55" customFormat="1">
      <c r="F282" s="53"/>
      <c r="G282" s="52"/>
      <c r="H282" s="52"/>
      <c r="I282" s="52"/>
      <c r="J282" s="52"/>
      <c r="K282" s="52"/>
      <c r="L282" s="52"/>
      <c r="M282" s="52"/>
      <c r="N282" s="52"/>
      <c r="O282" s="3" t="str">
        <f>IF(ISBLANK(P282),"",MAX(O$5:O281)+1)</f>
        <v/>
      </c>
    </row>
    <row r="283" spans="1:29" s="55" customFormat="1">
      <c r="F283" s="53"/>
      <c r="G283" s="52"/>
      <c r="H283" s="52"/>
      <c r="I283" s="52"/>
      <c r="J283" s="52"/>
      <c r="K283" s="52"/>
      <c r="L283" s="52"/>
      <c r="M283" s="52"/>
      <c r="N283" s="52"/>
      <c r="O283" s="3" t="str">
        <f>IF(ISBLANK(P283),"",MAX(O$5:O282)+1)</f>
        <v/>
      </c>
    </row>
    <row r="284" spans="1:29" s="55" customFormat="1">
      <c r="A284" s="52"/>
      <c r="B284" s="52"/>
      <c r="C284" s="52"/>
      <c r="D284" s="52"/>
      <c r="E284" s="52"/>
      <c r="F284" s="53"/>
      <c r="G284" s="52"/>
      <c r="H284" s="52"/>
      <c r="I284" s="52"/>
      <c r="J284" s="52"/>
      <c r="K284" s="52"/>
      <c r="L284" s="52"/>
      <c r="M284" s="52"/>
      <c r="N284" s="52"/>
      <c r="O284" s="3" t="str">
        <f>IF(ISBLANK(P284),"",MAX(O$5:O283)+1)</f>
        <v/>
      </c>
      <c r="Q284" s="52"/>
      <c r="R284" s="52"/>
      <c r="S284" s="52"/>
      <c r="T284" s="52"/>
      <c r="U284" s="52"/>
      <c r="V284" s="52"/>
      <c r="W284" s="52"/>
      <c r="X284" s="52"/>
      <c r="Y284" s="52"/>
      <c r="Z284" s="52"/>
      <c r="AA284" s="52"/>
      <c r="AB284" s="52"/>
      <c r="AC284" s="52"/>
    </row>
    <row r="285" spans="1:29" s="55" customFormat="1">
      <c r="A285" s="52"/>
      <c r="B285" s="52"/>
      <c r="C285" s="52"/>
      <c r="D285" s="52"/>
      <c r="E285" s="52"/>
      <c r="F285" s="53"/>
      <c r="G285" s="52"/>
      <c r="H285" s="52"/>
      <c r="I285" s="52"/>
      <c r="J285" s="52"/>
      <c r="K285" s="52"/>
      <c r="L285" s="52"/>
      <c r="M285" s="52"/>
      <c r="N285" s="52"/>
      <c r="O285" s="3" t="str">
        <f>IF(ISBLANK(P285),"",MAX(O$5:O284)+1)</f>
        <v/>
      </c>
      <c r="Q285" s="52"/>
      <c r="R285" s="52"/>
      <c r="S285" s="52"/>
      <c r="T285" s="52"/>
      <c r="U285" s="52"/>
      <c r="V285" s="52"/>
      <c r="W285" s="52"/>
      <c r="X285" s="52"/>
      <c r="Y285" s="52"/>
      <c r="Z285" s="52"/>
      <c r="AA285" s="52"/>
      <c r="AB285" s="52"/>
      <c r="AC285" s="52"/>
    </row>
    <row r="286" spans="1:29" s="55" customFormat="1">
      <c r="A286" s="52"/>
      <c r="B286" s="52"/>
      <c r="C286" s="52"/>
      <c r="D286" s="52"/>
      <c r="E286" s="52"/>
      <c r="F286" s="53"/>
      <c r="G286" s="52"/>
      <c r="H286" s="52"/>
      <c r="I286" s="52"/>
      <c r="J286" s="52"/>
      <c r="K286" s="52"/>
      <c r="L286" s="52"/>
      <c r="M286" s="52"/>
      <c r="N286" s="52"/>
      <c r="O286" s="3" t="str">
        <f>IF(ISBLANK(P286),"",MAX(O$5:O285)+1)</f>
        <v/>
      </c>
      <c r="Q286" s="52"/>
      <c r="R286" s="52"/>
      <c r="S286" s="52"/>
      <c r="T286" s="52"/>
      <c r="U286" s="52"/>
      <c r="V286" s="52"/>
      <c r="W286" s="52"/>
      <c r="X286" s="52"/>
      <c r="Y286" s="52"/>
      <c r="Z286" s="52"/>
      <c r="AA286" s="52"/>
      <c r="AB286" s="52"/>
      <c r="AC286" s="52"/>
    </row>
    <row r="287" spans="1:29" s="55" customFormat="1">
      <c r="A287" s="52"/>
      <c r="B287" s="52"/>
      <c r="C287" s="52"/>
      <c r="D287" s="52"/>
      <c r="E287" s="52"/>
      <c r="F287" s="53"/>
      <c r="G287" s="52"/>
      <c r="H287" s="52"/>
      <c r="I287" s="52"/>
      <c r="J287" s="52"/>
      <c r="K287" s="52"/>
      <c r="L287" s="52"/>
      <c r="M287" s="52"/>
      <c r="N287" s="52"/>
      <c r="O287" s="3" t="str">
        <f>IF(ISBLANK(P287),"",MAX(O$5:O286)+1)</f>
        <v/>
      </c>
      <c r="Q287" s="52"/>
      <c r="R287" s="52"/>
      <c r="S287" s="52"/>
      <c r="T287" s="52"/>
      <c r="U287" s="52"/>
      <c r="V287" s="52"/>
      <c r="W287" s="52"/>
      <c r="X287" s="52"/>
      <c r="Y287" s="52"/>
      <c r="Z287" s="52"/>
      <c r="AA287" s="52"/>
      <c r="AB287" s="52"/>
      <c r="AC287" s="52"/>
    </row>
    <row r="288" spans="1:29" s="55" customFormat="1">
      <c r="A288" s="52"/>
      <c r="B288" s="52"/>
      <c r="C288" s="52"/>
      <c r="D288" s="52"/>
      <c r="E288" s="52"/>
      <c r="F288" s="53"/>
      <c r="G288" s="52"/>
      <c r="H288" s="52"/>
      <c r="I288" s="52"/>
      <c r="J288" s="52"/>
      <c r="K288" s="52"/>
      <c r="L288" s="52"/>
      <c r="M288" s="52"/>
      <c r="N288" s="52"/>
      <c r="O288" s="3" t="str">
        <f>IF(ISBLANK(P288),"",MAX(O$5:O287)+1)</f>
        <v/>
      </c>
      <c r="Q288" s="52"/>
      <c r="R288" s="52"/>
      <c r="S288" s="52"/>
      <c r="T288" s="52"/>
      <c r="U288" s="52"/>
      <c r="V288" s="52"/>
      <c r="W288" s="52"/>
      <c r="X288" s="52"/>
      <c r="Y288" s="52"/>
      <c r="Z288" s="52"/>
      <c r="AA288" s="52"/>
      <c r="AB288" s="52"/>
      <c r="AC288" s="52"/>
    </row>
    <row r="289" spans="1:29" s="55" customFormat="1">
      <c r="A289" s="52"/>
      <c r="B289" s="52"/>
      <c r="C289" s="52"/>
      <c r="D289" s="52"/>
      <c r="E289" s="52"/>
      <c r="F289" s="53"/>
      <c r="G289" s="52"/>
      <c r="H289" s="52"/>
      <c r="I289" s="52"/>
      <c r="J289" s="52"/>
      <c r="K289" s="52"/>
      <c r="L289" s="52"/>
      <c r="M289" s="52"/>
      <c r="N289" s="52"/>
      <c r="O289" s="3" t="str">
        <f>IF(ISBLANK(P289),"",MAX(O$5:O288)+1)</f>
        <v/>
      </c>
      <c r="Q289" s="52"/>
      <c r="R289" s="52"/>
      <c r="S289" s="52"/>
      <c r="T289" s="52"/>
      <c r="U289" s="52"/>
      <c r="V289" s="52"/>
      <c r="W289" s="52"/>
      <c r="X289" s="52"/>
      <c r="Y289" s="52"/>
      <c r="Z289" s="52"/>
      <c r="AA289" s="52"/>
      <c r="AB289" s="52"/>
      <c r="AC289" s="52"/>
    </row>
    <row r="290" spans="1:29" s="55" customFormat="1">
      <c r="A290" s="52"/>
      <c r="B290" s="52"/>
      <c r="C290" s="52"/>
      <c r="D290" s="52"/>
      <c r="E290" s="52"/>
      <c r="F290" s="53"/>
      <c r="G290" s="52"/>
      <c r="H290" s="52"/>
      <c r="I290" s="52"/>
      <c r="J290" s="52"/>
      <c r="K290" s="52"/>
      <c r="L290" s="52"/>
      <c r="M290" s="52"/>
      <c r="N290" s="52"/>
      <c r="O290" s="3" t="str">
        <f>IF(ISBLANK(P290),"",MAX(O$5:O289)+1)</f>
        <v/>
      </c>
      <c r="Q290" s="52"/>
      <c r="R290" s="52"/>
      <c r="S290" s="52"/>
      <c r="T290" s="52"/>
      <c r="U290" s="52"/>
      <c r="V290" s="52"/>
      <c r="W290" s="52"/>
      <c r="X290" s="52"/>
      <c r="Y290" s="52"/>
      <c r="Z290" s="52"/>
      <c r="AA290" s="52"/>
      <c r="AB290" s="52"/>
      <c r="AC290" s="52"/>
    </row>
    <row r="291" spans="1:29" s="55" customFormat="1">
      <c r="A291" s="52"/>
      <c r="B291" s="52"/>
      <c r="C291" s="52"/>
      <c r="D291" s="52"/>
      <c r="E291" s="52"/>
      <c r="F291" s="53"/>
      <c r="G291" s="52"/>
      <c r="H291" s="52"/>
      <c r="I291" s="52"/>
      <c r="J291" s="52"/>
      <c r="K291" s="52"/>
      <c r="L291" s="52"/>
      <c r="M291" s="52"/>
      <c r="N291" s="52"/>
      <c r="O291" s="3" t="str">
        <f>IF(ISBLANK(P291),"",MAX(O$5:O290)+1)</f>
        <v/>
      </c>
      <c r="Q291" s="52"/>
      <c r="R291" s="52"/>
      <c r="S291" s="52"/>
      <c r="T291" s="52"/>
      <c r="U291" s="52"/>
      <c r="V291" s="52"/>
      <c r="W291" s="52"/>
      <c r="X291" s="52"/>
      <c r="Y291" s="52"/>
      <c r="Z291" s="52"/>
      <c r="AA291" s="52"/>
      <c r="AB291" s="52"/>
      <c r="AC291" s="52"/>
    </row>
    <row r="292" spans="1:29" s="55" customFormat="1">
      <c r="A292" s="52"/>
      <c r="B292" s="52"/>
      <c r="C292" s="52"/>
      <c r="D292" s="52"/>
      <c r="E292" s="52"/>
      <c r="F292" s="53"/>
      <c r="G292" s="52"/>
      <c r="H292" s="52"/>
      <c r="I292" s="52"/>
      <c r="J292" s="52"/>
      <c r="K292" s="52"/>
      <c r="L292" s="52"/>
      <c r="M292" s="52"/>
      <c r="N292" s="52"/>
      <c r="O292" s="3" t="str">
        <f>IF(ISBLANK(P292),"",MAX(O$5:O291)+1)</f>
        <v/>
      </c>
      <c r="Q292" s="52"/>
      <c r="R292" s="52"/>
      <c r="S292" s="52"/>
      <c r="T292" s="52"/>
      <c r="U292" s="52"/>
      <c r="V292" s="52"/>
      <c r="W292" s="52"/>
      <c r="X292" s="52"/>
      <c r="Y292" s="52"/>
      <c r="Z292" s="52"/>
      <c r="AA292" s="52"/>
      <c r="AB292" s="52"/>
      <c r="AC292" s="52"/>
    </row>
    <row r="293" spans="1:29" s="55" customFormat="1">
      <c r="A293" s="52"/>
      <c r="B293" s="52"/>
      <c r="C293" s="52"/>
      <c r="D293" s="52"/>
      <c r="E293" s="52"/>
      <c r="F293" s="53"/>
      <c r="G293" s="52"/>
      <c r="H293" s="52"/>
      <c r="I293" s="52"/>
      <c r="J293" s="52"/>
      <c r="K293" s="52"/>
      <c r="L293" s="52"/>
      <c r="M293" s="52"/>
      <c r="N293" s="52"/>
      <c r="O293" s="3" t="str">
        <f>IF(ISBLANK(P293),"",MAX(O$5:O292)+1)</f>
        <v/>
      </c>
      <c r="Q293" s="52"/>
      <c r="R293" s="52"/>
      <c r="S293" s="52"/>
      <c r="T293" s="52"/>
      <c r="U293" s="52"/>
      <c r="V293" s="52"/>
      <c r="W293" s="52"/>
      <c r="X293" s="52"/>
      <c r="Y293" s="52"/>
      <c r="Z293" s="52"/>
      <c r="AA293" s="52"/>
      <c r="AB293" s="52"/>
      <c r="AC293" s="52"/>
    </row>
    <row r="294" spans="1:29">
      <c r="O294" s="3">
        <f>IF(ISBLANK(P294),"",MAX(O$5:O293)+1)</f>
        <v>78</v>
      </c>
      <c r="P294" s="4" t="s">
        <v>123</v>
      </c>
    </row>
    <row r="295" spans="1:29">
      <c r="O295" s="3" t="str">
        <f>IF(ISBLANK(P295),"",MAX(O$5:O294)+1)</f>
        <v/>
      </c>
    </row>
    <row r="296" spans="1:29">
      <c r="O296" s="3" t="str">
        <f>IF(ISBLANK(P296),"",MAX(O$5:O295)+1)</f>
        <v/>
      </c>
    </row>
    <row r="297" spans="1:29" s="55" customFormat="1">
      <c r="A297" s="52"/>
      <c r="B297" s="52"/>
      <c r="C297" s="52"/>
      <c r="D297" s="52"/>
      <c r="E297" s="52"/>
      <c r="F297" s="53"/>
      <c r="G297" s="52"/>
      <c r="H297" s="52"/>
      <c r="I297" s="52"/>
      <c r="J297" s="52"/>
      <c r="K297" s="52"/>
      <c r="L297" s="52"/>
      <c r="M297" s="52"/>
      <c r="N297" s="52"/>
      <c r="O297" s="3" t="str">
        <f>IF(ISBLANK(P297),"",MAX(O$5:O296)+1)</f>
        <v/>
      </c>
      <c r="Q297" s="52"/>
      <c r="R297" s="52"/>
      <c r="S297" s="52"/>
      <c r="T297" s="52"/>
      <c r="U297" s="52"/>
      <c r="V297" s="52"/>
      <c r="W297" s="52"/>
      <c r="X297" s="52"/>
      <c r="Y297" s="52"/>
      <c r="Z297" s="52"/>
      <c r="AA297" s="52"/>
      <c r="AB297" s="52"/>
      <c r="AC297" s="52"/>
    </row>
    <row r="298" spans="1:29" s="55" customFormat="1">
      <c r="A298" s="52"/>
      <c r="B298" s="52"/>
      <c r="C298" s="52"/>
      <c r="D298" s="52"/>
      <c r="E298" s="52"/>
      <c r="F298" s="53"/>
      <c r="G298" s="52"/>
      <c r="H298" s="52"/>
      <c r="I298" s="52"/>
      <c r="J298" s="52"/>
      <c r="K298" s="52"/>
      <c r="L298" s="52"/>
      <c r="M298" s="52"/>
      <c r="N298" s="52"/>
      <c r="O298" s="3" t="str">
        <f>IF(ISBLANK(P298),"",MAX(O$5:O297)+1)</f>
        <v/>
      </c>
      <c r="Q298" s="52"/>
      <c r="R298" s="52"/>
      <c r="S298" s="52"/>
      <c r="T298" s="52"/>
      <c r="U298" s="52"/>
      <c r="V298" s="52"/>
      <c r="W298" s="52"/>
      <c r="X298" s="52"/>
      <c r="Y298" s="52"/>
      <c r="Z298" s="52"/>
      <c r="AA298" s="52"/>
      <c r="AB298" s="52"/>
      <c r="AC298" s="52"/>
    </row>
    <row r="299" spans="1:29" s="55" customFormat="1">
      <c r="A299" s="52"/>
      <c r="B299" s="52"/>
      <c r="C299" s="52"/>
      <c r="D299" s="52"/>
      <c r="E299" s="52"/>
      <c r="F299" s="53"/>
      <c r="G299" s="52"/>
      <c r="H299" s="52"/>
      <c r="I299" s="52"/>
      <c r="J299" s="52"/>
      <c r="K299" s="52"/>
      <c r="L299" s="52"/>
      <c r="M299" s="52"/>
      <c r="N299" s="52"/>
      <c r="O299" s="3" t="str">
        <f>IF(ISBLANK(P299),"",MAX(O$5:O298)+1)</f>
        <v/>
      </c>
      <c r="Q299" s="52"/>
      <c r="R299" s="52"/>
      <c r="S299" s="52"/>
      <c r="T299" s="52"/>
      <c r="U299" s="52"/>
      <c r="V299" s="52"/>
      <c r="W299" s="52"/>
      <c r="X299" s="52"/>
      <c r="Y299" s="52"/>
      <c r="Z299" s="52"/>
      <c r="AA299" s="52"/>
      <c r="AB299" s="52"/>
      <c r="AC299" s="52"/>
    </row>
    <row r="300" spans="1:29" s="55" customFormat="1">
      <c r="F300" s="53"/>
      <c r="G300" s="52"/>
      <c r="H300" s="52"/>
      <c r="I300" s="52"/>
      <c r="J300" s="52"/>
      <c r="K300" s="52"/>
      <c r="L300" s="52"/>
      <c r="M300" s="52"/>
      <c r="N300" s="52"/>
      <c r="O300" s="3" t="str">
        <f>IF(ISBLANK(P300),"",MAX(O$5:O299)+1)</f>
        <v/>
      </c>
    </row>
    <row r="301" spans="1:29" s="55" customFormat="1">
      <c r="F301" s="53"/>
      <c r="G301" s="52"/>
      <c r="H301" s="52"/>
      <c r="I301" s="52"/>
      <c r="J301" s="52"/>
      <c r="K301" s="52"/>
      <c r="L301" s="52"/>
      <c r="M301" s="52"/>
      <c r="N301" s="52"/>
      <c r="O301" s="3" t="str">
        <f>IF(ISBLANK(P301),"",MAX(O$5:O300)+1)</f>
        <v/>
      </c>
    </row>
    <row r="302" spans="1:29" s="55" customFormat="1">
      <c r="F302" s="53"/>
      <c r="G302" s="52"/>
      <c r="H302" s="52"/>
      <c r="I302" s="52"/>
      <c r="J302" s="52"/>
      <c r="K302" s="52"/>
      <c r="L302" s="52"/>
      <c r="M302" s="52"/>
      <c r="N302" s="52"/>
      <c r="O302" s="3" t="str">
        <f>IF(ISBLANK(P302),"",MAX(O$5:O301)+1)</f>
        <v/>
      </c>
    </row>
    <row r="303" spans="1:29" s="55" customFormat="1">
      <c r="F303" s="53"/>
      <c r="G303" s="52"/>
      <c r="H303" s="52"/>
      <c r="I303" s="52"/>
      <c r="J303" s="52"/>
      <c r="K303" s="52"/>
      <c r="L303" s="52"/>
      <c r="M303" s="52"/>
      <c r="N303" s="52"/>
      <c r="O303" s="3" t="str">
        <f>IF(ISBLANK(P303),"",MAX(O$5:O302)+1)</f>
        <v/>
      </c>
    </row>
    <row r="304" spans="1:29" s="55" customFormat="1">
      <c r="F304" s="53"/>
      <c r="G304" s="52"/>
      <c r="H304" s="52"/>
      <c r="I304" s="52"/>
      <c r="J304" s="52"/>
      <c r="K304" s="52"/>
      <c r="L304" s="52"/>
      <c r="M304" s="52"/>
      <c r="N304" s="52"/>
      <c r="O304" s="3" t="str">
        <f>IF(ISBLANK(P304),"",MAX(O$5:O303)+1)</f>
        <v/>
      </c>
    </row>
    <row r="305" spans="1:29" s="55" customFormat="1">
      <c r="F305" s="53"/>
      <c r="G305" s="52"/>
      <c r="H305" s="52"/>
      <c r="I305" s="52"/>
      <c r="J305" s="52"/>
      <c r="K305" s="52"/>
      <c r="L305" s="52"/>
      <c r="M305" s="52"/>
      <c r="N305" s="52"/>
      <c r="O305" s="3" t="str">
        <f>IF(ISBLANK(P305),"",MAX(O$5:O304)+1)</f>
        <v/>
      </c>
    </row>
    <row r="306" spans="1:29" s="55" customFormat="1">
      <c r="F306" s="53"/>
      <c r="G306" s="52"/>
      <c r="H306" s="52"/>
      <c r="I306" s="52"/>
      <c r="J306" s="52"/>
      <c r="K306" s="52"/>
      <c r="L306" s="52"/>
      <c r="M306" s="52"/>
      <c r="N306" s="52"/>
      <c r="O306" s="3" t="str">
        <f>IF(ISBLANK(P306),"",MAX(O$5:O305)+1)</f>
        <v/>
      </c>
    </row>
    <row r="307" spans="1:29" s="55" customFormat="1">
      <c r="F307" s="53"/>
      <c r="G307" s="52"/>
      <c r="H307" s="52"/>
      <c r="I307" s="52"/>
      <c r="J307" s="52"/>
      <c r="K307" s="52"/>
      <c r="L307" s="52"/>
      <c r="M307" s="52"/>
      <c r="N307" s="52"/>
      <c r="O307" s="3" t="str">
        <f>IF(ISBLANK(P307),"",MAX(O$5:O306)+1)</f>
        <v/>
      </c>
    </row>
    <row r="308" spans="1:29" s="55" customFormat="1">
      <c r="F308" s="53"/>
      <c r="G308" s="52"/>
      <c r="H308" s="52"/>
      <c r="I308" s="52"/>
      <c r="J308" s="52"/>
      <c r="K308" s="52"/>
      <c r="L308" s="52"/>
      <c r="M308" s="52"/>
      <c r="N308" s="52"/>
      <c r="O308" s="3" t="str">
        <f>IF(ISBLANK(P308),"",MAX(O$5:O307)+1)</f>
        <v/>
      </c>
    </row>
    <row r="309" spans="1:29" s="55" customFormat="1">
      <c r="F309" s="53"/>
      <c r="G309" s="52"/>
      <c r="H309" s="52"/>
      <c r="I309" s="52"/>
      <c r="J309" s="52"/>
      <c r="K309" s="52"/>
      <c r="L309" s="52"/>
      <c r="M309" s="52"/>
      <c r="N309" s="52"/>
      <c r="O309" s="3" t="str">
        <f>IF(ISBLANK(P309),"",MAX(O$5:O308)+1)</f>
        <v/>
      </c>
    </row>
    <row r="310" spans="1:29" s="55" customFormat="1">
      <c r="F310" s="53"/>
      <c r="G310" s="52"/>
      <c r="H310" s="52"/>
      <c r="I310" s="52"/>
      <c r="J310" s="52"/>
      <c r="K310" s="52"/>
      <c r="L310" s="52"/>
      <c r="M310" s="52"/>
      <c r="N310" s="52"/>
      <c r="O310" s="3" t="str">
        <f>IF(ISBLANK(P310),"",MAX(O$5:O309)+1)</f>
        <v/>
      </c>
    </row>
    <row r="311" spans="1:29" s="55" customFormat="1">
      <c r="F311" s="53"/>
      <c r="G311" s="52"/>
      <c r="H311" s="52"/>
      <c r="I311" s="52"/>
      <c r="J311" s="52"/>
      <c r="K311" s="52"/>
      <c r="L311" s="52"/>
      <c r="M311" s="52"/>
      <c r="N311" s="52"/>
      <c r="O311" s="3" t="str">
        <f>IF(ISBLANK(P311),"",MAX(O$5:O310)+1)</f>
        <v/>
      </c>
    </row>
    <row r="312" spans="1:29" s="55" customFormat="1">
      <c r="F312" s="53"/>
      <c r="G312" s="52"/>
      <c r="H312" s="52"/>
      <c r="I312" s="52"/>
      <c r="J312" s="52"/>
      <c r="K312" s="52"/>
      <c r="L312" s="52"/>
      <c r="M312" s="52"/>
      <c r="N312" s="52"/>
      <c r="O312" s="3" t="str">
        <f>IF(ISBLANK(P312),"",MAX(O$5:O311)+1)</f>
        <v/>
      </c>
    </row>
    <row r="313" spans="1:29" s="55" customFormat="1">
      <c r="F313" s="53"/>
      <c r="G313" s="52"/>
      <c r="H313" s="52"/>
      <c r="I313" s="52"/>
      <c r="J313" s="52"/>
      <c r="K313" s="52"/>
      <c r="L313" s="52"/>
      <c r="M313" s="52"/>
      <c r="N313" s="52"/>
      <c r="O313" s="3" t="str">
        <f>IF(ISBLANK(P313),"",MAX(O$5:O312)+1)</f>
        <v/>
      </c>
    </row>
    <row r="314" spans="1:29" s="55" customFormat="1">
      <c r="F314" s="53"/>
      <c r="G314" s="52"/>
      <c r="H314" s="52"/>
      <c r="I314" s="52"/>
      <c r="J314" s="52"/>
      <c r="K314" s="52"/>
      <c r="L314" s="52"/>
      <c r="M314" s="52"/>
      <c r="N314" s="52"/>
      <c r="O314" s="3" t="str">
        <f>IF(ISBLANK(P314),"",MAX(O$5:O313)+1)</f>
        <v/>
      </c>
    </row>
    <row r="315" spans="1:29" s="55" customFormat="1">
      <c r="F315" s="53"/>
      <c r="G315" s="52"/>
      <c r="H315" s="52"/>
      <c r="I315" s="52"/>
      <c r="J315" s="52"/>
      <c r="K315" s="52"/>
      <c r="L315" s="52"/>
      <c r="M315" s="52"/>
      <c r="N315" s="52"/>
      <c r="O315" s="3" t="str">
        <f>IF(ISBLANK(P315),"",MAX(O$5:O314)+1)</f>
        <v/>
      </c>
    </row>
    <row r="316" spans="1:29" s="55" customFormat="1">
      <c r="A316" s="52"/>
      <c r="B316" s="52"/>
      <c r="C316" s="52"/>
      <c r="D316" s="52"/>
      <c r="E316" s="52"/>
      <c r="F316" s="53"/>
      <c r="G316" s="52"/>
      <c r="H316" s="52"/>
      <c r="I316" s="52"/>
      <c r="J316" s="52"/>
      <c r="K316" s="52"/>
      <c r="L316" s="52"/>
      <c r="M316" s="52"/>
      <c r="N316" s="52"/>
      <c r="O316" s="3" t="str">
        <f>IF(ISBLANK(P316),"",MAX(O$5:O315)+1)</f>
        <v/>
      </c>
      <c r="Q316" s="52"/>
      <c r="R316" s="52"/>
      <c r="S316" s="52"/>
      <c r="T316" s="52"/>
      <c r="U316" s="52"/>
      <c r="V316" s="52"/>
      <c r="W316" s="52"/>
      <c r="X316" s="52"/>
      <c r="Y316" s="52"/>
      <c r="Z316" s="52"/>
      <c r="AA316" s="52"/>
      <c r="AB316" s="52"/>
      <c r="AC316" s="52"/>
    </row>
    <row r="317" spans="1:29">
      <c r="O317" s="3" t="str">
        <f>IF(ISBLANK(P317),"",MAX(O$5:O316)+1)</f>
        <v/>
      </c>
    </row>
    <row r="318" spans="1:29">
      <c r="O318" s="3" t="str">
        <f>IF(ISBLANK(P318),"",MAX(O$5:O317)+1)</f>
        <v/>
      </c>
    </row>
    <row r="319" spans="1:29">
      <c r="O319" s="3" t="str">
        <f>IF(ISBLANK(P319),"",MAX(O$5:O318)+1)</f>
        <v/>
      </c>
    </row>
    <row r="320" spans="1:29">
      <c r="O320" s="3" t="str">
        <f>IF(ISBLANK(P320),"",MAX(O$5:O319)+1)</f>
        <v/>
      </c>
    </row>
    <row r="321" spans="2:29">
      <c r="O321" s="3" t="str">
        <f>IF(ISBLANK(P321),"",MAX(O$5:O320)+1)</f>
        <v/>
      </c>
    </row>
    <row r="322" spans="2:29">
      <c r="O322" s="3" t="str">
        <f>IF(ISBLANK(P322),"",MAX(O$5:O321)+1)</f>
        <v/>
      </c>
    </row>
    <row r="323" spans="2:29">
      <c r="O323" s="3" t="str">
        <f>IF(ISBLANK(P323),"",MAX(O$5:O322)+1)</f>
        <v/>
      </c>
    </row>
    <row r="324" spans="2:29">
      <c r="O324" s="3" t="str">
        <f>IF(ISBLANK(P324),"",MAX(O$5:O323)+1)</f>
        <v/>
      </c>
    </row>
    <row r="325" spans="2:29">
      <c r="B325" s="1" t="s">
        <v>144</v>
      </c>
      <c r="C325" s="100"/>
      <c r="D325" s="100"/>
      <c r="E325" s="100"/>
      <c r="O325" s="3">
        <f>IF(ISBLANK(P325),"",MAX(O$5:O324)+1)</f>
        <v>79</v>
      </c>
      <c r="P325" s="55" t="s">
        <v>145</v>
      </c>
    </row>
    <row r="326" spans="2:29" outlineLevel="1">
      <c r="B326" s="12" t="s">
        <v>96</v>
      </c>
      <c r="C326" s="33"/>
      <c r="D326" s="33"/>
      <c r="E326" s="33"/>
      <c r="O326" s="3">
        <f>IF(ISBLANK(P326),"",MAX(O$5:O325)+1)</f>
        <v>80</v>
      </c>
      <c r="P326" s="55" t="s">
        <v>97</v>
      </c>
    </row>
    <row r="327" spans="2:29" outlineLevel="1">
      <c r="B327" s="80" t="s">
        <v>46</v>
      </c>
      <c r="C327" s="80"/>
      <c r="D327" s="80"/>
      <c r="E327" s="80"/>
      <c r="O327" s="3" t="str">
        <f>IF(ISBLANK(P327),"",MAX(O$5:O326)+1)</f>
        <v/>
      </c>
    </row>
    <row r="328" spans="2:29" outlineLevel="1">
      <c r="B328" s="80" t="s">
        <v>98</v>
      </c>
      <c r="C328" s="80"/>
      <c r="D328" s="80"/>
      <c r="E328" s="80"/>
      <c r="O328" s="3" t="str">
        <f>IF(ISBLANK(P328),"",MAX(O$5:O327)+1)</f>
        <v/>
      </c>
    </row>
    <row r="329" spans="2:29" outlineLevel="1">
      <c r="B329" s="80" t="s">
        <v>99</v>
      </c>
      <c r="C329" s="80"/>
      <c r="D329" s="80"/>
      <c r="E329" s="80"/>
      <c r="O329" s="3" t="str">
        <f>IF(ISBLANK(P329),"",MAX(O$5:O328)+1)</f>
        <v/>
      </c>
    </row>
    <row r="330" spans="2:29" outlineLevel="1">
      <c r="B330" s="5"/>
      <c r="C330" s="30"/>
      <c r="D330" s="30"/>
      <c r="E330" s="30"/>
      <c r="O330" s="3" t="str">
        <f>IF(ISBLANK(P330),"",MAX(O$5:O329)+1)</f>
        <v/>
      </c>
    </row>
    <row r="331" spans="2:29" outlineLevel="1">
      <c r="B331" s="12" t="s">
        <v>100</v>
      </c>
      <c r="C331" s="33"/>
      <c r="D331" s="33"/>
      <c r="E331" s="33"/>
      <c r="O331" s="3">
        <f>IF(ISBLANK(P331),"",MAX(O$5:O330)+1)</f>
        <v>81</v>
      </c>
      <c r="P331" s="55" t="s">
        <v>101</v>
      </c>
    </row>
    <row r="332" spans="2:29" outlineLevel="1">
      <c r="B332" s="5" t="s">
        <v>102</v>
      </c>
      <c r="C332" s="30"/>
      <c r="D332" s="30"/>
      <c r="E332" s="30"/>
      <c r="O332" s="3" t="str">
        <f>IF(ISBLANK(P332),"",MAX(O$5:O331)+1)</f>
        <v/>
      </c>
    </row>
    <row r="333" spans="2:29" outlineLevel="1">
      <c r="B333" s="5" t="s">
        <v>103</v>
      </c>
      <c r="C333" s="30"/>
      <c r="D333" s="30"/>
      <c r="E333" s="30"/>
      <c r="O333" s="3" t="str">
        <f>IF(ISBLANK(P333),"",MAX(O$5:O332)+1)</f>
        <v/>
      </c>
    </row>
    <row r="334" spans="2:29" s="55" customFormat="1" outlineLevel="1">
      <c r="B334" s="5" t="s">
        <v>104</v>
      </c>
      <c r="C334" s="30"/>
      <c r="D334" s="30"/>
      <c r="E334" s="30"/>
      <c r="F334" s="53"/>
      <c r="G334" s="52"/>
      <c r="H334" s="52"/>
      <c r="I334" s="52"/>
      <c r="J334" s="52"/>
      <c r="K334" s="52"/>
      <c r="L334" s="52"/>
      <c r="M334" s="52"/>
      <c r="N334" s="52"/>
      <c r="O334" s="3" t="str">
        <f>IF(ISBLANK(P334),"",MAX(O$5:O333)+1)</f>
        <v/>
      </c>
      <c r="Q334" s="52"/>
      <c r="R334" s="52"/>
      <c r="S334" s="52"/>
      <c r="T334" s="52"/>
      <c r="U334" s="52"/>
      <c r="V334" s="52"/>
      <c r="W334" s="52"/>
      <c r="X334" s="52"/>
      <c r="Y334" s="52"/>
      <c r="Z334" s="52"/>
      <c r="AA334" s="52"/>
      <c r="AB334" s="52"/>
      <c r="AC334" s="52"/>
    </row>
    <row r="335" spans="2:29" s="55" customFormat="1" outlineLevel="1">
      <c r="B335" s="52"/>
      <c r="C335" s="52"/>
      <c r="D335" s="52"/>
      <c r="E335" s="52"/>
      <c r="F335" s="53"/>
      <c r="G335" s="52"/>
      <c r="H335" s="52"/>
      <c r="I335" s="52"/>
      <c r="J335" s="52"/>
      <c r="K335" s="52"/>
      <c r="L335" s="52"/>
      <c r="M335" s="52"/>
      <c r="N335" s="52"/>
      <c r="O335" s="3" t="str">
        <f>IF(ISBLANK(P335),"",MAX(O$5:O334)+1)</f>
        <v/>
      </c>
      <c r="Q335" s="52"/>
      <c r="R335" s="52"/>
      <c r="S335" s="52"/>
      <c r="T335" s="52"/>
      <c r="U335" s="52"/>
      <c r="V335" s="52"/>
      <c r="W335" s="52"/>
      <c r="X335" s="52"/>
      <c r="Y335" s="52"/>
      <c r="Z335" s="52"/>
      <c r="AA335" s="52"/>
      <c r="AB335" s="52"/>
      <c r="AC335" s="52"/>
    </row>
  </sheetData>
  <conditionalFormatting sqref="G9">
    <cfRule type="expression" dxfId="0" priority="4">
      <formula>SUM(G212:M212)&lt;&gt;0</formula>
    </cfRule>
  </conditionalFormatting>
  <conditionalFormatting sqref="G215:N219">
    <cfRule type="colorScale" priority="3">
      <colorScale>
        <cfvo type="min"/>
        <cfvo type="percentile" val="50"/>
        <cfvo type="max"/>
        <color theme="0"/>
        <color rgb="FFFFEB84"/>
        <color rgb="FF63BE7B"/>
      </colorScale>
    </cfRule>
  </conditionalFormatting>
  <conditionalFormatting sqref="G224:N228">
    <cfRule type="colorScale" priority="2">
      <colorScale>
        <cfvo type="min"/>
        <cfvo type="percentile" val="50"/>
        <cfvo type="max"/>
        <color theme="0"/>
        <color rgb="FFFFEB84"/>
        <color rgb="FF63BE7B"/>
      </colorScale>
    </cfRule>
  </conditionalFormatting>
  <conditionalFormatting sqref="G240:N247">
    <cfRule type="colorScale" priority="1">
      <colorScale>
        <cfvo type="min"/>
        <cfvo type="percentile" val="50"/>
        <cfvo type="max"/>
        <color theme="0"/>
        <color rgb="FFFFEB84"/>
        <color rgb="FF63BE7B"/>
      </colorScale>
    </cfRule>
  </conditionalFormatting>
  <dataValidations count="4">
    <dataValidation type="list" allowBlank="1" showInputMessage="1" showErrorMessage="1" sqref="G8" xr:uid="{8E971240-8513-624D-80FB-D9E098F7E2CD}">
      <formula1>"no,yes"</formula1>
    </dataValidation>
    <dataValidation type="list" allowBlank="1" showInputMessage="1" showErrorMessage="1" sqref="G46:J46" xr:uid="{EA9C1B72-C6F3-4B43-AE76-59FDBAAEA98C}">
      <formula1>$B$327:$B$329</formula1>
    </dataValidation>
    <dataValidation type="list" allowBlank="1" showInputMessage="1" showErrorMessage="1" sqref="G68:L69" xr:uid="{76B6C810-7518-DC48-A8D1-5ED13A626930}">
      <formula1>$G$67:$M$67</formula1>
    </dataValidation>
    <dataValidation type="list" allowBlank="1" showInputMessage="1" showErrorMessage="1" sqref="G52:J52" xr:uid="{C53FC1DB-8C5E-1147-AA99-F23514CBC63B}">
      <formula1>$B$332:$B$334</formula1>
    </dataValidation>
  </dataValidations>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9B4AB-F6DB-FB4C-B2B6-E10479D4F7B5}">
  <sheetPr codeName="Sheet3"/>
  <dimension ref="B2:B19"/>
  <sheetViews>
    <sheetView showGridLines="0" workbookViewId="0">
      <pane ySplit="2" topLeftCell="A3" activePane="bottomLeft" state="frozen"/>
      <selection activeCell="B9" sqref="B9"/>
      <selection pane="bottomLeft" activeCell="B3" sqref="B3"/>
    </sheetView>
  </sheetViews>
  <sheetFormatPr baseColWidth="10" defaultColWidth="9" defaultRowHeight="21"/>
  <cols>
    <col min="1" max="1" width="3" style="48" customWidth="1"/>
    <col min="2" max="2" width="160" style="51" customWidth="1"/>
    <col min="3" max="8" width="13.5" style="48" customWidth="1"/>
    <col min="9" max="10" width="12" style="48" customWidth="1"/>
    <col min="11" max="18" width="10.5" style="48" customWidth="1"/>
    <col min="19" max="23" width="12" style="48" customWidth="1"/>
    <col min="24" max="26" width="10.5" style="48" customWidth="1"/>
    <col min="27" max="27" width="12.83203125" style="48" bestFit="1" customWidth="1"/>
    <col min="28" max="16384" width="9" style="48"/>
  </cols>
  <sheetData>
    <row r="2" spans="2:2">
      <c r="B2" s="49" t="s">
        <v>186</v>
      </c>
    </row>
    <row r="4" spans="2:2" s="98" customFormat="1">
      <c r="B4" s="49" t="s">
        <v>226</v>
      </c>
    </row>
    <row r="5" spans="2:2" s="98" customFormat="1" ht="44">
      <c r="B5" s="50" t="s">
        <v>227</v>
      </c>
    </row>
    <row r="6" spans="2:2" s="98" customFormat="1" ht="22">
      <c r="B6" s="50" t="s">
        <v>228</v>
      </c>
    </row>
    <row r="7" spans="2:2" s="98" customFormat="1" ht="17">
      <c r="B7" s="99"/>
    </row>
    <row r="8" spans="2:2">
      <c r="B8" s="49" t="s">
        <v>216</v>
      </c>
    </row>
    <row r="9" spans="2:2" ht="88">
      <c r="B9" s="50" t="s">
        <v>217</v>
      </c>
    </row>
    <row r="11" spans="2:2">
      <c r="B11" s="49" t="s">
        <v>190</v>
      </c>
    </row>
    <row r="12" spans="2:2" ht="22">
      <c r="B12" s="50" t="s">
        <v>191</v>
      </c>
    </row>
    <row r="13" spans="2:2" ht="22">
      <c r="B13" s="50" t="s">
        <v>192</v>
      </c>
    </row>
    <row r="14" spans="2:2" ht="22">
      <c r="B14" s="50" t="s">
        <v>193</v>
      </c>
    </row>
    <row r="16" spans="2:2">
      <c r="B16" s="49" t="s">
        <v>187</v>
      </c>
    </row>
    <row r="17" spans="2:2" ht="22">
      <c r="B17" s="50" t="s">
        <v>189</v>
      </c>
    </row>
    <row r="18" spans="2:2">
      <c r="B18" s="50"/>
    </row>
    <row r="19" spans="2:2" ht="22">
      <c r="B19" s="50" t="s">
        <v>188</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README</vt:lpstr>
      <vt:lpstr>License</vt:lpstr>
      <vt:lpstr>Exit Waterfall</vt:lpstr>
      <vt:lpstr>Changelog</vt:lpstr>
      <vt:lpstr>README!Print_Area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Davidson</dc:creator>
  <cp:lastModifiedBy>Taylor Davidson</cp:lastModifiedBy>
  <dcterms:created xsi:type="dcterms:W3CDTF">2020-04-01T10:53:12Z</dcterms:created>
  <dcterms:modified xsi:type="dcterms:W3CDTF">2020-05-29T17:53:59Z</dcterms:modified>
</cp:coreProperties>
</file>