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taylordavidson/Documents/dev/cap-table-tool/"/>
    </mc:Choice>
  </mc:AlternateContent>
  <xr:revisionPtr revIDLastSave="0" documentId="13_ncr:1_{3A264833-60F9-8148-AD42-901B5484F08B}" xr6:coauthVersionLast="45" xr6:coauthVersionMax="45" xr10:uidLastSave="{00000000-0000-0000-0000-000000000000}"/>
  <bookViews>
    <workbookView xWindow="0" yWindow="460" windowWidth="27080" windowHeight="16000" tabRatio="654" xr2:uid="{00000000-000D-0000-FFFF-FFFF00000000}"/>
  </bookViews>
  <sheets>
    <sheet name="README" sheetId="8" r:id="rId1"/>
    <sheet name="Disclaimer" sheetId="31" r:id="rId2"/>
    <sheet name="Support" sheetId="32" r:id="rId3"/>
    <sheet name="Summary" sheetId="28" r:id="rId4"/>
    <sheet name="Cap Table" sheetId="29" r:id="rId5"/>
    <sheet name="Exit Waterfall" sheetId="30" r:id="rId6"/>
    <sheet name="1 - Equity Issuance" sheetId="10" r:id="rId7"/>
    <sheet name="1 - Equity Issuance, 2nd Round" sheetId="11" r:id="rId8"/>
    <sheet name="2 - Premoney Option Pool" sheetId="14" r:id="rId9"/>
    <sheet name="2 - Postmoney Option Pool" sheetId="15" r:id="rId10"/>
    <sheet name="2 - Option Pool, 2nd Round" sheetId="21" r:id="rId11"/>
    <sheet name="3 - Convertible Issuance" sheetId="12" r:id="rId12"/>
    <sheet name="3 - Conversion, Premoney" sheetId="13" r:id="rId13"/>
    <sheet name="3 - Conversion, Postmoney" sheetId="33" r:id="rId14"/>
    <sheet name="3 - Conversion, % Ownership" sheetId="16" r:id="rId15"/>
    <sheet name="3 - Conversion, $ Invested" sheetId="17" r:id="rId16"/>
    <sheet name="4 - Option Pool + Conversion" sheetId="27" r:id="rId17"/>
    <sheet name="5 - Exit Waterfall Distribution" sheetId="20" r:id="rId18"/>
    <sheet name="6 - VC Valuation" sheetId="24" r:id="rId19"/>
    <sheet name="Changelog" sheetId="5" r:id="rId20"/>
  </sheets>
  <definedNames>
    <definedName name="_xlnm.Print_Area" localSheetId="0">README!$B$2:$B$89</definedName>
    <definedName name="solver_eng" localSheetId="7" hidden="1">1</definedName>
    <definedName name="solver_lin" localSheetId="7" hidden="1">2</definedName>
    <definedName name="solver_neg" localSheetId="7" hidden="1">1</definedName>
    <definedName name="solver_num" localSheetId="7" hidden="1">0</definedName>
    <definedName name="solver_opt" localSheetId="7" hidden="1">'1 - Equity Issuance, 2nd Round'!$M$14</definedName>
    <definedName name="solver_typ" localSheetId="7" hidden="1">1</definedName>
    <definedName name="solver_val" localSheetId="7" hidden="1">0</definedName>
    <definedName name="solver_ver" localSheetId="7" hidden="1">2</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N56" i="29" l="1"/>
  <c r="FN55" i="29"/>
  <c r="FN54" i="29"/>
  <c r="FN53" i="29"/>
  <c r="FN52" i="29"/>
  <c r="FN51" i="29"/>
  <c r="FN50" i="29"/>
  <c r="FN49" i="29"/>
  <c r="FN48" i="29"/>
  <c r="FN44" i="29"/>
  <c r="FN43" i="29"/>
  <c r="FN42" i="29"/>
  <c r="FN41" i="29"/>
  <c r="FN40" i="29"/>
  <c r="FN39" i="29"/>
  <c r="FN35" i="29"/>
  <c r="FN34" i="29"/>
  <c r="FN33" i="29"/>
  <c r="FN32" i="29"/>
  <c r="FN28" i="29"/>
  <c r="FN27" i="29"/>
  <c r="FN26" i="29"/>
  <c r="FN25" i="29"/>
  <c r="FN24" i="29"/>
  <c r="FN23" i="29"/>
  <c r="FN22" i="29"/>
  <c r="FN21" i="29"/>
  <c r="FN20" i="29"/>
  <c r="FN19" i="29"/>
  <c r="FN18" i="29"/>
  <c r="FN17" i="29"/>
  <c r="FN16" i="29"/>
  <c r="FN15" i="29"/>
  <c r="FN14" i="29"/>
  <c r="FN13" i="29"/>
  <c r="FN12" i="29"/>
  <c r="FN11" i="29"/>
  <c r="FN10" i="29"/>
  <c r="FN9" i="29"/>
  <c r="FN8" i="29"/>
  <c r="FN7" i="29"/>
  <c r="FN6" i="29"/>
  <c r="FS56" i="29"/>
  <c r="FS55" i="29"/>
  <c r="FS54" i="29"/>
  <c r="FS53" i="29"/>
  <c r="FS52" i="29"/>
  <c r="FS51" i="29"/>
  <c r="FS50" i="29"/>
  <c r="FS49" i="29"/>
  <c r="FS48" i="29"/>
  <c r="FS44" i="29"/>
  <c r="FS43" i="29"/>
  <c r="FS42" i="29"/>
  <c r="FS41" i="29"/>
  <c r="FS40" i="29"/>
  <c r="FS39" i="29"/>
  <c r="FS35" i="29"/>
  <c r="FS34" i="29"/>
  <c r="FS33" i="29"/>
  <c r="FS32" i="29"/>
  <c r="FS28" i="29"/>
  <c r="FS27" i="29"/>
  <c r="FS26" i="29"/>
  <c r="FS25" i="29"/>
  <c r="FS24" i="29"/>
  <c r="FS23" i="29"/>
  <c r="FS22" i="29"/>
  <c r="FS21" i="29"/>
  <c r="FS20" i="29"/>
  <c r="FS19" i="29"/>
  <c r="FS18" i="29"/>
  <c r="FS17" i="29"/>
  <c r="FS16" i="29"/>
  <c r="FS15" i="29"/>
  <c r="FS14" i="29"/>
  <c r="FS13" i="29"/>
  <c r="FS12" i="29"/>
  <c r="FS11" i="29"/>
  <c r="FS10" i="29"/>
  <c r="FS9" i="29"/>
  <c r="FS8" i="29"/>
  <c r="FS7" i="29"/>
  <c r="FS6" i="29"/>
  <c r="FR56" i="29"/>
  <c r="FR55" i="29"/>
  <c r="FR54" i="29"/>
  <c r="FR53" i="29"/>
  <c r="FR52" i="29"/>
  <c r="FR51" i="29"/>
  <c r="FR50" i="29"/>
  <c r="FR49" i="29"/>
  <c r="FR48" i="29"/>
  <c r="FR44" i="29"/>
  <c r="FR43" i="29"/>
  <c r="FR42" i="29"/>
  <c r="FR41" i="29"/>
  <c r="FR40" i="29"/>
  <c r="FR39" i="29"/>
  <c r="FR35" i="29"/>
  <c r="FR34" i="29"/>
  <c r="FR33" i="29"/>
  <c r="FR32" i="29"/>
  <c r="FR28" i="29"/>
  <c r="FR27" i="29"/>
  <c r="FR26" i="29"/>
  <c r="FR25" i="29"/>
  <c r="FR24" i="29"/>
  <c r="FR23" i="29"/>
  <c r="FR22" i="29"/>
  <c r="FR21" i="29"/>
  <c r="FR20" i="29"/>
  <c r="FR19" i="29"/>
  <c r="FR18" i="29"/>
  <c r="FR17" i="29"/>
  <c r="FR16" i="29"/>
  <c r="FR15" i="29"/>
  <c r="FR14" i="29"/>
  <c r="FR13" i="29"/>
  <c r="FR12" i="29"/>
  <c r="FR11" i="29"/>
  <c r="FR10" i="29"/>
  <c r="FR9" i="29"/>
  <c r="FR8" i="29"/>
  <c r="FR7" i="29"/>
  <c r="FR6" i="29"/>
  <c r="FQ56" i="29"/>
  <c r="FQ55" i="29"/>
  <c r="FQ54" i="29"/>
  <c r="FQ53" i="29"/>
  <c r="FQ52" i="29"/>
  <c r="FQ51" i="29"/>
  <c r="FQ50" i="29"/>
  <c r="FQ49" i="29"/>
  <c r="FQ48" i="29"/>
  <c r="FQ44" i="29"/>
  <c r="FQ43" i="29"/>
  <c r="FQ42" i="29"/>
  <c r="FQ41" i="29"/>
  <c r="FQ40" i="29"/>
  <c r="FQ39" i="29"/>
  <c r="FQ35" i="29"/>
  <c r="FQ34" i="29"/>
  <c r="FQ33" i="29"/>
  <c r="FQ32" i="29"/>
  <c r="FQ28" i="29"/>
  <c r="FQ27" i="29"/>
  <c r="FQ26" i="29"/>
  <c r="FQ25" i="29"/>
  <c r="FQ24" i="29"/>
  <c r="FQ23" i="29"/>
  <c r="FQ22" i="29"/>
  <c r="FQ21" i="29"/>
  <c r="FQ20" i="29"/>
  <c r="FQ19" i="29"/>
  <c r="FQ18" i="29"/>
  <c r="FQ17" i="29"/>
  <c r="FQ16" i="29"/>
  <c r="FQ15" i="29"/>
  <c r="FQ14" i="29"/>
  <c r="FQ13" i="29"/>
  <c r="FQ12" i="29"/>
  <c r="FQ11" i="29"/>
  <c r="FQ10" i="29"/>
  <c r="FQ9" i="29"/>
  <c r="FQ8" i="29"/>
  <c r="FQ7" i="29"/>
  <c r="FQ6" i="29"/>
  <c r="FM56" i="29"/>
  <c r="FM55" i="29"/>
  <c r="FM54" i="29"/>
  <c r="FM53" i="29"/>
  <c r="FM52" i="29"/>
  <c r="FM51" i="29"/>
  <c r="FM50" i="29"/>
  <c r="FM49" i="29"/>
  <c r="FM48" i="29"/>
  <c r="FM44" i="29"/>
  <c r="FM43" i="29"/>
  <c r="FM42" i="29"/>
  <c r="FM41" i="29"/>
  <c r="FM40" i="29"/>
  <c r="FM39" i="29"/>
  <c r="FM35" i="29"/>
  <c r="FM34" i="29"/>
  <c r="FM33" i="29"/>
  <c r="FM32" i="29"/>
  <c r="FM28" i="29"/>
  <c r="FM27" i="29"/>
  <c r="FM26" i="29"/>
  <c r="FM25" i="29"/>
  <c r="FM24" i="29"/>
  <c r="FM23" i="29"/>
  <c r="FM22" i="29"/>
  <c r="FM21" i="29"/>
  <c r="FM20" i="29"/>
  <c r="FM19" i="29"/>
  <c r="FM18" i="29"/>
  <c r="FM17" i="29"/>
  <c r="FM16" i="29"/>
  <c r="FM15" i="29"/>
  <c r="FM14" i="29"/>
  <c r="FM13" i="29"/>
  <c r="FM12" i="29"/>
  <c r="FM11" i="29"/>
  <c r="FM10" i="29"/>
  <c r="FM9" i="29"/>
  <c r="FM8" i="29"/>
  <c r="FM7" i="29"/>
  <c r="FM6" i="29"/>
  <c r="FL56" i="29"/>
  <c r="FL55" i="29"/>
  <c r="FL54" i="29"/>
  <c r="FL53" i="29"/>
  <c r="FL52" i="29"/>
  <c r="FL51" i="29"/>
  <c r="FL50" i="29"/>
  <c r="FL49" i="29"/>
  <c r="FL48" i="29"/>
  <c r="FL44" i="29"/>
  <c r="FL43" i="29"/>
  <c r="FL42" i="29"/>
  <c r="FL41" i="29"/>
  <c r="FL40" i="29"/>
  <c r="FL39" i="29"/>
  <c r="FL35" i="29"/>
  <c r="FL34" i="29"/>
  <c r="FL33" i="29"/>
  <c r="FL32" i="29"/>
  <c r="FL28" i="29"/>
  <c r="FL27" i="29"/>
  <c r="FL26" i="29"/>
  <c r="FL25" i="29"/>
  <c r="FL24" i="29"/>
  <c r="FL23" i="29"/>
  <c r="FL22" i="29"/>
  <c r="FL21" i="29"/>
  <c r="FL20" i="29"/>
  <c r="FL19" i="29"/>
  <c r="FL18" i="29"/>
  <c r="FL17" i="29"/>
  <c r="FL16" i="29"/>
  <c r="FL15" i="29"/>
  <c r="FL14" i="29"/>
  <c r="FL13" i="29"/>
  <c r="FL12" i="29"/>
  <c r="FL11" i="29"/>
  <c r="FL10" i="29"/>
  <c r="FL9" i="29"/>
  <c r="FL8" i="29"/>
  <c r="FL7" i="29"/>
  <c r="FL6" i="29"/>
  <c r="Q8" i="29" l="1"/>
  <c r="Q7" i="29"/>
  <c r="O14" i="33"/>
  <c r="DY7" i="29" l="1"/>
  <c r="DY8" i="29"/>
  <c r="DY9" i="29"/>
  <c r="DY10" i="29"/>
  <c r="DY11" i="29"/>
  <c r="DY12" i="29"/>
  <c r="DY13" i="29"/>
  <c r="DY14" i="29"/>
  <c r="DY15" i="29"/>
  <c r="DY16" i="29"/>
  <c r="DY17" i="29"/>
  <c r="DY18" i="29"/>
  <c r="DY19" i="29"/>
  <c r="DY20" i="29"/>
  <c r="DY21" i="29"/>
  <c r="DY22" i="29"/>
  <c r="DY23" i="29"/>
  <c r="DY24" i="29"/>
  <c r="DY25" i="29"/>
  <c r="DY26" i="29"/>
  <c r="DY6" i="29"/>
  <c r="DC7" i="29"/>
  <c r="DC8" i="29"/>
  <c r="DC9" i="29"/>
  <c r="DC10" i="29"/>
  <c r="DC11" i="29"/>
  <c r="DC12" i="29"/>
  <c r="DC13" i="29"/>
  <c r="DC14" i="29"/>
  <c r="DC15" i="29"/>
  <c r="DC16" i="29"/>
  <c r="DC17" i="29"/>
  <c r="DC18" i="29"/>
  <c r="DC19" i="29"/>
  <c r="DC20" i="29"/>
  <c r="DC21" i="29"/>
  <c r="DC22" i="29"/>
  <c r="DC23" i="29"/>
  <c r="DC24" i="29"/>
  <c r="DC25" i="29"/>
  <c r="DC26" i="29"/>
  <c r="DC6" i="29"/>
  <c r="CG7" i="29"/>
  <c r="CG8" i="29"/>
  <c r="CG9" i="29"/>
  <c r="CG10" i="29"/>
  <c r="CG11" i="29"/>
  <c r="CG12" i="29"/>
  <c r="CG13" i="29"/>
  <c r="CG14" i="29"/>
  <c r="CG15" i="29"/>
  <c r="CG16" i="29"/>
  <c r="CG17" i="29"/>
  <c r="CG18" i="29"/>
  <c r="CG19" i="29"/>
  <c r="CG20" i="29"/>
  <c r="CG21" i="29"/>
  <c r="CG22" i="29"/>
  <c r="CG23" i="29"/>
  <c r="CG24" i="29"/>
  <c r="CG25" i="29"/>
  <c r="CG26" i="29"/>
  <c r="CG6" i="29"/>
  <c r="BK7" i="29"/>
  <c r="BK8" i="29"/>
  <c r="BK9" i="29"/>
  <c r="BK10" i="29"/>
  <c r="BK11" i="29"/>
  <c r="BK12" i="29"/>
  <c r="BK13" i="29"/>
  <c r="BK14" i="29"/>
  <c r="BK15" i="29"/>
  <c r="BK16" i="29"/>
  <c r="BK17" i="29"/>
  <c r="BK18" i="29"/>
  <c r="BK19" i="29"/>
  <c r="BK20" i="29"/>
  <c r="BK21" i="29"/>
  <c r="BK22" i="29"/>
  <c r="BK23" i="29"/>
  <c r="BK24" i="29"/>
  <c r="BK25" i="29"/>
  <c r="BK26" i="29"/>
  <c r="BK6" i="29"/>
  <c r="AO8" i="29"/>
  <c r="AO9" i="29"/>
  <c r="AO10" i="29"/>
  <c r="AO11" i="29"/>
  <c r="AO12" i="29"/>
  <c r="AO13" i="29"/>
  <c r="AO14" i="29"/>
  <c r="AO15" i="29"/>
  <c r="AO16" i="29"/>
  <c r="AO17" i="29"/>
  <c r="AO18" i="29"/>
  <c r="AO19" i="29"/>
  <c r="AO20" i="29"/>
  <c r="AO21" i="29"/>
  <c r="AO22" i="29"/>
  <c r="AO23" i="29"/>
  <c r="AO24" i="29"/>
  <c r="AO25" i="29"/>
  <c r="AO26" i="29"/>
  <c r="AO6" i="29"/>
  <c r="AO7" i="29"/>
  <c r="EC28" i="29"/>
  <c r="EC27" i="29"/>
  <c r="DG28" i="29"/>
  <c r="DG27" i="29"/>
  <c r="CK28" i="29"/>
  <c r="CK27" i="29"/>
  <c r="BO28" i="29"/>
  <c r="BO27" i="29"/>
  <c r="AS28" i="29"/>
  <c r="AS27" i="29"/>
  <c r="W8" i="29"/>
  <c r="H9" i="29"/>
  <c r="H8" i="29"/>
  <c r="G34" i="21" l="1"/>
  <c r="G31" i="15"/>
  <c r="S41" i="27" l="1"/>
  <c r="G30" i="27"/>
  <c r="G28" i="27" s="1"/>
  <c r="G32" i="27" s="1"/>
  <c r="J11" i="27" s="1"/>
  <c r="K11" i="27" s="1"/>
  <c r="R21" i="27"/>
  <c r="S25" i="27" s="1"/>
  <c r="G39" i="27"/>
  <c r="S39" i="27"/>
  <c r="S15" i="27"/>
  <c r="S14" i="27"/>
  <c r="S44" i="27"/>
  <c r="G32" i="33"/>
  <c r="S32" i="33" s="1"/>
  <c r="R32" i="33"/>
  <c r="R31" i="33"/>
  <c r="S30" i="33"/>
  <c r="S31" i="33"/>
  <c r="G29" i="33"/>
  <c r="S29" i="33"/>
  <c r="S15" i="33"/>
  <c r="R18" i="33"/>
  <c r="S22" i="33"/>
  <c r="S25" i="33" s="1"/>
  <c r="S14" i="33"/>
  <c r="S8" i="33"/>
  <c r="S9" i="33"/>
  <c r="S10" i="33"/>
  <c r="S11" i="33"/>
  <c r="S12" i="33"/>
  <c r="S16" i="33"/>
  <c r="G28" i="33"/>
  <c r="J15" i="33" s="1"/>
  <c r="K15" i="33" s="1"/>
  <c r="L15" i="33" s="1"/>
  <c r="N15" i="33" s="1"/>
  <c r="C8" i="33"/>
  <c r="C9" i="33"/>
  <c r="C10" i="33"/>
  <c r="C11" i="33"/>
  <c r="C12" i="33"/>
  <c r="C14" i="33"/>
  <c r="C15" i="33"/>
  <c r="C16" i="33"/>
  <c r="S27" i="33"/>
  <c r="G26" i="33"/>
  <c r="G27" i="33" s="1"/>
  <c r="F18" i="33"/>
  <c r="G22" i="33" s="1"/>
  <c r="D18" i="33"/>
  <c r="I61" i="29"/>
  <c r="R61" i="29" s="1"/>
  <c r="AR7" i="29"/>
  <c r="AR6" i="29"/>
  <c r="R75" i="29"/>
  <c r="K6" i="29"/>
  <c r="K7" i="29"/>
  <c r="M7" i="29" s="1"/>
  <c r="K8" i="29"/>
  <c r="K9" i="29"/>
  <c r="K10" i="29"/>
  <c r="K11" i="29"/>
  <c r="K12" i="29"/>
  <c r="K13" i="29"/>
  <c r="K14" i="29"/>
  <c r="K15" i="29"/>
  <c r="K16" i="29"/>
  <c r="K17" i="29"/>
  <c r="K18" i="29"/>
  <c r="K19" i="29"/>
  <c r="K20" i="29"/>
  <c r="K21" i="29"/>
  <c r="K22" i="29"/>
  <c r="K23" i="29"/>
  <c r="K24" i="29"/>
  <c r="K25" i="29"/>
  <c r="K26" i="29"/>
  <c r="K27" i="29"/>
  <c r="K28" i="29"/>
  <c r="AC27" i="29" s="1"/>
  <c r="AE27" i="29" s="1"/>
  <c r="AE6" i="29"/>
  <c r="BA6" i="29" s="1"/>
  <c r="AE7" i="29"/>
  <c r="BA7" i="29" s="1"/>
  <c r="BW7" i="29" s="1"/>
  <c r="CS7" i="29" s="1"/>
  <c r="DO7" i="29" s="1"/>
  <c r="EK7" i="29" s="1"/>
  <c r="FD7" i="29" s="1"/>
  <c r="AE8" i="29"/>
  <c r="AE9" i="29"/>
  <c r="BA9" i="29" s="1"/>
  <c r="AE10" i="29"/>
  <c r="AE11" i="29"/>
  <c r="BA11" i="29" s="1"/>
  <c r="BW11" i="29" s="1"/>
  <c r="CS11" i="29" s="1"/>
  <c r="DO11" i="29" s="1"/>
  <c r="EK11" i="29" s="1"/>
  <c r="FD11" i="29" s="1"/>
  <c r="AE12" i="29"/>
  <c r="BA12" i="29" s="1"/>
  <c r="BW12" i="29" s="1"/>
  <c r="CS12" i="29" s="1"/>
  <c r="DO12" i="29" s="1"/>
  <c r="EK12" i="29" s="1"/>
  <c r="FD12" i="29" s="1"/>
  <c r="AE13" i="29"/>
  <c r="BA13" i="29" s="1"/>
  <c r="BW13" i="29" s="1"/>
  <c r="CS13" i="29" s="1"/>
  <c r="DO13" i="29" s="1"/>
  <c r="EK13" i="29" s="1"/>
  <c r="FD13" i="29" s="1"/>
  <c r="AE14" i="29"/>
  <c r="AE15" i="29"/>
  <c r="BA15" i="29" s="1"/>
  <c r="BW15" i="29" s="1"/>
  <c r="CS15" i="29" s="1"/>
  <c r="DO15" i="29" s="1"/>
  <c r="EK15" i="29" s="1"/>
  <c r="FD15" i="29" s="1"/>
  <c r="AE16" i="29"/>
  <c r="BA16" i="29" s="1"/>
  <c r="BW16" i="29" s="1"/>
  <c r="CS16" i="29" s="1"/>
  <c r="DO16" i="29" s="1"/>
  <c r="EK16" i="29" s="1"/>
  <c r="FD16" i="29" s="1"/>
  <c r="AE17" i="29"/>
  <c r="BA17" i="29" s="1"/>
  <c r="BW17" i="29" s="1"/>
  <c r="CS17" i="29" s="1"/>
  <c r="DO17" i="29" s="1"/>
  <c r="AE18" i="29"/>
  <c r="BA18" i="29" s="1"/>
  <c r="BW18" i="29" s="1"/>
  <c r="CS18" i="29" s="1"/>
  <c r="DO18" i="29" s="1"/>
  <c r="EK18" i="29" s="1"/>
  <c r="FD18" i="29" s="1"/>
  <c r="AE19" i="29"/>
  <c r="AE20" i="29"/>
  <c r="BA20" i="29" s="1"/>
  <c r="BW20" i="29" s="1"/>
  <c r="CS20" i="29" s="1"/>
  <c r="DO20" i="29" s="1"/>
  <c r="EK20" i="29" s="1"/>
  <c r="FD20" i="29" s="1"/>
  <c r="AE21" i="29"/>
  <c r="BA21" i="29" s="1"/>
  <c r="BW21" i="29" s="1"/>
  <c r="CS21" i="29" s="1"/>
  <c r="DO21" i="29" s="1"/>
  <c r="EK21" i="29" s="1"/>
  <c r="FD21" i="29" s="1"/>
  <c r="AE22" i="29"/>
  <c r="BA22" i="29" s="1"/>
  <c r="BW22" i="29" s="1"/>
  <c r="CS22" i="29" s="1"/>
  <c r="DO22" i="29" s="1"/>
  <c r="EK22" i="29" s="1"/>
  <c r="FD22" i="29" s="1"/>
  <c r="AE23" i="29"/>
  <c r="AE24" i="29"/>
  <c r="BA24" i="29" s="1"/>
  <c r="BW24" i="29" s="1"/>
  <c r="CS24" i="29" s="1"/>
  <c r="DO24" i="29" s="1"/>
  <c r="EK24" i="29" s="1"/>
  <c r="FD24" i="29" s="1"/>
  <c r="AE25" i="29"/>
  <c r="BA25" i="29" s="1"/>
  <c r="BW25" i="29" s="1"/>
  <c r="CS25" i="29" s="1"/>
  <c r="DO25" i="29" s="1"/>
  <c r="EK25" i="29" s="1"/>
  <c r="FD25" i="29" s="1"/>
  <c r="AE26" i="29"/>
  <c r="BA26" i="29" s="1"/>
  <c r="BW26" i="29" s="1"/>
  <c r="CS26" i="29" s="1"/>
  <c r="DO26" i="29" s="1"/>
  <c r="EK26" i="29" s="1"/>
  <c r="FD26" i="29" s="1"/>
  <c r="Z27" i="29"/>
  <c r="Z28" i="29"/>
  <c r="AR8" i="29"/>
  <c r="AR10" i="29"/>
  <c r="BA10" i="29"/>
  <c r="BW10" i="29" s="1"/>
  <c r="CS10" i="29" s="1"/>
  <c r="DO10" i="29" s="1"/>
  <c r="EK10" i="29" s="1"/>
  <c r="FD10" i="29" s="1"/>
  <c r="AR11" i="29"/>
  <c r="AQ12" i="29"/>
  <c r="AP13" i="29"/>
  <c r="AR14" i="29"/>
  <c r="BA14" i="29"/>
  <c r="BW14" i="29" s="1"/>
  <c r="CS14" i="29" s="1"/>
  <c r="DO14" i="29" s="1"/>
  <c r="EK14" i="29" s="1"/>
  <c r="FD14" i="29" s="1"/>
  <c r="AR15" i="29"/>
  <c r="AR16" i="29"/>
  <c r="AQ17" i="29"/>
  <c r="BA19" i="29"/>
  <c r="BW19" i="29" s="1"/>
  <c r="CS19" i="29" s="1"/>
  <c r="DO19" i="29" s="1"/>
  <c r="EK19" i="29" s="1"/>
  <c r="FD19" i="29" s="1"/>
  <c r="BA23" i="29"/>
  <c r="BW23" i="29" s="1"/>
  <c r="CS23" i="29" s="1"/>
  <c r="DO23" i="29" s="1"/>
  <c r="EK23" i="29" s="1"/>
  <c r="FD23" i="29" s="1"/>
  <c r="AO27" i="29"/>
  <c r="H6" i="29"/>
  <c r="H7" i="29"/>
  <c r="W7" i="29" s="1"/>
  <c r="AM8" i="29"/>
  <c r="BI8" i="29" s="1"/>
  <c r="CE8" i="29" s="1"/>
  <c r="DA8" i="29" s="1"/>
  <c r="DW8" i="29" s="1"/>
  <c r="Q9" i="29"/>
  <c r="W9" i="29" s="1"/>
  <c r="H10" i="29"/>
  <c r="Q10" i="29" s="1"/>
  <c r="H11" i="29"/>
  <c r="Q11" i="29" s="1"/>
  <c r="H12" i="29"/>
  <c r="Q12" i="29" s="1"/>
  <c r="H13" i="29"/>
  <c r="Q13" i="29" s="1"/>
  <c r="H14" i="29"/>
  <c r="Q14" i="29" s="1"/>
  <c r="H15" i="29"/>
  <c r="Q15" i="29" s="1"/>
  <c r="H16" i="29"/>
  <c r="Q16" i="29"/>
  <c r="H17" i="29"/>
  <c r="Q17" i="29" s="1"/>
  <c r="H18" i="29"/>
  <c r="Q18" i="29" s="1"/>
  <c r="H19" i="29"/>
  <c r="Q19" i="29" s="1"/>
  <c r="H20" i="29"/>
  <c r="Q20" i="29" s="1"/>
  <c r="H21" i="29"/>
  <c r="Q21" i="29" s="1"/>
  <c r="H22" i="29"/>
  <c r="Q22" i="29" s="1"/>
  <c r="H23" i="29"/>
  <c r="Q23" i="29" s="1"/>
  <c r="H24" i="29"/>
  <c r="Q24" i="29" s="1"/>
  <c r="H25" i="29"/>
  <c r="Q25" i="29" s="1"/>
  <c r="H26" i="29"/>
  <c r="Q26" i="29" s="1"/>
  <c r="AO28" i="29"/>
  <c r="BJ75" i="29"/>
  <c r="BK27" i="29"/>
  <c r="BK28" i="29"/>
  <c r="CF29" i="29"/>
  <c r="CF66" i="29" s="1"/>
  <c r="CF73" i="29" s="1"/>
  <c r="CG50" i="29"/>
  <c r="CG32" i="29"/>
  <c r="CG27" i="29"/>
  <c r="CG28" i="29"/>
  <c r="DB29" i="29"/>
  <c r="DB66" i="29" s="1"/>
  <c r="DB73" i="29" s="1"/>
  <c r="DC27" i="29"/>
  <c r="DC34" i="29" s="1"/>
  <c r="DC28" i="29"/>
  <c r="DX29" i="29"/>
  <c r="DX66" i="29" s="1"/>
  <c r="DX73" i="29" s="1"/>
  <c r="DY50" i="29"/>
  <c r="DY27" i="29"/>
  <c r="DY34" i="29" s="1"/>
  <c r="DY28" i="29"/>
  <c r="H27" i="29"/>
  <c r="Q27" i="29" s="1"/>
  <c r="H28" i="29"/>
  <c r="Q28" i="29" s="1"/>
  <c r="G29" i="13"/>
  <c r="S29" i="13"/>
  <c r="G29" i="16"/>
  <c r="S29" i="16"/>
  <c r="G30" i="17"/>
  <c r="S30" i="17"/>
  <c r="C108" i="20"/>
  <c r="C107" i="20"/>
  <c r="C106" i="20"/>
  <c r="C105" i="20"/>
  <c r="C104" i="20"/>
  <c r="C103" i="20"/>
  <c r="C102" i="20"/>
  <c r="C101" i="20"/>
  <c r="C100" i="20"/>
  <c r="C95" i="20"/>
  <c r="C94" i="20"/>
  <c r="C93" i="20"/>
  <c r="C92" i="20"/>
  <c r="C89" i="20"/>
  <c r="C88" i="20"/>
  <c r="C87" i="20"/>
  <c r="C86" i="20"/>
  <c r="C83" i="20"/>
  <c r="C82" i="20"/>
  <c r="C80" i="20"/>
  <c r="C79" i="20"/>
  <c r="C78" i="20"/>
  <c r="C74" i="20"/>
  <c r="C72" i="20"/>
  <c r="C69" i="20"/>
  <c r="C68" i="20"/>
  <c r="C67" i="20"/>
  <c r="C63" i="20"/>
  <c r="C62" i="20"/>
  <c r="C61" i="20"/>
  <c r="C59" i="20"/>
  <c r="C56" i="20"/>
  <c r="C55" i="20"/>
  <c r="C54" i="20"/>
  <c r="C50" i="20"/>
  <c r="C49" i="20"/>
  <c r="C48" i="20"/>
  <c r="C46" i="20"/>
  <c r="C43" i="20"/>
  <c r="C40" i="20"/>
  <c r="C30" i="20"/>
  <c r="C29" i="20"/>
  <c r="C7" i="20"/>
  <c r="D44" i="24"/>
  <c r="D43" i="24"/>
  <c r="C114" i="24"/>
  <c r="C113" i="24"/>
  <c r="C112" i="24"/>
  <c r="C111" i="24"/>
  <c r="C110" i="24"/>
  <c r="C109" i="24"/>
  <c r="C121" i="24"/>
  <c r="C120" i="24"/>
  <c r="C119" i="24"/>
  <c r="C118" i="24"/>
  <c r="C117" i="24"/>
  <c r="C116" i="24"/>
  <c r="C128" i="24"/>
  <c r="C127" i="24"/>
  <c r="C126" i="24"/>
  <c r="C125" i="24"/>
  <c r="C124" i="24"/>
  <c r="C123" i="24"/>
  <c r="C149" i="24"/>
  <c r="C148" i="24"/>
  <c r="C147" i="24"/>
  <c r="C146" i="24"/>
  <c r="C145" i="24"/>
  <c r="C144" i="24"/>
  <c r="C142" i="24"/>
  <c r="C141" i="24"/>
  <c r="C140" i="24"/>
  <c r="C139" i="24"/>
  <c r="C138" i="24"/>
  <c r="C137" i="24"/>
  <c r="C135" i="24"/>
  <c r="C134" i="24"/>
  <c r="C133" i="24"/>
  <c r="C132" i="24"/>
  <c r="C131" i="24"/>
  <c r="C130" i="24"/>
  <c r="C74" i="24"/>
  <c r="C73" i="24"/>
  <c r="C72" i="24"/>
  <c r="C71" i="24"/>
  <c r="C70" i="24"/>
  <c r="C69" i="24"/>
  <c r="C57" i="24"/>
  <c r="C53" i="24"/>
  <c r="C35" i="24"/>
  <c r="C36" i="24"/>
  <c r="C37" i="24"/>
  <c r="C23" i="24"/>
  <c r="C17" i="24"/>
  <c r="C16" i="24"/>
  <c r="FL4" i="29"/>
  <c r="G4" i="29"/>
  <c r="M6" i="29"/>
  <c r="B12" i="28"/>
  <c r="B13" i="28"/>
  <c r="M8" i="29"/>
  <c r="B14" i="28"/>
  <c r="M9" i="29"/>
  <c r="B15" i="28"/>
  <c r="B16" i="28"/>
  <c r="B17" i="28"/>
  <c r="B18" i="28"/>
  <c r="B19" i="28"/>
  <c r="E6" i="29"/>
  <c r="FK6" i="29" s="1"/>
  <c r="E7" i="29"/>
  <c r="FK7" i="29" s="1"/>
  <c r="E8" i="29"/>
  <c r="E9" i="29"/>
  <c r="FK9" i="29" s="1"/>
  <c r="M10" i="29"/>
  <c r="M11" i="29"/>
  <c r="M12" i="29"/>
  <c r="M13" i="29"/>
  <c r="M14" i="29"/>
  <c r="M15" i="29"/>
  <c r="M16" i="29"/>
  <c r="M17" i="29"/>
  <c r="M18" i="29"/>
  <c r="M19" i="29"/>
  <c r="M20" i="29"/>
  <c r="M21" i="29"/>
  <c r="M22" i="29"/>
  <c r="M23" i="29"/>
  <c r="M24" i="29"/>
  <c r="M25" i="29"/>
  <c r="M26" i="29"/>
  <c r="M27" i="29"/>
  <c r="M28" i="29"/>
  <c r="E10" i="29"/>
  <c r="E11" i="29"/>
  <c r="E12" i="29"/>
  <c r="E13" i="29"/>
  <c r="E14" i="29"/>
  <c r="E15" i="29"/>
  <c r="E16" i="29"/>
  <c r="E17" i="29"/>
  <c r="E18" i="29"/>
  <c r="E19" i="29"/>
  <c r="E20" i="29"/>
  <c r="E21" i="29"/>
  <c r="E22" i="29"/>
  <c r="E23" i="29"/>
  <c r="E24" i="29"/>
  <c r="E25" i="29"/>
  <c r="E26" i="29"/>
  <c r="B28" i="28"/>
  <c r="B29" i="28"/>
  <c r="B22" i="28"/>
  <c r="B23" i="28"/>
  <c r="AJ5" i="29"/>
  <c r="N5" i="29"/>
  <c r="S8" i="27"/>
  <c r="S9" i="27"/>
  <c r="S10" i="27"/>
  <c r="S11" i="27"/>
  <c r="S12" i="27"/>
  <c r="S19" i="27"/>
  <c r="S18" i="27"/>
  <c r="S16" i="27"/>
  <c r="G31" i="27"/>
  <c r="C19" i="27"/>
  <c r="K18" i="27" s="1"/>
  <c r="C8" i="27"/>
  <c r="C9" i="27"/>
  <c r="C10" i="27"/>
  <c r="C11" i="27"/>
  <c r="C12" i="27"/>
  <c r="C14" i="27"/>
  <c r="C15" i="27"/>
  <c r="C16" i="27"/>
  <c r="C18" i="27"/>
  <c r="F21" i="27"/>
  <c r="G25" i="27"/>
  <c r="G33" i="27" s="1"/>
  <c r="B4" i="31"/>
  <c r="B6" i="20"/>
  <c r="D35" i="30"/>
  <c r="F51" i="30" s="1"/>
  <c r="H41" i="30"/>
  <c r="I41" i="30"/>
  <c r="J41" i="30" s="1"/>
  <c r="B54" i="29"/>
  <c r="B48" i="29"/>
  <c r="B49" i="29"/>
  <c r="B22" i="30" s="1"/>
  <c r="B204" i="30" s="1"/>
  <c r="B50" i="29"/>
  <c r="H16" i="30" s="1"/>
  <c r="B98" i="30" s="1"/>
  <c r="B51" i="29"/>
  <c r="B52" i="29"/>
  <c r="B53" i="29"/>
  <c r="I35" i="30"/>
  <c r="I120" i="30" s="1"/>
  <c r="H35" i="30"/>
  <c r="D103" i="30" s="1"/>
  <c r="G35" i="30"/>
  <c r="E90" i="30" s="1"/>
  <c r="F35" i="30"/>
  <c r="E35" i="30"/>
  <c r="I68" i="30" s="1"/>
  <c r="S29" i="29"/>
  <c r="J29" i="29"/>
  <c r="I100" i="29" s="1"/>
  <c r="K81" i="30"/>
  <c r="I81" i="30"/>
  <c r="H47" i="30"/>
  <c r="G41" i="30"/>
  <c r="F41" i="30" s="1"/>
  <c r="E41" i="30" s="1"/>
  <c r="D41" i="30" s="1"/>
  <c r="G47" i="30"/>
  <c r="G94" i="30"/>
  <c r="F47" i="30"/>
  <c r="D47" i="30"/>
  <c r="C299" i="30"/>
  <c r="C298" i="30"/>
  <c r="B298" i="30"/>
  <c r="C297" i="30"/>
  <c r="B297" i="30"/>
  <c r="C296" i="30"/>
  <c r="B296" i="30"/>
  <c r="C295" i="30"/>
  <c r="B295" i="30"/>
  <c r="C294" i="30"/>
  <c r="B294" i="30"/>
  <c r="C293" i="30"/>
  <c r="B293" i="30"/>
  <c r="C292" i="30"/>
  <c r="B292" i="30"/>
  <c r="C291" i="30"/>
  <c r="B291" i="30"/>
  <c r="C290" i="30"/>
  <c r="B290" i="30"/>
  <c r="C289" i="30"/>
  <c r="B289" i="30"/>
  <c r="C288" i="30"/>
  <c r="B288" i="30"/>
  <c r="C287" i="30"/>
  <c r="B287" i="30"/>
  <c r="C286" i="30"/>
  <c r="B286" i="30"/>
  <c r="C285" i="30"/>
  <c r="B285" i="30"/>
  <c r="C284" i="30"/>
  <c r="B284" i="30"/>
  <c r="C283" i="30"/>
  <c r="B283" i="30"/>
  <c r="C282" i="30"/>
  <c r="B282" i="30"/>
  <c r="C281" i="30"/>
  <c r="B281" i="30"/>
  <c r="C280" i="30"/>
  <c r="B280" i="30"/>
  <c r="C279" i="30"/>
  <c r="B279" i="30"/>
  <c r="C278" i="30"/>
  <c r="B278" i="30"/>
  <c r="C277" i="30"/>
  <c r="B277" i="30"/>
  <c r="C276" i="30"/>
  <c r="B276" i="30"/>
  <c r="J30" i="30"/>
  <c r="J31" i="30" s="1"/>
  <c r="J34" i="30" s="1"/>
  <c r="B206" i="30"/>
  <c r="B205" i="30"/>
  <c r="B18" i="30"/>
  <c r="B194" i="30"/>
  <c r="B193" i="30"/>
  <c r="B181" i="30"/>
  <c r="B180" i="30"/>
  <c r="C169" i="30"/>
  <c r="C168" i="30"/>
  <c r="B168" i="30"/>
  <c r="C167" i="30"/>
  <c r="B167" i="30"/>
  <c r="C166" i="30"/>
  <c r="C165" i="30"/>
  <c r="C164" i="30"/>
  <c r="C163" i="30"/>
  <c r="C162" i="30"/>
  <c r="C161" i="30"/>
  <c r="C156" i="30"/>
  <c r="C155" i="30"/>
  <c r="B155" i="30"/>
  <c r="C154" i="30"/>
  <c r="I16" i="30"/>
  <c r="B111" i="30" s="1"/>
  <c r="B154" i="30" s="1"/>
  <c r="C153" i="30"/>
  <c r="C152" i="30"/>
  <c r="C151" i="30"/>
  <c r="C150" i="30"/>
  <c r="C149" i="30"/>
  <c r="C146" i="30"/>
  <c r="C145" i="30"/>
  <c r="B145" i="30"/>
  <c r="C144" i="30"/>
  <c r="C143" i="30"/>
  <c r="C142" i="30"/>
  <c r="C141" i="30"/>
  <c r="C140" i="30"/>
  <c r="C139" i="30"/>
  <c r="C135" i="30"/>
  <c r="C133" i="30"/>
  <c r="C132" i="30"/>
  <c r="C131" i="30"/>
  <c r="C127" i="30"/>
  <c r="C125" i="30"/>
  <c r="C122" i="30"/>
  <c r="C121" i="30"/>
  <c r="C120" i="30"/>
  <c r="C116" i="30"/>
  <c r="C115" i="30"/>
  <c r="C114" i="30"/>
  <c r="C112" i="30"/>
  <c r="C109" i="30"/>
  <c r="C108" i="30"/>
  <c r="C107" i="30"/>
  <c r="C103" i="30"/>
  <c r="C102" i="30"/>
  <c r="C101" i="30"/>
  <c r="C99" i="30"/>
  <c r="C96" i="30"/>
  <c r="C95" i="30"/>
  <c r="C94" i="30"/>
  <c r="C90" i="30"/>
  <c r="C89" i="30"/>
  <c r="C88" i="30"/>
  <c r="C86" i="30"/>
  <c r="C83" i="30"/>
  <c r="C82" i="30"/>
  <c r="C81" i="30"/>
  <c r="L77" i="30"/>
  <c r="K77" i="30"/>
  <c r="J77" i="30"/>
  <c r="H77" i="30"/>
  <c r="G77" i="30"/>
  <c r="F77" i="30"/>
  <c r="D77" i="30"/>
  <c r="C77" i="30"/>
  <c r="C76" i="30"/>
  <c r="C75" i="30"/>
  <c r="C73" i="30"/>
  <c r="C70" i="30"/>
  <c r="C69" i="30"/>
  <c r="C68" i="30"/>
  <c r="C64" i="30"/>
  <c r="C63" i="30"/>
  <c r="C62" i="30"/>
  <c r="C60" i="30"/>
  <c r="C57" i="30"/>
  <c r="C56" i="30"/>
  <c r="C55" i="30"/>
  <c r="L51" i="30"/>
  <c r="C51" i="30"/>
  <c r="C50" i="30"/>
  <c r="C49" i="30"/>
  <c r="C47" i="30"/>
  <c r="C44" i="30"/>
  <c r="C41" i="30"/>
  <c r="I36" i="30"/>
  <c r="H36" i="30"/>
  <c r="G36" i="30"/>
  <c r="F36" i="30"/>
  <c r="E36" i="30"/>
  <c r="D36" i="30"/>
  <c r="C34" i="30"/>
  <c r="C31" i="30"/>
  <c r="C30" i="30"/>
  <c r="L25" i="30"/>
  <c r="C8" i="30"/>
  <c r="B7" i="30"/>
  <c r="C6" i="30"/>
  <c r="Y247" i="29"/>
  <c r="Y248" i="29" s="1"/>
  <c r="X247" i="29"/>
  <c r="X248" i="29" s="1"/>
  <c r="V247" i="29"/>
  <c r="V248" i="29" s="1"/>
  <c r="DV103" i="29"/>
  <c r="CZ103" i="29"/>
  <c r="CD103" i="29"/>
  <c r="BH103" i="29"/>
  <c r="AL103" i="29"/>
  <c r="P103" i="29"/>
  <c r="I102" i="29"/>
  <c r="G103" i="29"/>
  <c r="DV102" i="29"/>
  <c r="CZ102" i="29"/>
  <c r="CD102" i="29"/>
  <c r="BH102" i="29"/>
  <c r="AL102" i="29"/>
  <c r="P102" i="29"/>
  <c r="G102" i="29"/>
  <c r="DV101" i="29"/>
  <c r="CZ101" i="29"/>
  <c r="CD101" i="29"/>
  <c r="BH101" i="29"/>
  <c r="AL101" i="29"/>
  <c r="P101" i="29"/>
  <c r="G101" i="29"/>
  <c r="DV99" i="29"/>
  <c r="CZ99" i="29"/>
  <c r="CD99" i="29"/>
  <c r="BH99" i="29"/>
  <c r="AL99" i="29"/>
  <c r="P99" i="29"/>
  <c r="I29" i="29"/>
  <c r="I99" i="29" s="1"/>
  <c r="G99" i="29"/>
  <c r="DV98" i="29"/>
  <c r="CZ98" i="29"/>
  <c r="CD98" i="29"/>
  <c r="BH98" i="29"/>
  <c r="AL98" i="29"/>
  <c r="P98" i="29"/>
  <c r="G98" i="29"/>
  <c r="DV92" i="29"/>
  <c r="B31" i="29"/>
  <c r="CD92" i="29" s="1"/>
  <c r="DV87" i="29"/>
  <c r="CZ87" i="29"/>
  <c r="CD87" i="29"/>
  <c r="BH87" i="29"/>
  <c r="AL87" i="29"/>
  <c r="P87" i="29"/>
  <c r="G87" i="29"/>
  <c r="DV86" i="29"/>
  <c r="CZ86" i="29"/>
  <c r="CD86" i="29"/>
  <c r="BH86" i="29"/>
  <c r="AL86" i="29"/>
  <c r="P86" i="29"/>
  <c r="G86" i="29"/>
  <c r="DV77" i="29"/>
  <c r="CZ77" i="29"/>
  <c r="CD77" i="29"/>
  <c r="BH77" i="29"/>
  <c r="AL77" i="29"/>
  <c r="P77" i="29"/>
  <c r="G77" i="29"/>
  <c r="DV76" i="29"/>
  <c r="CZ76" i="29"/>
  <c r="CD76" i="29"/>
  <c r="BH76" i="29"/>
  <c r="AL76" i="29"/>
  <c r="P76" i="29"/>
  <c r="G76" i="29"/>
  <c r="DV75" i="29"/>
  <c r="CZ75" i="29"/>
  <c r="CD75" i="29"/>
  <c r="BH75" i="29"/>
  <c r="AL75" i="29"/>
  <c r="P75" i="29"/>
  <c r="G75" i="29"/>
  <c r="DV74" i="29"/>
  <c r="CZ74" i="29"/>
  <c r="CD74" i="29"/>
  <c r="BH74" i="29"/>
  <c r="AL74" i="29"/>
  <c r="P74" i="29"/>
  <c r="G74" i="29"/>
  <c r="DV73" i="29"/>
  <c r="CZ73" i="29"/>
  <c r="CD73" i="29"/>
  <c r="BH73" i="29"/>
  <c r="AL73" i="29"/>
  <c r="P73" i="29"/>
  <c r="G73" i="29"/>
  <c r="DV70" i="29"/>
  <c r="CZ70" i="29"/>
  <c r="CD70" i="29"/>
  <c r="BH70" i="29"/>
  <c r="AL70" i="29"/>
  <c r="P70" i="29"/>
  <c r="G70" i="29"/>
  <c r="DV69" i="29"/>
  <c r="CZ69" i="29"/>
  <c r="CD69" i="29"/>
  <c r="BH69" i="29"/>
  <c r="AL69" i="29"/>
  <c r="P69" i="29"/>
  <c r="G69" i="29"/>
  <c r="DV68" i="29"/>
  <c r="CZ68" i="29"/>
  <c r="CD68" i="29"/>
  <c r="BH68" i="29"/>
  <c r="AL68" i="29"/>
  <c r="P68" i="29"/>
  <c r="G68" i="29"/>
  <c r="DV67" i="29"/>
  <c r="CZ67" i="29"/>
  <c r="CD67" i="29"/>
  <c r="BH67" i="29"/>
  <c r="AL67" i="29"/>
  <c r="P67" i="29"/>
  <c r="G67" i="29"/>
  <c r="DV66" i="29"/>
  <c r="CZ66" i="29"/>
  <c r="CD66" i="29"/>
  <c r="BJ29" i="29"/>
  <c r="BJ66" i="29" s="1"/>
  <c r="BH66" i="29"/>
  <c r="AN29" i="29"/>
  <c r="AN66" i="29" s="1"/>
  <c r="AL66" i="29"/>
  <c r="R29" i="29"/>
  <c r="R66" i="29" s="1"/>
  <c r="P66" i="29"/>
  <c r="G66" i="29"/>
  <c r="DV62" i="29"/>
  <c r="CZ62" i="29"/>
  <c r="CD62" i="29"/>
  <c r="BH62" i="29"/>
  <c r="AL62" i="29"/>
  <c r="P62" i="29"/>
  <c r="G62" i="29"/>
  <c r="FQ4" i="29"/>
  <c r="P4" i="29"/>
  <c r="AL4" i="29"/>
  <c r="BH4" i="29"/>
  <c r="CD4" i="29"/>
  <c r="CZ4" i="29"/>
  <c r="DV4" i="29"/>
  <c r="M49" i="29"/>
  <c r="M50" i="29"/>
  <c r="M53" i="29"/>
  <c r="M54" i="29"/>
  <c r="J49" i="29"/>
  <c r="J50" i="29"/>
  <c r="J53" i="29"/>
  <c r="J54" i="29"/>
  <c r="J55" i="29"/>
  <c r="K49" i="29"/>
  <c r="K50" i="29"/>
  <c r="K53" i="29"/>
  <c r="K54" i="29"/>
  <c r="I49" i="29"/>
  <c r="I50" i="29"/>
  <c r="I53" i="29"/>
  <c r="I54" i="29"/>
  <c r="I55" i="29"/>
  <c r="FH54" i="29"/>
  <c r="FG51" i="29"/>
  <c r="FE51" i="29"/>
  <c r="FE54" i="29"/>
  <c r="FC54" i="29"/>
  <c r="FB6" i="29"/>
  <c r="FB7" i="29"/>
  <c r="FB8" i="29"/>
  <c r="FB49" i="29"/>
  <c r="FB9" i="29"/>
  <c r="FB50" i="29" s="1"/>
  <c r="FB53" i="29"/>
  <c r="FB54" i="29"/>
  <c r="FB10" i="29"/>
  <c r="FB11" i="29"/>
  <c r="FB12" i="29"/>
  <c r="FB13" i="29"/>
  <c r="FB14" i="29"/>
  <c r="FB15" i="29"/>
  <c r="FB16" i="29"/>
  <c r="FB17" i="29"/>
  <c r="FB18" i="29"/>
  <c r="FB19" i="29"/>
  <c r="FB20" i="29"/>
  <c r="FB21" i="29"/>
  <c r="FB22" i="29"/>
  <c r="FB23" i="29"/>
  <c r="FB24" i="29"/>
  <c r="FB25" i="29"/>
  <c r="FB26" i="29"/>
  <c r="FA52" i="29"/>
  <c r="FA53" i="29"/>
  <c r="EY53" i="29"/>
  <c r="EX52" i="29"/>
  <c r="EX53" i="29"/>
  <c r="EW53" i="29"/>
  <c r="ES51" i="29"/>
  <c r="ES52" i="29"/>
  <c r="ES53" i="29"/>
  <c r="ER6" i="29"/>
  <c r="ER7" i="29"/>
  <c r="ER8" i="29"/>
  <c r="ER49" i="29" s="1"/>
  <c r="ER9" i="29"/>
  <c r="ER50" i="29" s="1"/>
  <c r="ER51" i="29"/>
  <c r="ER53" i="29"/>
  <c r="ER54" i="29"/>
  <c r="ER10" i="29"/>
  <c r="ER11" i="29"/>
  <c r="ER12" i="29"/>
  <c r="ER13" i="29"/>
  <c r="ER14" i="29"/>
  <c r="ER15" i="29"/>
  <c r="ER16" i="29"/>
  <c r="ER17" i="29"/>
  <c r="ER18" i="29"/>
  <c r="ER19" i="29"/>
  <c r="ER20" i="29"/>
  <c r="ER21" i="29"/>
  <c r="ER22" i="29"/>
  <c r="ER23" i="29"/>
  <c r="ER24" i="29"/>
  <c r="ER25" i="29"/>
  <c r="ER26" i="29"/>
  <c r="ER27" i="29"/>
  <c r="ER28" i="29"/>
  <c r="EO51" i="29"/>
  <c r="EO52" i="29"/>
  <c r="EO53" i="29"/>
  <c r="EN51" i="29"/>
  <c r="EN52" i="29"/>
  <c r="EN53" i="29"/>
  <c r="EL51" i="29"/>
  <c r="EL52" i="29"/>
  <c r="EL53" i="29"/>
  <c r="EK51" i="29"/>
  <c r="EK53" i="29"/>
  <c r="EJ51" i="29"/>
  <c r="EJ52" i="29"/>
  <c r="EJ53" i="29"/>
  <c r="EI48" i="29"/>
  <c r="EI49" i="29"/>
  <c r="EI50" i="29"/>
  <c r="EI53" i="29"/>
  <c r="EF52" i="29"/>
  <c r="EF53" i="29"/>
  <c r="EE53" i="29"/>
  <c r="ED52" i="29"/>
  <c r="ED53" i="29"/>
  <c r="DY51" i="29"/>
  <c r="DY53" i="29"/>
  <c r="DY54" i="29"/>
  <c r="DX49" i="29"/>
  <c r="DX50" i="29"/>
  <c r="DX51" i="29"/>
  <c r="DX53" i="29"/>
  <c r="DX55" i="29"/>
  <c r="DS51" i="29"/>
  <c r="DS53" i="29"/>
  <c r="DS54" i="29"/>
  <c r="DR51" i="29"/>
  <c r="DR53" i="29"/>
  <c r="DR54" i="29"/>
  <c r="DP51" i="29"/>
  <c r="DP53" i="29"/>
  <c r="DP54" i="29"/>
  <c r="DO51" i="29"/>
  <c r="DO53" i="29"/>
  <c r="DO54" i="29"/>
  <c r="DN51" i="29"/>
  <c r="DN53" i="29"/>
  <c r="DN54" i="29"/>
  <c r="DM48" i="29"/>
  <c r="DM49" i="29"/>
  <c r="DM50" i="29"/>
  <c r="DM51" i="29"/>
  <c r="DM52" i="29"/>
  <c r="DM53" i="29"/>
  <c r="DL51" i="29"/>
  <c r="DL52" i="29"/>
  <c r="DL53" i="29"/>
  <c r="DJ51" i="29"/>
  <c r="DJ53" i="29"/>
  <c r="DI51" i="29"/>
  <c r="DI52" i="29"/>
  <c r="DI53" i="29"/>
  <c r="DH51" i="29"/>
  <c r="DH52" i="29"/>
  <c r="DH53" i="29"/>
  <c r="DC51" i="29"/>
  <c r="DC53" i="29"/>
  <c r="DC54" i="29"/>
  <c r="DB49" i="29"/>
  <c r="DB50" i="29"/>
  <c r="DB51" i="29"/>
  <c r="DB53" i="29"/>
  <c r="DB55" i="29"/>
  <c r="CW51" i="29"/>
  <c r="CW53" i="29"/>
  <c r="CW54" i="29"/>
  <c r="CV51" i="29"/>
  <c r="CV53" i="29"/>
  <c r="CV54" i="29"/>
  <c r="CT51" i="29"/>
  <c r="CT53" i="29"/>
  <c r="CT54" i="29"/>
  <c r="CS51" i="29"/>
  <c r="CS53" i="29"/>
  <c r="CS54" i="29"/>
  <c r="CR51" i="29"/>
  <c r="CR53" i="29"/>
  <c r="CR54" i="29"/>
  <c r="CQ48" i="29"/>
  <c r="CQ49" i="29"/>
  <c r="CQ50" i="29"/>
  <c r="CQ51" i="29"/>
  <c r="CQ52" i="29"/>
  <c r="CQ53" i="29"/>
  <c r="CP51" i="29"/>
  <c r="CP52" i="29"/>
  <c r="CP53" i="29"/>
  <c r="CN51" i="29"/>
  <c r="CN52" i="29"/>
  <c r="CN53" i="29"/>
  <c r="CM51" i="29"/>
  <c r="CM52" i="29"/>
  <c r="CM53" i="29"/>
  <c r="CL51" i="29"/>
  <c r="CL52" i="29"/>
  <c r="CL53" i="29"/>
  <c r="CG48" i="29"/>
  <c r="CG49" i="29"/>
  <c r="CG52" i="29"/>
  <c r="CG53" i="29"/>
  <c r="CF49" i="29"/>
  <c r="CF50" i="29"/>
  <c r="CF53" i="29"/>
  <c r="CF54" i="29"/>
  <c r="CF55" i="29"/>
  <c r="CA52" i="29"/>
  <c r="CA53" i="29"/>
  <c r="BZ52" i="29"/>
  <c r="BZ53" i="29"/>
  <c r="BX52" i="29"/>
  <c r="BX53" i="29"/>
  <c r="BW52" i="29"/>
  <c r="BW53" i="29"/>
  <c r="BV52" i="29"/>
  <c r="BV53" i="29"/>
  <c r="BU49" i="29"/>
  <c r="BU50" i="29"/>
  <c r="BU53" i="29"/>
  <c r="BU54" i="29"/>
  <c r="BT53" i="29"/>
  <c r="BT54" i="29"/>
  <c r="BR53" i="29"/>
  <c r="BR54" i="29"/>
  <c r="BQ53" i="29"/>
  <c r="BQ54" i="29"/>
  <c r="BP53" i="29"/>
  <c r="BP54" i="29"/>
  <c r="BK49" i="29"/>
  <c r="BK50" i="29"/>
  <c r="BK51" i="29"/>
  <c r="BK53" i="29"/>
  <c r="BK54" i="29"/>
  <c r="BJ48" i="29"/>
  <c r="BJ49" i="29"/>
  <c r="BJ50" i="29"/>
  <c r="BJ51" i="29"/>
  <c r="BJ52" i="29"/>
  <c r="BJ53" i="29"/>
  <c r="BJ55" i="29"/>
  <c r="BE51" i="29"/>
  <c r="BE53" i="29"/>
  <c r="BE54" i="29"/>
  <c r="BD51" i="29"/>
  <c r="BD53" i="29"/>
  <c r="BD54" i="29"/>
  <c r="BB51" i="29"/>
  <c r="BB53" i="29"/>
  <c r="BB54" i="29"/>
  <c r="BA53" i="29"/>
  <c r="BA54" i="29"/>
  <c r="AZ53" i="29"/>
  <c r="AZ54" i="29"/>
  <c r="AY49" i="29"/>
  <c r="AY50" i="29"/>
  <c r="AY51" i="29"/>
  <c r="AY53" i="29"/>
  <c r="AY54" i="29"/>
  <c r="AX51" i="29"/>
  <c r="AX53" i="29"/>
  <c r="AX54" i="29"/>
  <c r="AV51" i="29"/>
  <c r="AV53" i="29"/>
  <c r="AV54" i="29"/>
  <c r="AU51" i="29"/>
  <c r="AU53" i="29"/>
  <c r="AU54" i="29"/>
  <c r="AT51" i="29"/>
  <c r="AT53" i="29"/>
  <c r="AT54" i="29"/>
  <c r="AO48" i="29"/>
  <c r="AO51" i="29"/>
  <c r="AO52" i="29"/>
  <c r="AO53" i="29"/>
  <c r="AN48" i="29"/>
  <c r="AN49" i="29"/>
  <c r="AN50" i="29"/>
  <c r="AN51" i="29"/>
  <c r="AN52" i="29"/>
  <c r="AN53" i="29"/>
  <c r="AN55" i="29"/>
  <c r="AI51" i="29"/>
  <c r="AI53" i="29"/>
  <c r="AI54" i="29"/>
  <c r="AH51" i="29"/>
  <c r="AH53" i="29"/>
  <c r="AH54" i="29"/>
  <c r="AF51" i="29"/>
  <c r="AF53" i="29"/>
  <c r="AF54" i="29"/>
  <c r="AE48" i="29"/>
  <c r="AE50" i="29"/>
  <c r="AE51" i="29"/>
  <c r="AE52" i="29"/>
  <c r="AE53" i="29"/>
  <c r="AD51" i="29"/>
  <c r="AD52" i="29"/>
  <c r="AD53" i="29"/>
  <c r="AC48" i="29"/>
  <c r="AC49" i="29"/>
  <c r="AC50" i="29"/>
  <c r="AC52" i="29"/>
  <c r="AC53" i="29"/>
  <c r="AB52" i="29"/>
  <c r="AB53" i="29"/>
  <c r="Z52" i="29"/>
  <c r="Z53" i="29"/>
  <c r="Y52" i="29"/>
  <c r="Y53" i="29"/>
  <c r="X52" i="29"/>
  <c r="X53" i="29"/>
  <c r="S49" i="29"/>
  <c r="S50" i="29"/>
  <c r="S53" i="29"/>
  <c r="S54" i="29"/>
  <c r="S55" i="29"/>
  <c r="R49" i="29"/>
  <c r="R50" i="29"/>
  <c r="R53" i="29"/>
  <c r="R54" i="29"/>
  <c r="R55" i="29"/>
  <c r="D55" i="29"/>
  <c r="D54" i="29"/>
  <c r="D53" i="29"/>
  <c r="D52" i="29"/>
  <c r="D51" i="29"/>
  <c r="D50" i="29"/>
  <c r="D49" i="29"/>
  <c r="D48" i="29"/>
  <c r="M39" i="29"/>
  <c r="M40" i="29"/>
  <c r="M41" i="29"/>
  <c r="M43" i="29"/>
  <c r="M44" i="29"/>
  <c r="K39" i="29"/>
  <c r="K40" i="29"/>
  <c r="K41" i="29"/>
  <c r="K43" i="29"/>
  <c r="K44" i="29"/>
  <c r="J39" i="29"/>
  <c r="J40" i="29"/>
  <c r="J41" i="29"/>
  <c r="J43" i="29"/>
  <c r="J44" i="29"/>
  <c r="I39" i="29"/>
  <c r="I40" i="29"/>
  <c r="I41" i="29"/>
  <c r="I43" i="29"/>
  <c r="I44" i="29"/>
  <c r="M34" i="29"/>
  <c r="M35" i="29"/>
  <c r="J32" i="29"/>
  <c r="E28" i="28" s="1"/>
  <c r="K32" i="29"/>
  <c r="J33" i="29"/>
  <c r="E29" i="28" s="1"/>
  <c r="K33" i="29"/>
  <c r="J34" i="29"/>
  <c r="E30" i="28" s="1"/>
  <c r="K34" i="29"/>
  <c r="J35" i="29"/>
  <c r="K35" i="29"/>
  <c r="I32" i="29"/>
  <c r="I33" i="29"/>
  <c r="D29" i="28" s="1"/>
  <c r="I34" i="29"/>
  <c r="D30" i="28" s="1"/>
  <c r="I35" i="29"/>
  <c r="D31" i="28" s="1"/>
  <c r="FH33" i="29"/>
  <c r="FH35" i="29"/>
  <c r="FG33" i="29"/>
  <c r="FG35" i="29"/>
  <c r="FE33" i="29"/>
  <c r="FE35" i="29"/>
  <c r="FD33" i="29"/>
  <c r="FD35" i="29"/>
  <c r="FC33" i="29"/>
  <c r="FC35" i="29"/>
  <c r="FB32" i="29"/>
  <c r="FB33" i="29"/>
  <c r="FB35" i="29"/>
  <c r="FA33" i="29"/>
  <c r="FA35" i="29"/>
  <c r="EY33" i="29"/>
  <c r="EY35" i="29"/>
  <c r="EX33" i="29"/>
  <c r="EX35" i="29"/>
  <c r="EW33" i="29"/>
  <c r="EW35" i="29"/>
  <c r="ES33" i="29"/>
  <c r="ES35" i="29"/>
  <c r="ER33" i="29"/>
  <c r="ER34" i="29"/>
  <c r="ER35" i="29"/>
  <c r="EO33" i="29"/>
  <c r="EO35" i="29"/>
  <c r="EN33" i="29"/>
  <c r="EN35" i="29"/>
  <c r="EL33" i="29"/>
  <c r="EL35" i="29"/>
  <c r="EK33" i="29"/>
  <c r="EK35" i="29"/>
  <c r="EJ33" i="29"/>
  <c r="EJ35" i="29"/>
  <c r="EI32" i="29"/>
  <c r="EI33" i="29"/>
  <c r="EI35" i="29"/>
  <c r="EH33" i="29"/>
  <c r="EH35" i="29"/>
  <c r="EF33" i="29"/>
  <c r="EF35" i="29"/>
  <c r="EE33" i="29"/>
  <c r="EE35" i="29"/>
  <c r="ED33" i="29"/>
  <c r="ED35" i="29"/>
  <c r="DY32" i="29"/>
  <c r="DY33" i="29"/>
  <c r="DY35" i="29"/>
  <c r="DX32" i="29"/>
  <c r="DX33" i="29"/>
  <c r="DX34" i="29"/>
  <c r="DX35" i="29"/>
  <c r="DS33" i="29"/>
  <c r="DS35" i="29"/>
  <c r="DR33" i="29"/>
  <c r="DR35" i="29"/>
  <c r="DP33" i="29"/>
  <c r="DP35" i="29"/>
  <c r="DO33" i="29"/>
  <c r="DO35" i="29"/>
  <c r="DN33" i="29"/>
  <c r="DN35" i="29"/>
  <c r="DM32" i="29"/>
  <c r="DM33" i="29"/>
  <c r="DM35" i="29"/>
  <c r="DL33" i="29"/>
  <c r="DL35" i="29"/>
  <c r="DJ33" i="29"/>
  <c r="DJ35" i="29"/>
  <c r="DI33" i="29"/>
  <c r="DI35" i="29"/>
  <c r="DH33" i="29"/>
  <c r="DH35" i="29"/>
  <c r="DC33" i="29"/>
  <c r="DC35" i="29"/>
  <c r="DB32" i="29"/>
  <c r="DB33" i="29"/>
  <c r="DB34" i="29"/>
  <c r="DB35" i="29"/>
  <c r="CW33" i="29"/>
  <c r="CW35" i="29"/>
  <c r="CV33" i="29"/>
  <c r="CV35" i="29"/>
  <c r="CT33" i="29"/>
  <c r="CT35" i="29"/>
  <c r="CS33" i="29"/>
  <c r="CS35" i="29"/>
  <c r="CR33" i="29"/>
  <c r="CR35" i="29"/>
  <c r="CQ32" i="29"/>
  <c r="CQ33" i="29"/>
  <c r="CQ35" i="29"/>
  <c r="CP33" i="29"/>
  <c r="CP35" i="29"/>
  <c r="CN33" i="29"/>
  <c r="CN35" i="29"/>
  <c r="CM33" i="29"/>
  <c r="CM35" i="29"/>
  <c r="CL33" i="29"/>
  <c r="CL35" i="29"/>
  <c r="CG33" i="29"/>
  <c r="CG34" i="29"/>
  <c r="CG35" i="29"/>
  <c r="CF32" i="29"/>
  <c r="CF33" i="29"/>
  <c r="CF34" i="29"/>
  <c r="CF35" i="29"/>
  <c r="CA33" i="29"/>
  <c r="CA35" i="29"/>
  <c r="BZ33" i="29"/>
  <c r="BZ35" i="29"/>
  <c r="BX33" i="29"/>
  <c r="BX35" i="29"/>
  <c r="BW33" i="29"/>
  <c r="BW35" i="29"/>
  <c r="BV33" i="29"/>
  <c r="BV35" i="29"/>
  <c r="BU32" i="29"/>
  <c r="BU33" i="29"/>
  <c r="BU35" i="29"/>
  <c r="BT33" i="29"/>
  <c r="BT35" i="29"/>
  <c r="BR33" i="29"/>
  <c r="BR35" i="29"/>
  <c r="BQ33" i="29"/>
  <c r="BQ35" i="29"/>
  <c r="BP33" i="29"/>
  <c r="BP35" i="29"/>
  <c r="BK33" i="29"/>
  <c r="BK34" i="29"/>
  <c r="BK35" i="29"/>
  <c r="BJ32" i="29"/>
  <c r="BJ33" i="29"/>
  <c r="BJ34" i="29"/>
  <c r="BJ35" i="29"/>
  <c r="BE33" i="29"/>
  <c r="BE35" i="29"/>
  <c r="BD33" i="29"/>
  <c r="BD35" i="29"/>
  <c r="BB33" i="29"/>
  <c r="BB35" i="29"/>
  <c r="BA33" i="29"/>
  <c r="BA35" i="29"/>
  <c r="AZ33" i="29"/>
  <c r="AZ35" i="29"/>
  <c r="AY32" i="29"/>
  <c r="AY33" i="29"/>
  <c r="AY35" i="29"/>
  <c r="AX33" i="29"/>
  <c r="AX35" i="29"/>
  <c r="AV33" i="29"/>
  <c r="AV35" i="29"/>
  <c r="AU33" i="29"/>
  <c r="AU35" i="29"/>
  <c r="AT33" i="29"/>
  <c r="AT35" i="29"/>
  <c r="AO32" i="29"/>
  <c r="AO33" i="29"/>
  <c r="AO34" i="29"/>
  <c r="AO35" i="29"/>
  <c r="AN32" i="29"/>
  <c r="AN33" i="29"/>
  <c r="AN34" i="29"/>
  <c r="AN35" i="29"/>
  <c r="AI33" i="29"/>
  <c r="AI35" i="29"/>
  <c r="AH33" i="29"/>
  <c r="AH35" i="29"/>
  <c r="AF33" i="29"/>
  <c r="AF35" i="29"/>
  <c r="AE32" i="29"/>
  <c r="AE33" i="29"/>
  <c r="AE35" i="29"/>
  <c r="AD33" i="29"/>
  <c r="AD35" i="29"/>
  <c r="AC32" i="29"/>
  <c r="AC33" i="29"/>
  <c r="AC35" i="29"/>
  <c r="AB33" i="29"/>
  <c r="AB35" i="29"/>
  <c r="Z33" i="29"/>
  <c r="Z34" i="29"/>
  <c r="Z35" i="29"/>
  <c r="Y33" i="29"/>
  <c r="Y34" i="29"/>
  <c r="Y35" i="29"/>
  <c r="X33" i="29"/>
  <c r="X34" i="29"/>
  <c r="X35" i="29"/>
  <c r="S32" i="29"/>
  <c r="S33" i="29"/>
  <c r="S34" i="29"/>
  <c r="S35" i="29"/>
  <c r="R32" i="29"/>
  <c r="R33" i="29"/>
  <c r="R34" i="29"/>
  <c r="R35" i="29"/>
  <c r="CO35" i="29"/>
  <c r="E35" i="29"/>
  <c r="E34" i="29"/>
  <c r="E33" i="29"/>
  <c r="E32" i="29"/>
  <c r="E14" i="28"/>
  <c r="E18" i="28"/>
  <c r="E22" i="28"/>
  <c r="E23" i="28"/>
  <c r="D14" i="28"/>
  <c r="D18" i="28"/>
  <c r="D22" i="28"/>
  <c r="D23" i="28"/>
  <c r="BK29" i="29"/>
  <c r="FP28" i="29"/>
  <c r="FK28" i="29"/>
  <c r="C23" i="28" s="1"/>
  <c r="FP27" i="29"/>
  <c r="FK27" i="29"/>
  <c r="C22" i="28" s="1"/>
  <c r="FP26" i="29"/>
  <c r="FK26" i="29"/>
  <c r="FP25" i="29"/>
  <c r="FK25" i="29"/>
  <c r="FP24" i="29"/>
  <c r="FK24" i="29"/>
  <c r="FP23" i="29"/>
  <c r="FK23" i="29"/>
  <c r="FP22" i="29"/>
  <c r="FK22" i="29"/>
  <c r="FP21" i="29"/>
  <c r="FK21" i="29"/>
  <c r="FP20" i="29"/>
  <c r="FK20" i="29"/>
  <c r="FP19" i="29"/>
  <c r="FK19" i="29"/>
  <c r="FP18" i="29"/>
  <c r="FK18" i="29"/>
  <c r="FP17" i="29"/>
  <c r="FK17" i="29"/>
  <c r="FP16" i="29"/>
  <c r="FK16" i="29"/>
  <c r="FP15" i="29"/>
  <c r="FK15" i="29"/>
  <c r="FP14" i="29"/>
  <c r="FK14" i="29"/>
  <c r="FP13" i="29"/>
  <c r="FK13" i="29"/>
  <c r="FP12" i="29"/>
  <c r="FK12" i="29"/>
  <c r="FP11" i="29"/>
  <c r="FK11" i="29"/>
  <c r="FP10" i="29"/>
  <c r="FK10" i="29"/>
  <c r="FP9" i="29"/>
  <c r="FP8" i="29"/>
  <c r="FP7" i="29"/>
  <c r="FP6" i="29"/>
  <c r="FR5" i="29"/>
  <c r="FL5" i="29"/>
  <c r="FQ5" i="29" s="1"/>
  <c r="E5" i="29"/>
  <c r="FK5" i="29" s="1"/>
  <c r="FP5" i="29" s="1"/>
  <c r="FI5" i="29"/>
  <c r="FF5" i="29"/>
  <c r="FC5" i="29"/>
  <c r="FA5" i="29"/>
  <c r="EZ5" i="29"/>
  <c r="EP5" i="29"/>
  <c r="EM5" i="29"/>
  <c r="EJ5" i="29"/>
  <c r="EH5" i="29"/>
  <c r="EG5" i="29"/>
  <c r="DT5" i="29"/>
  <c r="DQ5" i="29"/>
  <c r="DN5" i="29"/>
  <c r="DL5" i="29"/>
  <c r="DK5" i="29"/>
  <c r="CX5" i="29"/>
  <c r="CU5" i="29"/>
  <c r="CR5" i="29"/>
  <c r="CP5" i="29"/>
  <c r="CO5" i="29"/>
  <c r="CB5" i="29"/>
  <c r="BY5" i="29"/>
  <c r="BV5" i="29"/>
  <c r="BT5" i="29"/>
  <c r="BS5" i="29"/>
  <c r="BF5" i="29"/>
  <c r="BC5" i="29"/>
  <c r="AZ5" i="29"/>
  <c r="AX5" i="29"/>
  <c r="AW5" i="29"/>
  <c r="AD5" i="29"/>
  <c r="AB5" i="29"/>
  <c r="AA5" i="29"/>
  <c r="I5" i="29"/>
  <c r="B5" i="29"/>
  <c r="K31" i="28"/>
  <c r="B31" i="28"/>
  <c r="B30" i="28"/>
  <c r="B27" i="28"/>
  <c r="C21" i="28"/>
  <c r="B21" i="28" s="1"/>
  <c r="C20" i="28"/>
  <c r="B20" i="28" s="1"/>
  <c r="L10" i="28"/>
  <c r="K10" i="28"/>
  <c r="J10" i="28"/>
  <c r="I10" i="28"/>
  <c r="D10" i="28"/>
  <c r="C10" i="28"/>
  <c r="B10" i="28"/>
  <c r="J8" i="28"/>
  <c r="E8" i="28"/>
  <c r="G63" i="20"/>
  <c r="F63" i="20"/>
  <c r="E63" i="20"/>
  <c r="D63" i="20"/>
  <c r="D21" i="27"/>
  <c r="J19" i="27"/>
  <c r="J18" i="27"/>
  <c r="H63" i="20"/>
  <c r="I46" i="24"/>
  <c r="I48" i="24"/>
  <c r="I47" i="24"/>
  <c r="H29" i="24"/>
  <c r="H48" i="24" s="1"/>
  <c r="H47" i="24"/>
  <c r="I41" i="24"/>
  <c r="H46" i="24" s="1"/>
  <c r="G29" i="24"/>
  <c r="H41" i="24"/>
  <c r="G46" i="24"/>
  <c r="F29" i="24"/>
  <c r="G41" i="24"/>
  <c r="F46" i="24" s="1"/>
  <c r="E29" i="24"/>
  <c r="E48" i="24" s="1"/>
  <c r="F41" i="24"/>
  <c r="E46" i="24" s="1"/>
  <c r="E41" i="24"/>
  <c r="D46" i="24"/>
  <c r="D29" i="24"/>
  <c r="E16" i="24"/>
  <c r="E44" i="24" s="1"/>
  <c r="E15" i="24"/>
  <c r="D41" i="24"/>
  <c r="B31" i="24"/>
  <c r="D18" i="24"/>
  <c r="D23" i="24"/>
  <c r="D54" i="24" s="1"/>
  <c r="B30" i="24"/>
  <c r="D68" i="24"/>
  <c r="E68" i="24"/>
  <c r="F68" i="24"/>
  <c r="L107" i="24" s="1"/>
  <c r="G68" i="24"/>
  <c r="M107" i="24" s="1"/>
  <c r="H68" i="24"/>
  <c r="N107" i="24" s="1"/>
  <c r="I68" i="24"/>
  <c r="B69" i="24"/>
  <c r="D53" i="24"/>
  <c r="E14" i="24"/>
  <c r="F14" i="24"/>
  <c r="F108" i="24" s="1"/>
  <c r="B74" i="24"/>
  <c r="B73" i="24"/>
  <c r="B72" i="24"/>
  <c r="B71" i="24"/>
  <c r="B70" i="24"/>
  <c r="I76" i="24"/>
  <c r="H76" i="24"/>
  <c r="G76" i="24"/>
  <c r="F76" i="24"/>
  <c r="E76" i="24"/>
  <c r="D76" i="24"/>
  <c r="D108" i="24"/>
  <c r="D112" i="24" s="1"/>
  <c r="B124" i="24"/>
  <c r="E108" i="24"/>
  <c r="E110" i="24" s="1"/>
  <c r="E33" i="24"/>
  <c r="F33" i="24" s="1"/>
  <c r="G33" i="24" s="1"/>
  <c r="H33" i="24" s="1"/>
  <c r="I33" i="24" s="1"/>
  <c r="D34" i="24"/>
  <c r="J108" i="24" s="1"/>
  <c r="E34" i="24"/>
  <c r="B131" i="24"/>
  <c r="B138" i="24"/>
  <c r="B145" i="24"/>
  <c r="B110" i="24"/>
  <c r="K107" i="24"/>
  <c r="B114" i="24"/>
  <c r="O107" i="24"/>
  <c r="B113" i="24"/>
  <c r="B112" i="24"/>
  <c r="E112" i="24" s="1"/>
  <c r="B111" i="24"/>
  <c r="E111" i="24"/>
  <c r="B109" i="24"/>
  <c r="B123" i="24"/>
  <c r="B130" i="24"/>
  <c r="B137" i="24"/>
  <c r="B144" i="24"/>
  <c r="B125" i="24"/>
  <c r="B117" i="24"/>
  <c r="B82" i="24"/>
  <c r="B81" i="24"/>
  <c r="B80" i="24"/>
  <c r="B79" i="24"/>
  <c r="B78" i="24"/>
  <c r="B77" i="24"/>
  <c r="B133" i="24"/>
  <c r="B149" i="24"/>
  <c r="B141" i="24"/>
  <c r="B90" i="24"/>
  <c r="B89" i="24"/>
  <c r="B88" i="24"/>
  <c r="B87" i="24"/>
  <c r="B86" i="24"/>
  <c r="B85" i="24"/>
  <c r="I84" i="24"/>
  <c r="H84" i="24"/>
  <c r="G84" i="24"/>
  <c r="F84" i="24"/>
  <c r="E84" i="24"/>
  <c r="D84" i="24"/>
  <c r="B118" i="24"/>
  <c r="B119" i="24"/>
  <c r="D119" i="24"/>
  <c r="B120" i="24"/>
  <c r="B121" i="24"/>
  <c r="B126" i="24"/>
  <c r="B127" i="24"/>
  <c r="B128" i="24"/>
  <c r="B132" i="24"/>
  <c r="B134" i="24"/>
  <c r="B135" i="24"/>
  <c r="B139" i="24"/>
  <c r="B140" i="24"/>
  <c r="B142" i="24"/>
  <c r="B146" i="24"/>
  <c r="B147" i="24"/>
  <c r="B148" i="24"/>
  <c r="B116" i="24"/>
  <c r="D10" i="24"/>
  <c r="D8" i="20"/>
  <c r="N36" i="21"/>
  <c r="G36" i="21"/>
  <c r="B23" i="20"/>
  <c r="B120" i="20" s="1"/>
  <c r="B22" i="20"/>
  <c r="B106" i="20" s="1"/>
  <c r="B21" i="20"/>
  <c r="B118" i="20" s="1"/>
  <c r="B20" i="20"/>
  <c r="B19" i="20"/>
  <c r="B103" i="20" s="1"/>
  <c r="B18" i="20"/>
  <c r="B102" i="20" s="1"/>
  <c r="B17" i="20"/>
  <c r="B114" i="20" s="1"/>
  <c r="B16" i="20"/>
  <c r="E10" i="24"/>
  <c r="F10" i="24" s="1"/>
  <c r="G10" i="24" s="1"/>
  <c r="H10" i="24" s="1"/>
  <c r="I10" i="24" s="1"/>
  <c r="D17" i="24"/>
  <c r="B10" i="24"/>
  <c r="B116" i="20"/>
  <c r="B115" i="20"/>
  <c r="F40" i="20"/>
  <c r="G40" i="20"/>
  <c r="F46" i="20"/>
  <c r="B94" i="20"/>
  <c r="B88" i="20"/>
  <c r="B93" i="20"/>
  <c r="B92" i="20"/>
  <c r="V33" i="20"/>
  <c r="H24" i="20"/>
  <c r="F30" i="20"/>
  <c r="B105" i="20"/>
  <c r="B101" i="20"/>
  <c r="B87" i="20"/>
  <c r="B86" i="20"/>
  <c r="B107" i="20"/>
  <c r="B64" i="20"/>
  <c r="B51" i="20"/>
  <c r="M21" i="21"/>
  <c r="N25" i="21" s="1"/>
  <c r="N28" i="21" s="1"/>
  <c r="N26" i="21" s="1"/>
  <c r="C12" i="21"/>
  <c r="C10" i="21"/>
  <c r="B24" i="20"/>
  <c r="C19" i="21"/>
  <c r="H18" i="21" s="1"/>
  <c r="I18" i="21" s="1"/>
  <c r="D21" i="21"/>
  <c r="F21" i="21"/>
  <c r="G25" i="21" s="1"/>
  <c r="C18" i="21"/>
  <c r="C16" i="21"/>
  <c r="C8" i="21"/>
  <c r="C9" i="21"/>
  <c r="C11" i="21"/>
  <c r="C14" i="21"/>
  <c r="C15" i="21"/>
  <c r="S27" i="16"/>
  <c r="S8" i="13"/>
  <c r="S9" i="13"/>
  <c r="S18" i="13" s="1"/>
  <c r="S10" i="13"/>
  <c r="S11" i="13"/>
  <c r="S12" i="13"/>
  <c r="S14" i="13"/>
  <c r="S15" i="13"/>
  <c r="S16" i="13"/>
  <c r="R18" i="13"/>
  <c r="S22" i="13" s="1"/>
  <c r="G28" i="13"/>
  <c r="C8" i="13"/>
  <c r="C9" i="13"/>
  <c r="C10" i="13"/>
  <c r="C11" i="13"/>
  <c r="C12" i="13"/>
  <c r="C14" i="13"/>
  <c r="C15" i="13"/>
  <c r="C16" i="13"/>
  <c r="G26" i="13"/>
  <c r="G27" i="13"/>
  <c r="G26" i="16"/>
  <c r="G27" i="16" s="1"/>
  <c r="G27" i="17"/>
  <c r="G28" i="17" s="1"/>
  <c r="S8" i="17"/>
  <c r="S9" i="17"/>
  <c r="S10" i="17"/>
  <c r="S11" i="17"/>
  <c r="S12" i="17"/>
  <c r="S14" i="17"/>
  <c r="S15" i="17"/>
  <c r="S16" i="17"/>
  <c r="R18" i="17"/>
  <c r="S22" i="17" s="1"/>
  <c r="F18" i="17"/>
  <c r="G22" i="17"/>
  <c r="G29" i="17"/>
  <c r="C8" i="17"/>
  <c r="C9" i="17"/>
  <c r="C10" i="17"/>
  <c r="C11" i="17"/>
  <c r="C12" i="17"/>
  <c r="C14" i="17"/>
  <c r="C15" i="17"/>
  <c r="C16" i="17"/>
  <c r="D18" i="17"/>
  <c r="R18" i="16"/>
  <c r="S22" i="16" s="1"/>
  <c r="S8" i="16"/>
  <c r="G28" i="16"/>
  <c r="J8" i="16"/>
  <c r="K8" i="16" s="1"/>
  <c r="C8" i="16"/>
  <c r="L8" i="16"/>
  <c r="N8" i="16" s="1"/>
  <c r="J9" i="16"/>
  <c r="K9" i="16" s="1"/>
  <c r="C9" i="16"/>
  <c r="L9" i="16" s="1"/>
  <c r="J10" i="16"/>
  <c r="K10" i="16" s="1"/>
  <c r="L10" i="16" s="1"/>
  <c r="C10" i="16"/>
  <c r="J11" i="16"/>
  <c r="K11" i="16" s="1"/>
  <c r="L11" i="16" s="1"/>
  <c r="C11" i="16"/>
  <c r="J12" i="16"/>
  <c r="K12" i="16" s="1"/>
  <c r="L12" i="16" s="1"/>
  <c r="N12" i="16" s="1"/>
  <c r="C12" i="16"/>
  <c r="J14" i="16"/>
  <c r="K14" i="16" s="1"/>
  <c r="L14" i="16" s="1"/>
  <c r="C14" i="16"/>
  <c r="J15" i="16"/>
  <c r="K15" i="16" s="1"/>
  <c r="L15" i="16" s="1"/>
  <c r="C15" i="16"/>
  <c r="J16" i="16"/>
  <c r="K16" i="16" s="1"/>
  <c r="L16" i="16" s="1"/>
  <c r="C16" i="16"/>
  <c r="S9" i="16"/>
  <c r="S10" i="16"/>
  <c r="S11" i="16"/>
  <c r="S12" i="16"/>
  <c r="S14" i="16"/>
  <c r="S15" i="16"/>
  <c r="S16" i="16"/>
  <c r="F18" i="16"/>
  <c r="G22" i="16" s="1"/>
  <c r="N16" i="16"/>
  <c r="D18" i="16"/>
  <c r="G24" i="15"/>
  <c r="G27" i="15" s="1"/>
  <c r="F19" i="15"/>
  <c r="G23" i="15" s="1"/>
  <c r="C8" i="15"/>
  <c r="C9" i="15"/>
  <c r="C10" i="15"/>
  <c r="C11" i="15"/>
  <c r="C12" i="15"/>
  <c r="C14" i="15"/>
  <c r="C15" i="15"/>
  <c r="C17" i="15"/>
  <c r="D19" i="15"/>
  <c r="C17" i="14"/>
  <c r="F19" i="14"/>
  <c r="G23" i="14" s="1"/>
  <c r="D19" i="14"/>
  <c r="C8" i="14"/>
  <c r="C9" i="14"/>
  <c r="C10" i="14"/>
  <c r="C11" i="14"/>
  <c r="C12" i="14"/>
  <c r="C14" i="14"/>
  <c r="C15" i="14"/>
  <c r="F18" i="13"/>
  <c r="G22" i="13" s="1"/>
  <c r="D18" i="13"/>
  <c r="G23" i="12"/>
  <c r="F17" i="12"/>
  <c r="G21" i="12" s="1"/>
  <c r="G25" i="12" s="1"/>
  <c r="G24" i="12"/>
  <c r="J10" i="12" s="1"/>
  <c r="K10" i="12" s="1"/>
  <c r="J8" i="12"/>
  <c r="K8" i="12" s="1"/>
  <c r="C8" i="12"/>
  <c r="J9" i="12"/>
  <c r="K9" i="12" s="1"/>
  <c r="L9" i="12" s="1"/>
  <c r="C9" i="12"/>
  <c r="C10" i="12"/>
  <c r="J11" i="12"/>
  <c r="K11" i="12"/>
  <c r="L11" i="12" s="1"/>
  <c r="C11" i="12"/>
  <c r="J12" i="12"/>
  <c r="K12" i="12" s="1"/>
  <c r="L12" i="12" s="1"/>
  <c r="C12" i="12"/>
  <c r="J14" i="12"/>
  <c r="K14" i="12" s="1"/>
  <c r="L14" i="12" s="1"/>
  <c r="C14" i="12"/>
  <c r="C15" i="12"/>
  <c r="D17" i="12"/>
  <c r="M18" i="11"/>
  <c r="N22" i="11" s="1"/>
  <c r="F18" i="11"/>
  <c r="G22" i="11" s="1"/>
  <c r="D18" i="11"/>
  <c r="C16" i="11"/>
  <c r="G25" i="11"/>
  <c r="C8" i="11"/>
  <c r="C9" i="11"/>
  <c r="C10" i="11"/>
  <c r="C11" i="11"/>
  <c r="C12" i="11"/>
  <c r="C14" i="11"/>
  <c r="C15" i="11"/>
  <c r="G24" i="10"/>
  <c r="G10" i="10" s="1"/>
  <c r="H10" i="10" s="1"/>
  <c r="I10" i="10" s="1"/>
  <c r="K10" i="10" s="1"/>
  <c r="C8" i="10"/>
  <c r="G9" i="10"/>
  <c r="H9" i="10" s="1"/>
  <c r="I9" i="10" s="1"/>
  <c r="C9" i="10"/>
  <c r="C10" i="10"/>
  <c r="G11" i="10"/>
  <c r="H11" i="10" s="1"/>
  <c r="I11" i="10" s="1"/>
  <c r="C11" i="10"/>
  <c r="C12" i="10"/>
  <c r="G14" i="10"/>
  <c r="H14" i="10" s="1"/>
  <c r="I14" i="10" s="1"/>
  <c r="C14" i="10"/>
  <c r="C15" i="10"/>
  <c r="F17" i="10"/>
  <c r="G21" i="10" s="1"/>
  <c r="D17" i="10"/>
  <c r="D67" i="20"/>
  <c r="E67" i="20"/>
  <c r="F67" i="20"/>
  <c r="G67" i="20"/>
  <c r="H67" i="20"/>
  <c r="ER29" i="29" l="1"/>
  <c r="BK32" i="29"/>
  <c r="ES26" i="29"/>
  <c r="ES6" i="29"/>
  <c r="ES15" i="29"/>
  <c r="ES11" i="29"/>
  <c r="CO51" i="29"/>
  <c r="H90" i="30"/>
  <c r="DK53" i="29"/>
  <c r="EG35" i="29"/>
  <c r="EZ35" i="29"/>
  <c r="D94" i="30"/>
  <c r="AW53" i="29"/>
  <c r="AO49" i="29"/>
  <c r="K64" i="30"/>
  <c r="BS53" i="29"/>
  <c r="W28" i="29"/>
  <c r="W27" i="29"/>
  <c r="ES18" i="29"/>
  <c r="ES14" i="29"/>
  <c r="ES20" i="29"/>
  <c r="DC32" i="29"/>
  <c r="DC36" i="29" s="1"/>
  <c r="AO55" i="29"/>
  <c r="BS33" i="29"/>
  <c r="AW54" i="29"/>
  <c r="B21" i="30"/>
  <c r="B165" i="30" s="1"/>
  <c r="ES7" i="29"/>
  <c r="ES48" i="29" s="1"/>
  <c r="AA53" i="29"/>
  <c r="DK51" i="29"/>
  <c r="EZ53" i="29"/>
  <c r="D116" i="30"/>
  <c r="E64" i="30"/>
  <c r="I116" i="30"/>
  <c r="ES19" i="29"/>
  <c r="AQ7" i="29"/>
  <c r="BM7" i="29" s="1"/>
  <c r="CI7" i="29" s="1"/>
  <c r="DE7" i="29" s="1"/>
  <c r="EA7" i="29" s="1"/>
  <c r="K29" i="28"/>
  <c r="I94" i="30"/>
  <c r="E94" i="30"/>
  <c r="J90" i="30"/>
  <c r="F90" i="30"/>
  <c r="L94" i="30"/>
  <c r="F94" i="30"/>
  <c r="K90" i="30"/>
  <c r="G90" i="30"/>
  <c r="J52" i="29"/>
  <c r="K52" i="29"/>
  <c r="I52" i="29"/>
  <c r="CF52" i="29"/>
  <c r="BU52" i="29"/>
  <c r="BT52" i="29"/>
  <c r="BR52" i="29"/>
  <c r="BQ52" i="29"/>
  <c r="BP52" i="29"/>
  <c r="BA52" i="29"/>
  <c r="AZ52" i="29"/>
  <c r="S52" i="29"/>
  <c r="R52" i="29"/>
  <c r="M52" i="29"/>
  <c r="FG52" i="29"/>
  <c r="ER52" i="29"/>
  <c r="DY52" i="29"/>
  <c r="DS52" i="29"/>
  <c r="DR52" i="29"/>
  <c r="DP52" i="29"/>
  <c r="DO52" i="29"/>
  <c r="DN52" i="29"/>
  <c r="DC52" i="29"/>
  <c r="CW52" i="29"/>
  <c r="CV52" i="29"/>
  <c r="CT52" i="29"/>
  <c r="CS52" i="29"/>
  <c r="CR52" i="29"/>
  <c r="BK52" i="29"/>
  <c r="BE52" i="29"/>
  <c r="BD52" i="29"/>
  <c r="BB52" i="29"/>
  <c r="AY52" i="29"/>
  <c r="AX52" i="29"/>
  <c r="AV52" i="29"/>
  <c r="AU52" i="29"/>
  <c r="AT52" i="29"/>
  <c r="AI52" i="29"/>
  <c r="AH52" i="29"/>
  <c r="AF52" i="29"/>
  <c r="K48" i="29"/>
  <c r="I48" i="29"/>
  <c r="DY48" i="29"/>
  <c r="CF48" i="29"/>
  <c r="BU48" i="29"/>
  <c r="S48" i="29"/>
  <c r="R48" i="29"/>
  <c r="BK48" i="29"/>
  <c r="AY48" i="29"/>
  <c r="M29" i="29"/>
  <c r="N39" i="29" s="1"/>
  <c r="AQ9" i="29"/>
  <c r="BM9" i="29" s="1"/>
  <c r="CI9" i="29" s="1"/>
  <c r="DE9" i="29" s="1"/>
  <c r="EA9" i="29" s="1"/>
  <c r="AO50" i="29"/>
  <c r="BA8" i="29"/>
  <c r="BA32" i="29" s="1"/>
  <c r="AE49" i="29"/>
  <c r="K55" i="29"/>
  <c r="BS35" i="29"/>
  <c r="I31" i="28"/>
  <c r="CO52" i="29"/>
  <c r="DB52" i="29"/>
  <c r="DB48" i="29"/>
  <c r="DC48" i="29"/>
  <c r="DJ52" i="29"/>
  <c r="DK52" i="29" s="1"/>
  <c r="DX52" i="29"/>
  <c r="DX48" i="29"/>
  <c r="EE52" i="29"/>
  <c r="EI52" i="29"/>
  <c r="EK52" i="29"/>
  <c r="EW52" i="29"/>
  <c r="EY52" i="29"/>
  <c r="EZ52" i="29" s="1"/>
  <c r="I90" i="30"/>
  <c r="J94" i="30"/>
  <c r="B20" i="30"/>
  <c r="B164" i="30" s="1"/>
  <c r="FH51" i="29"/>
  <c r="FB51" i="29"/>
  <c r="FA51" i="29"/>
  <c r="EY51" i="29"/>
  <c r="EX51" i="29"/>
  <c r="EW51" i="29"/>
  <c r="EI51" i="29"/>
  <c r="EF51" i="29"/>
  <c r="EE51" i="29"/>
  <c r="ED51" i="29"/>
  <c r="CG51" i="29"/>
  <c r="CA51" i="29"/>
  <c r="BZ51" i="29"/>
  <c r="BX51" i="29"/>
  <c r="BW51" i="29"/>
  <c r="BV51" i="29"/>
  <c r="AC51" i="29"/>
  <c r="AB51" i="29"/>
  <c r="Z51" i="29"/>
  <c r="Y51" i="29"/>
  <c r="X51" i="29"/>
  <c r="K51" i="29"/>
  <c r="I51" i="29"/>
  <c r="FD51" i="29"/>
  <c r="CF51" i="29"/>
  <c r="BU51" i="29"/>
  <c r="BT51" i="29"/>
  <c r="BR51" i="29"/>
  <c r="BQ51" i="29"/>
  <c r="BP51" i="29"/>
  <c r="BA51" i="29"/>
  <c r="AZ51" i="29"/>
  <c r="S51" i="29"/>
  <c r="R51" i="29"/>
  <c r="EH54" i="29"/>
  <c r="B17" i="30"/>
  <c r="B161" i="30" s="1"/>
  <c r="FG54" i="29"/>
  <c r="ES54" i="29"/>
  <c r="EO54" i="29"/>
  <c r="EN54" i="29"/>
  <c r="EL54" i="29"/>
  <c r="EK54" i="29"/>
  <c r="EJ54" i="29"/>
  <c r="DX54" i="29"/>
  <c r="DM54" i="29"/>
  <c r="DL54" i="29"/>
  <c r="DJ54" i="29"/>
  <c r="DI54" i="29"/>
  <c r="DH54" i="29"/>
  <c r="DB54" i="29"/>
  <c r="CQ54" i="29"/>
  <c r="CP54" i="29"/>
  <c r="CN54" i="29"/>
  <c r="CM54" i="29"/>
  <c r="CL54" i="29"/>
  <c r="BJ54" i="29"/>
  <c r="AO54" i="29"/>
  <c r="AN54" i="29"/>
  <c r="AE54" i="29"/>
  <c r="AD54" i="29"/>
  <c r="D16" i="30"/>
  <c r="B46" i="30" s="1"/>
  <c r="B139" i="30" s="1"/>
  <c r="FA54" i="29"/>
  <c r="EY54" i="29"/>
  <c r="EX54" i="29"/>
  <c r="EW54" i="29"/>
  <c r="EI54" i="29"/>
  <c r="EF54" i="29"/>
  <c r="EE54" i="29"/>
  <c r="ED54" i="29"/>
  <c r="CG54" i="29"/>
  <c r="CA54" i="29"/>
  <c r="BZ54" i="29"/>
  <c r="BX54" i="29"/>
  <c r="BW54" i="29"/>
  <c r="BV54" i="29"/>
  <c r="AC54" i="29"/>
  <c r="AB54" i="29"/>
  <c r="Z54" i="29"/>
  <c r="Y54" i="29"/>
  <c r="X54" i="29"/>
  <c r="AM26" i="29"/>
  <c r="W26" i="29"/>
  <c r="AM22" i="29"/>
  <c r="W22" i="29"/>
  <c r="AM18" i="29"/>
  <c r="W18" i="29"/>
  <c r="AM15" i="29"/>
  <c r="W15" i="29"/>
  <c r="AM11" i="29"/>
  <c r="W11" i="29"/>
  <c r="E12" i="28"/>
  <c r="I14" i="28"/>
  <c r="D12" i="28"/>
  <c r="I12" i="28"/>
  <c r="I29" i="28"/>
  <c r="I21" i="28" s="1"/>
  <c r="D90" i="30"/>
  <c r="L90" i="30"/>
  <c r="H94" i="30"/>
  <c r="K94" i="30"/>
  <c r="DY55" i="29"/>
  <c r="AR19" i="29"/>
  <c r="AP19" i="29"/>
  <c r="BL19" i="29" s="1"/>
  <c r="CH19" i="29" s="1"/>
  <c r="DD19" i="29" s="1"/>
  <c r="DZ19" i="29" s="1"/>
  <c r="ES25" i="29"/>
  <c r="ES13" i="29"/>
  <c r="ES9" i="29"/>
  <c r="ES50" i="29" s="1"/>
  <c r="ES16" i="29"/>
  <c r="CG55" i="29"/>
  <c r="ES27" i="29"/>
  <c r="AM23" i="29"/>
  <c r="W23" i="29"/>
  <c r="AM19" i="29"/>
  <c r="W19" i="29"/>
  <c r="AM12" i="29"/>
  <c r="W12" i="29"/>
  <c r="ES24" i="29"/>
  <c r="ES22" i="29"/>
  <c r="AM25" i="29"/>
  <c r="W25" i="29"/>
  <c r="AM21" i="29"/>
  <c r="W21" i="29"/>
  <c r="AM17" i="29"/>
  <c r="W17" i="29"/>
  <c r="AM14" i="29"/>
  <c r="W14" i="29"/>
  <c r="AM10" i="29"/>
  <c r="W10" i="29"/>
  <c r="AQ16" i="29"/>
  <c r="DY49" i="29"/>
  <c r="BN19" i="29"/>
  <c r="CJ19" i="29" s="1"/>
  <c r="DF19" i="29" s="1"/>
  <c r="AM24" i="29"/>
  <c r="W24" i="29"/>
  <c r="AM20" i="29"/>
  <c r="W20" i="29"/>
  <c r="AM16" i="29"/>
  <c r="W16" i="29"/>
  <c r="AM13" i="29"/>
  <c r="W13" i="29"/>
  <c r="ES12" i="29"/>
  <c r="AP12" i="29"/>
  <c r="BL12" i="29" s="1"/>
  <c r="CH12" i="29" s="1"/>
  <c r="DD12" i="29" s="1"/>
  <c r="DZ12" i="29" s="1"/>
  <c r="BN6" i="29"/>
  <c r="CJ6" i="29" s="1"/>
  <c r="DF6" i="29" s="1"/>
  <c r="DC50" i="29"/>
  <c r="EG54" i="29"/>
  <c r="ES10" i="29"/>
  <c r="ER48" i="29"/>
  <c r="ES8" i="29"/>
  <c r="ES49" i="29" s="1"/>
  <c r="AQ8" i="29"/>
  <c r="AS8" i="29" s="1"/>
  <c r="B153" i="30"/>
  <c r="B143" i="30"/>
  <c r="B104" i="30"/>
  <c r="F30" i="28"/>
  <c r="BN15" i="29"/>
  <c r="CJ15" i="29" s="1"/>
  <c r="DF15" i="29" s="1"/>
  <c r="AP6" i="29"/>
  <c r="BL6" i="29" s="1"/>
  <c r="CH6" i="29" s="1"/>
  <c r="DD6" i="29" s="1"/>
  <c r="DZ6" i="29" s="1"/>
  <c r="B192" i="30"/>
  <c r="F13" i="28"/>
  <c r="AQ6" i="29"/>
  <c r="BM6" i="29" s="1"/>
  <c r="CI6" i="29" s="1"/>
  <c r="DE6" i="29" s="1"/>
  <c r="EA6" i="29" s="1"/>
  <c r="AW33" i="29"/>
  <c r="G92" i="29"/>
  <c r="E68" i="30"/>
  <c r="Q6" i="29"/>
  <c r="W6" i="29" s="1"/>
  <c r="M42" i="29"/>
  <c r="J42" i="29"/>
  <c r="I42" i="29"/>
  <c r="K42" i="29"/>
  <c r="K45" i="29" s="1"/>
  <c r="AP16" i="29"/>
  <c r="BL16" i="29" s="1"/>
  <c r="CH16" i="29" s="1"/>
  <c r="DD16" i="29" s="1"/>
  <c r="DZ16" i="29" s="1"/>
  <c r="AP15" i="29"/>
  <c r="BL15" i="29" s="1"/>
  <c r="CH15" i="29" s="1"/>
  <c r="DD15" i="29" s="1"/>
  <c r="DZ15" i="29" s="1"/>
  <c r="AP7" i="29"/>
  <c r="BL7" i="29" s="1"/>
  <c r="CH7" i="29" s="1"/>
  <c r="DD7" i="29" s="1"/>
  <c r="DZ7" i="29" s="1"/>
  <c r="AM9" i="29"/>
  <c r="AS9" i="29" s="1"/>
  <c r="AM7" i="29"/>
  <c r="R44" i="29"/>
  <c r="R41" i="29"/>
  <c r="BA48" i="29"/>
  <c r="BW6" i="29"/>
  <c r="C17" i="28"/>
  <c r="C19" i="28"/>
  <c r="C15" i="28"/>
  <c r="BW9" i="29"/>
  <c r="BA50" i="29"/>
  <c r="CF36" i="29"/>
  <c r="ER55" i="29"/>
  <c r="H64" i="30"/>
  <c r="G116" i="30"/>
  <c r="L116" i="30"/>
  <c r="F68" i="30"/>
  <c r="J68" i="30"/>
  <c r="F22" i="28"/>
  <c r="F23" i="28"/>
  <c r="C18" i="28"/>
  <c r="F18" i="28"/>
  <c r="ES28" i="29"/>
  <c r="DC55" i="29"/>
  <c r="AR13" i="29"/>
  <c r="BN13" i="29" s="1"/>
  <c r="CJ13" i="29" s="1"/>
  <c r="DF13" i="29" s="1"/>
  <c r="AR12" i="29"/>
  <c r="BN12" i="29" s="1"/>
  <c r="CJ12" i="29" s="1"/>
  <c r="DF12" i="29" s="1"/>
  <c r="BN11" i="29"/>
  <c r="CJ11" i="29" s="1"/>
  <c r="DF11" i="29" s="1"/>
  <c r="EB11" i="29" s="1"/>
  <c r="AR9" i="29"/>
  <c r="BN9" i="29" s="1"/>
  <c r="CJ9" i="29" s="1"/>
  <c r="AN36" i="29"/>
  <c r="F31" i="28"/>
  <c r="AA52" i="29"/>
  <c r="D64" i="30"/>
  <c r="I64" i="30"/>
  <c r="H116" i="30"/>
  <c r="L68" i="30"/>
  <c r="BN7" i="29"/>
  <c r="CJ7" i="29" s="1"/>
  <c r="DF7" i="29" s="1"/>
  <c r="J29" i="28"/>
  <c r="J21" i="28" s="1"/>
  <c r="J31" i="28"/>
  <c r="S36" i="29"/>
  <c r="AA35" i="29"/>
  <c r="AL92" i="29"/>
  <c r="G64" i="30"/>
  <c r="L64" i="30"/>
  <c r="E116" i="30"/>
  <c r="K116" i="30"/>
  <c r="D68" i="30"/>
  <c r="G68" i="30"/>
  <c r="H68" i="30"/>
  <c r="K68" i="30"/>
  <c r="F14" i="28"/>
  <c r="DC29" i="29"/>
  <c r="ES23" i="29"/>
  <c r="ES21" i="29"/>
  <c r="BM12" i="29"/>
  <c r="CI12" i="29" s="1"/>
  <c r="DE12" i="29" s="1"/>
  <c r="EA12" i="29" s="1"/>
  <c r="AR17" i="29"/>
  <c r="BN17" i="29" s="1"/>
  <c r="CJ17" i="29" s="1"/>
  <c r="DF17" i="29" s="1"/>
  <c r="AQ13" i="29"/>
  <c r="BM13" i="29" s="1"/>
  <c r="CI13" i="29" s="1"/>
  <c r="DE13" i="29" s="1"/>
  <c r="EA13" i="29" s="1"/>
  <c r="AP11" i="29"/>
  <c r="BL11" i="29" s="1"/>
  <c r="CH11" i="29" s="1"/>
  <c r="DD11" i="29" s="1"/>
  <c r="DZ11" i="29" s="1"/>
  <c r="DY29" i="29"/>
  <c r="BN8" i="29"/>
  <c r="CJ8" i="29" s="1"/>
  <c r="AP8" i="29"/>
  <c r="BL8" i="29" s="1"/>
  <c r="CH8" i="29" s="1"/>
  <c r="DD8" i="29" s="1"/>
  <c r="DZ8" i="29" s="1"/>
  <c r="BM8" i="29"/>
  <c r="BO8" i="29" s="1"/>
  <c r="BK36" i="29"/>
  <c r="AA33" i="29"/>
  <c r="G17" i="15"/>
  <c r="G12" i="15"/>
  <c r="H12" i="15" s="1"/>
  <c r="I12" i="15" s="1"/>
  <c r="G15" i="15"/>
  <c r="H15" i="15" s="1"/>
  <c r="E17" i="28"/>
  <c r="T8" i="16"/>
  <c r="U8" i="16" s="1"/>
  <c r="X8" i="16" s="1"/>
  <c r="E16" i="28"/>
  <c r="G20" i="29"/>
  <c r="G9" i="29"/>
  <c r="G11" i="29"/>
  <c r="G19" i="29"/>
  <c r="G27" i="29"/>
  <c r="G15" i="29"/>
  <c r="G23" i="29"/>
  <c r="G12" i="29"/>
  <c r="G28" i="29"/>
  <c r="G7" i="29"/>
  <c r="G16" i="29"/>
  <c r="G24" i="29"/>
  <c r="G10" i="29"/>
  <c r="G14" i="29"/>
  <c r="G18" i="29"/>
  <c r="G22" i="29"/>
  <c r="G26" i="29"/>
  <c r="D19" i="28"/>
  <c r="T15" i="13"/>
  <c r="U15" i="13" s="1"/>
  <c r="T10" i="13"/>
  <c r="U10" i="13" s="1"/>
  <c r="X10" i="13" s="1"/>
  <c r="G6" i="29"/>
  <c r="G13" i="29"/>
  <c r="G17" i="29"/>
  <c r="G21" i="29"/>
  <c r="G25" i="29"/>
  <c r="G8" i="29"/>
  <c r="F114" i="24"/>
  <c r="F111" i="24"/>
  <c r="F110" i="24"/>
  <c r="F118" i="24"/>
  <c r="F116" i="24"/>
  <c r="F117" i="24"/>
  <c r="F121" i="24"/>
  <c r="F109" i="24"/>
  <c r="EK17" i="29"/>
  <c r="G28" i="21"/>
  <c r="G26" i="21" s="1"/>
  <c r="G29" i="21" s="1"/>
  <c r="G10" i="21" s="1"/>
  <c r="H10" i="21" s="1"/>
  <c r="I10" i="21" s="1"/>
  <c r="K10" i="21" s="1"/>
  <c r="AN56" i="29"/>
  <c r="CO53" i="29"/>
  <c r="B200" i="30"/>
  <c r="B188" i="30"/>
  <c r="B175" i="30"/>
  <c r="B162" i="30"/>
  <c r="M55" i="29"/>
  <c r="M33" i="29"/>
  <c r="F12" i="28"/>
  <c r="M32" i="29"/>
  <c r="BM17" i="29"/>
  <c r="CI17" i="29" s="1"/>
  <c r="DE17" i="29" s="1"/>
  <c r="EA17" i="29" s="1"/>
  <c r="G12" i="10"/>
  <c r="H12" i="10" s="1"/>
  <c r="I12" i="10" s="1"/>
  <c r="K12" i="10" s="1"/>
  <c r="G8" i="10"/>
  <c r="H8" i="10" s="1"/>
  <c r="G11" i="15"/>
  <c r="H11" i="15" s="1"/>
  <c r="I11" i="15" s="1"/>
  <c r="K11" i="15" s="1"/>
  <c r="G10" i="15"/>
  <c r="H10" i="15" s="1"/>
  <c r="I10" i="15" s="1"/>
  <c r="K10" i="15" s="1"/>
  <c r="G8" i="15"/>
  <c r="H8" i="15" s="1"/>
  <c r="D128" i="24"/>
  <c r="F16" i="24"/>
  <c r="F44" i="24" s="1"/>
  <c r="D17" i="28"/>
  <c r="DX36" i="29"/>
  <c r="AW51" i="29"/>
  <c r="BJ56" i="29"/>
  <c r="BK55" i="29"/>
  <c r="BK56" i="29" s="1"/>
  <c r="BS54" i="29"/>
  <c r="ES17" i="29"/>
  <c r="S21" i="27"/>
  <c r="FK8" i="29"/>
  <c r="C14" i="28" s="1"/>
  <c r="CG29" i="29"/>
  <c r="BN16" i="29"/>
  <c r="CJ16" i="29" s="1"/>
  <c r="DF16" i="29" s="1"/>
  <c r="BM16" i="29"/>
  <c r="CI16" i="29" s="1"/>
  <c r="DE16" i="29" s="1"/>
  <c r="EA16" i="29" s="1"/>
  <c r="S30" i="27"/>
  <c r="S28" i="27" s="1"/>
  <c r="AW35" i="29"/>
  <c r="CO33" i="29"/>
  <c r="DK35" i="29"/>
  <c r="DY36" i="29"/>
  <c r="EZ33" i="29"/>
  <c r="B166" i="30"/>
  <c r="EH52" i="29"/>
  <c r="EG52" i="29" s="1"/>
  <c r="F16" i="30"/>
  <c r="B72" i="30" s="1"/>
  <c r="B141" i="30" s="1"/>
  <c r="FH52" i="29"/>
  <c r="FC52" i="29"/>
  <c r="FB52" i="29"/>
  <c r="B19" i="30"/>
  <c r="B163" i="30" s="1"/>
  <c r="FE52" i="29"/>
  <c r="M48" i="29"/>
  <c r="J48" i="29"/>
  <c r="J51" i="30"/>
  <c r="E51" i="30"/>
  <c r="K55" i="30"/>
  <c r="I55" i="30"/>
  <c r="I51" i="30"/>
  <c r="D51" i="30"/>
  <c r="H51" i="30"/>
  <c r="I15" i="15"/>
  <c r="S18" i="16"/>
  <c r="B119" i="20"/>
  <c r="D127" i="24"/>
  <c r="D16" i="28"/>
  <c r="G15" i="10"/>
  <c r="H15" i="10" s="1"/>
  <c r="I15" i="10" s="1"/>
  <c r="K15" i="10" s="1"/>
  <c r="G14" i="15"/>
  <c r="H14" i="15" s="1"/>
  <c r="I14" i="15" s="1"/>
  <c r="K14" i="15" s="1"/>
  <c r="G9" i="15"/>
  <c r="H9" i="15" s="1"/>
  <c r="I9" i="15" s="1"/>
  <c r="D120" i="24"/>
  <c r="E47" i="24"/>
  <c r="D15" i="28"/>
  <c r="DK33" i="29"/>
  <c r="EG33" i="29"/>
  <c r="K36" i="29"/>
  <c r="DC49" i="29"/>
  <c r="I107" i="30"/>
  <c r="I103" i="30"/>
  <c r="H103" i="30"/>
  <c r="AR18" i="29"/>
  <c r="BN18" i="29" s="1"/>
  <c r="CJ18" i="29" s="1"/>
  <c r="AQ18" i="29"/>
  <c r="BM18" i="29" s="1"/>
  <c r="CI18" i="29" s="1"/>
  <c r="DE18" i="29" s="1"/>
  <c r="EA18" i="29" s="1"/>
  <c r="AO29" i="29"/>
  <c r="AP18" i="29"/>
  <c r="BL18" i="29" s="1"/>
  <c r="CH18" i="29" s="1"/>
  <c r="DD18" i="29" s="1"/>
  <c r="DZ18" i="29" s="1"/>
  <c r="C13" i="28"/>
  <c r="AQ19" i="29"/>
  <c r="BM19" i="29" s="1"/>
  <c r="CI19" i="29" s="1"/>
  <c r="DE19" i="29" s="1"/>
  <c r="EA19" i="29" s="1"/>
  <c r="AQ15" i="29"/>
  <c r="BM15" i="29" s="1"/>
  <c r="CI15" i="29" s="1"/>
  <c r="DE15" i="29" s="1"/>
  <c r="EA15" i="29" s="1"/>
  <c r="AP14" i="29"/>
  <c r="BL14" i="29" s="1"/>
  <c r="CH14" i="29" s="1"/>
  <c r="DD14" i="29" s="1"/>
  <c r="DZ14" i="29" s="1"/>
  <c r="AQ11" i="29"/>
  <c r="BM11" i="29" s="1"/>
  <c r="CI11" i="29" s="1"/>
  <c r="DE11" i="29" s="1"/>
  <c r="EA11" i="29" s="1"/>
  <c r="AP10" i="29"/>
  <c r="BL10" i="29" s="1"/>
  <c r="CH10" i="29" s="1"/>
  <c r="DD10" i="29" s="1"/>
  <c r="DZ10" i="29" s="1"/>
  <c r="K29" i="29"/>
  <c r="L44" i="29" s="1"/>
  <c r="BH92" i="29"/>
  <c r="F120" i="30"/>
  <c r="G120" i="30"/>
  <c r="K120" i="30"/>
  <c r="C12" i="28"/>
  <c r="BL13" i="29"/>
  <c r="CH13" i="29" s="1"/>
  <c r="DD13" i="29" s="1"/>
  <c r="DZ13" i="29" s="1"/>
  <c r="AP17" i="29"/>
  <c r="BL17" i="29" s="1"/>
  <c r="CH17" i="29" s="1"/>
  <c r="DD17" i="29" s="1"/>
  <c r="DZ17" i="29" s="1"/>
  <c r="AQ14" i="29"/>
  <c r="BM14" i="29" s="1"/>
  <c r="CI14" i="29" s="1"/>
  <c r="DE14" i="29" s="1"/>
  <c r="EA14" i="29" s="1"/>
  <c r="AQ10" i="29"/>
  <c r="BM10" i="29" s="1"/>
  <c r="CI10" i="29" s="1"/>
  <c r="DE10" i="29" s="1"/>
  <c r="EA10" i="29" s="1"/>
  <c r="AP9" i="29"/>
  <c r="BL9" i="29" s="1"/>
  <c r="CH9" i="29" s="1"/>
  <c r="DD9" i="29" s="1"/>
  <c r="DZ9" i="29" s="1"/>
  <c r="D120" i="30"/>
  <c r="E120" i="30"/>
  <c r="H120" i="30"/>
  <c r="J120" i="30"/>
  <c r="L120" i="30"/>
  <c r="T15" i="17"/>
  <c r="U15" i="17" s="1"/>
  <c r="V15" i="17" s="1"/>
  <c r="T10" i="17"/>
  <c r="U10" i="17" s="1"/>
  <c r="T14" i="13"/>
  <c r="U14" i="13" s="1"/>
  <c r="T9" i="13"/>
  <c r="U9" i="13" s="1"/>
  <c r="X9" i="13" s="1"/>
  <c r="T14" i="17"/>
  <c r="U14" i="17" s="1"/>
  <c r="V14" i="17" s="1"/>
  <c r="T9" i="17"/>
  <c r="U9" i="17" s="1"/>
  <c r="T14" i="33"/>
  <c r="U14" i="33" s="1"/>
  <c r="V14" i="33" s="1"/>
  <c r="P28" i="29"/>
  <c r="P27" i="29"/>
  <c r="N14" i="12"/>
  <c r="O14" i="12"/>
  <c r="O12" i="12"/>
  <c r="N12" i="12"/>
  <c r="B100" i="20"/>
  <c r="B113" i="20"/>
  <c r="D55" i="24"/>
  <c r="J107" i="24"/>
  <c r="K12" i="15"/>
  <c r="G8" i="21"/>
  <c r="H8" i="21" s="1"/>
  <c r="G11" i="21"/>
  <c r="H11" i="21" s="1"/>
  <c r="I11" i="21" s="1"/>
  <c r="G15" i="21"/>
  <c r="H15" i="21" s="1"/>
  <c r="D125" i="24"/>
  <c r="B104" i="20"/>
  <c r="B117" i="20"/>
  <c r="G24" i="11"/>
  <c r="G26" i="11" s="1"/>
  <c r="I8" i="15"/>
  <c r="K14" i="10"/>
  <c r="K9" i="10"/>
  <c r="O16" i="16"/>
  <c r="O10" i="16"/>
  <c r="N10" i="16"/>
  <c r="M10" i="16"/>
  <c r="L18" i="16"/>
  <c r="M15" i="16" s="1"/>
  <c r="D123" i="24"/>
  <c r="G47" i="24"/>
  <c r="G48" i="24"/>
  <c r="O9" i="12"/>
  <c r="N9" i="12"/>
  <c r="L10" i="12"/>
  <c r="K9" i="15"/>
  <c r="O9" i="16"/>
  <c r="N9" i="16"/>
  <c r="M9" i="16"/>
  <c r="J10" i="17"/>
  <c r="K10" i="17" s="1"/>
  <c r="L10" i="17" s="1"/>
  <c r="J15" i="17"/>
  <c r="K15" i="17" s="1"/>
  <c r="L15" i="17" s="1"/>
  <c r="J11" i="17"/>
  <c r="K11" i="17" s="1"/>
  <c r="L11" i="17" s="1"/>
  <c r="J16" i="17"/>
  <c r="K16" i="17" s="1"/>
  <c r="L16" i="17" s="1"/>
  <c r="J8" i="17"/>
  <c r="K8" i="17" s="1"/>
  <c r="J9" i="17"/>
  <c r="K9" i="17" s="1"/>
  <c r="L9" i="17" s="1"/>
  <c r="J12" i="17"/>
  <c r="K12" i="17" s="1"/>
  <c r="L12" i="17" s="1"/>
  <c r="J14" i="17"/>
  <c r="K14" i="17" s="1"/>
  <c r="L14" i="17" s="1"/>
  <c r="E113" i="24"/>
  <c r="D113" i="24"/>
  <c r="D48" i="24"/>
  <c r="D47" i="24"/>
  <c r="D30" i="24"/>
  <c r="F48" i="24"/>
  <c r="F47" i="24"/>
  <c r="G8" i="11"/>
  <c r="H8" i="11" s="1"/>
  <c r="G9" i="11"/>
  <c r="H9" i="11" s="1"/>
  <c r="I9" i="11" s="1"/>
  <c r="G10" i="11"/>
  <c r="H10" i="11" s="1"/>
  <c r="I10" i="11" s="1"/>
  <c r="G11" i="11"/>
  <c r="H11" i="11" s="1"/>
  <c r="I11" i="11" s="1"/>
  <c r="G12" i="11"/>
  <c r="H12" i="11" s="1"/>
  <c r="I12" i="11" s="1"/>
  <c r="G14" i="11"/>
  <c r="H14" i="11" s="1"/>
  <c r="I14" i="11" s="1"/>
  <c r="G15" i="11"/>
  <c r="H15" i="11" s="1"/>
  <c r="I15" i="11" s="1"/>
  <c r="G16" i="11"/>
  <c r="H16" i="11" s="1"/>
  <c r="I16" i="11" s="1"/>
  <c r="N24" i="11"/>
  <c r="N26" i="11" s="1"/>
  <c r="O11" i="12"/>
  <c r="N11" i="12"/>
  <c r="L8" i="12"/>
  <c r="G26" i="14"/>
  <c r="K15" i="15"/>
  <c r="O14" i="16"/>
  <c r="N14" i="16"/>
  <c r="M14" i="16"/>
  <c r="E32" i="28"/>
  <c r="FL29" i="29"/>
  <c r="D13" i="28"/>
  <c r="G23" i="10"/>
  <c r="G25" i="10" s="1"/>
  <c r="K11" i="10"/>
  <c r="G26" i="15"/>
  <c r="G28" i="15" s="1"/>
  <c r="O15" i="16"/>
  <c r="N15" i="16"/>
  <c r="O11" i="16"/>
  <c r="N11" i="16"/>
  <c r="D124" i="24"/>
  <c r="E43" i="24"/>
  <c r="F15" i="24"/>
  <c r="E53" i="24"/>
  <c r="E124" i="24" s="1"/>
  <c r="E17" i="24"/>
  <c r="K18" i="16"/>
  <c r="N30" i="21"/>
  <c r="H40" i="20"/>
  <c r="D109" i="24"/>
  <c r="E109" i="24"/>
  <c r="D114" i="24"/>
  <c r="E114" i="24"/>
  <c r="K108" i="24"/>
  <c r="F112" i="24"/>
  <c r="F119" i="24"/>
  <c r="F113" i="24"/>
  <c r="F120" i="24"/>
  <c r="G14" i="24"/>
  <c r="F34" i="24"/>
  <c r="D126" i="24"/>
  <c r="D110" i="24"/>
  <c r="D111" i="24"/>
  <c r="D117" i="24"/>
  <c r="D118" i="24"/>
  <c r="D116" i="24"/>
  <c r="J15" i="12"/>
  <c r="K15" i="12" s="1"/>
  <c r="L15" i="12" s="1"/>
  <c r="G46" i="20"/>
  <c r="E40" i="20"/>
  <c r="D132" i="24"/>
  <c r="D121" i="24"/>
  <c r="D19" i="24"/>
  <c r="D22" i="24" s="1"/>
  <c r="D36" i="24"/>
  <c r="D69" i="24" s="1"/>
  <c r="D77" i="24" s="1"/>
  <c r="O12" i="16"/>
  <c r="O8" i="16"/>
  <c r="M8" i="16"/>
  <c r="S18" i="17"/>
  <c r="J8" i="13"/>
  <c r="K8" i="13" s="1"/>
  <c r="J9" i="13"/>
  <c r="K9" i="13" s="1"/>
  <c r="L9" i="13" s="1"/>
  <c r="J10" i="13"/>
  <c r="K10" i="13" s="1"/>
  <c r="L10" i="13" s="1"/>
  <c r="J11" i="13"/>
  <c r="K11" i="13" s="1"/>
  <c r="L11" i="13" s="1"/>
  <c r="J12" i="13"/>
  <c r="K12" i="13" s="1"/>
  <c r="L12" i="13" s="1"/>
  <c r="J14" i="13"/>
  <c r="K14" i="13" s="1"/>
  <c r="L14" i="13" s="1"/>
  <c r="J15" i="13"/>
  <c r="K15" i="13" s="1"/>
  <c r="L15" i="13" s="1"/>
  <c r="J16" i="13"/>
  <c r="K16" i="13" s="1"/>
  <c r="L16" i="13" s="1"/>
  <c r="D130" i="24"/>
  <c r="FM29" i="29"/>
  <c r="E13" i="28"/>
  <c r="E31" i="28"/>
  <c r="J36" i="29"/>
  <c r="CG36" i="29"/>
  <c r="DB36" i="29"/>
  <c r="I36" i="29"/>
  <c r="I28" i="28"/>
  <c r="I13" i="28"/>
  <c r="E15" i="28"/>
  <c r="E19" i="28"/>
  <c r="R36" i="29"/>
  <c r="AO36" i="29"/>
  <c r="BJ36" i="29"/>
  <c r="S56" i="29"/>
  <c r="ER32" i="29"/>
  <c r="ER36" i="29" s="1"/>
  <c r="CF56" i="29"/>
  <c r="B149" i="30"/>
  <c r="B52" i="30"/>
  <c r="M45" i="29"/>
  <c r="K41" i="30"/>
  <c r="J47" i="30"/>
  <c r="J107" i="30"/>
  <c r="G107" i="30"/>
  <c r="E107" i="30"/>
  <c r="L107" i="30"/>
  <c r="H107" i="30"/>
  <c r="F107" i="30"/>
  <c r="D107" i="30"/>
  <c r="K103" i="30"/>
  <c r="G103" i="30"/>
  <c r="FC51" i="29"/>
  <c r="K20" i="30" s="1"/>
  <c r="G16" i="30"/>
  <c r="B85" i="30" s="1"/>
  <c r="EH51" i="29"/>
  <c r="M51" i="29"/>
  <c r="J51" i="29"/>
  <c r="T12" i="16"/>
  <c r="U12" i="16" s="1"/>
  <c r="E103" i="30"/>
  <c r="J103" i="30"/>
  <c r="B179" i="30"/>
  <c r="B191" i="30"/>
  <c r="J55" i="30"/>
  <c r="G55" i="30"/>
  <c r="E55" i="30"/>
  <c r="L55" i="30"/>
  <c r="H55" i="30"/>
  <c r="F55" i="30"/>
  <c r="D55" i="30"/>
  <c r="K51" i="30"/>
  <c r="G51" i="30"/>
  <c r="FB48" i="29"/>
  <c r="CZ92" i="29"/>
  <c r="P92" i="29"/>
  <c r="F103" i="30"/>
  <c r="L103" i="30"/>
  <c r="B117" i="30"/>
  <c r="B144" i="30"/>
  <c r="E47" i="30"/>
  <c r="K107" i="30"/>
  <c r="L81" i="30"/>
  <c r="H81" i="30"/>
  <c r="F81" i="30"/>
  <c r="D81" i="30"/>
  <c r="J81" i="30"/>
  <c r="G81" i="30"/>
  <c r="E81" i="30"/>
  <c r="I77" i="30"/>
  <c r="E77" i="30"/>
  <c r="FD53" i="29"/>
  <c r="K18" i="30" s="1"/>
  <c r="E16" i="30"/>
  <c r="B59" i="30" s="1"/>
  <c r="EH53" i="29"/>
  <c r="EG53" i="29" s="1"/>
  <c r="FH53" i="29"/>
  <c r="FG53" i="29"/>
  <c r="FE53" i="29"/>
  <c r="FC53" i="29"/>
  <c r="L18" i="27"/>
  <c r="DX75" i="29"/>
  <c r="F64" i="30"/>
  <c r="J64" i="30"/>
  <c r="F116" i="30"/>
  <c r="J116" i="30"/>
  <c r="I47" i="30"/>
  <c r="FD52" i="29"/>
  <c r="K19" i="30" s="1"/>
  <c r="FD54" i="29"/>
  <c r="K17" i="30" s="1"/>
  <c r="C16" i="28"/>
  <c r="DB75" i="29"/>
  <c r="T16" i="16"/>
  <c r="U16" i="16" s="1"/>
  <c r="T11" i="16"/>
  <c r="U11" i="16" s="1"/>
  <c r="T14" i="16"/>
  <c r="U14" i="16" s="1"/>
  <c r="T9" i="16"/>
  <c r="T12" i="17"/>
  <c r="U12" i="17" s="1"/>
  <c r="T15" i="16"/>
  <c r="U15" i="16" s="1"/>
  <c r="T12" i="13"/>
  <c r="U12" i="13" s="1"/>
  <c r="AQ26" i="29"/>
  <c r="BM26" i="29" s="1"/>
  <c r="CI26" i="29" s="1"/>
  <c r="DE26" i="29" s="1"/>
  <c r="EA26" i="29" s="1"/>
  <c r="AR26" i="29"/>
  <c r="AP26" i="29"/>
  <c r="BL26" i="29" s="1"/>
  <c r="CH26" i="29" s="1"/>
  <c r="DD26" i="29" s="1"/>
  <c r="DZ26" i="29" s="1"/>
  <c r="AQ22" i="29"/>
  <c r="BM22" i="29" s="1"/>
  <c r="CI22" i="29" s="1"/>
  <c r="DE22" i="29" s="1"/>
  <c r="EA22" i="29" s="1"/>
  <c r="AR22" i="29"/>
  <c r="AP22" i="29"/>
  <c r="BL22" i="29" s="1"/>
  <c r="CH22" i="29" s="1"/>
  <c r="DD22" i="29" s="1"/>
  <c r="DZ22" i="29" s="1"/>
  <c r="T19" i="27"/>
  <c r="T16" i="27"/>
  <c r="U16" i="27" s="1"/>
  <c r="T15" i="27"/>
  <c r="U15" i="27" s="1"/>
  <c r="T14" i="27"/>
  <c r="U14" i="27" s="1"/>
  <c r="T8" i="27"/>
  <c r="T11" i="27"/>
  <c r="U11" i="27" s="1"/>
  <c r="T18" i="27"/>
  <c r="T9" i="27"/>
  <c r="U9" i="27" s="1"/>
  <c r="T11" i="17"/>
  <c r="U11" i="17" s="1"/>
  <c r="T16" i="17"/>
  <c r="U16" i="17" s="1"/>
  <c r="T11" i="13"/>
  <c r="U11" i="13" s="1"/>
  <c r="T16" i="13"/>
  <c r="U16" i="13" s="1"/>
  <c r="AQ23" i="29"/>
  <c r="BM23" i="29" s="1"/>
  <c r="CI23" i="29" s="1"/>
  <c r="DE23" i="29" s="1"/>
  <c r="EA23" i="29" s="1"/>
  <c r="AR23" i="29"/>
  <c r="AP23" i="29"/>
  <c r="BL23" i="29" s="1"/>
  <c r="CH23" i="29" s="1"/>
  <c r="DD23" i="29" s="1"/>
  <c r="DZ23" i="29" s="1"/>
  <c r="T12" i="27"/>
  <c r="U12" i="27" s="1"/>
  <c r="L11" i="27"/>
  <c r="T8" i="17"/>
  <c r="T10" i="16"/>
  <c r="U10" i="16" s="1"/>
  <c r="T8" i="13"/>
  <c r="BN14" i="29"/>
  <c r="BN10" i="29"/>
  <c r="AQ24" i="29"/>
  <c r="BM24" i="29" s="1"/>
  <c r="CI24" i="29" s="1"/>
  <c r="DE24" i="29" s="1"/>
  <c r="EA24" i="29" s="1"/>
  <c r="AR24" i="29"/>
  <c r="AP24" i="29"/>
  <c r="BL24" i="29" s="1"/>
  <c r="CH24" i="29" s="1"/>
  <c r="DD24" i="29" s="1"/>
  <c r="DZ24" i="29" s="1"/>
  <c r="AQ20" i="29"/>
  <c r="BM20" i="29" s="1"/>
  <c r="CI20" i="29" s="1"/>
  <c r="DE20" i="29" s="1"/>
  <c r="EA20" i="29" s="1"/>
  <c r="AR20" i="29"/>
  <c r="AP20" i="29"/>
  <c r="BL20" i="29" s="1"/>
  <c r="CH20" i="29" s="1"/>
  <c r="DD20" i="29" s="1"/>
  <c r="DZ20" i="29" s="1"/>
  <c r="CF75" i="29"/>
  <c r="AQ25" i="29"/>
  <c r="BM25" i="29" s="1"/>
  <c r="CI25" i="29" s="1"/>
  <c r="DE25" i="29" s="1"/>
  <c r="EA25" i="29" s="1"/>
  <c r="AR25" i="29"/>
  <c r="AP25" i="29"/>
  <c r="BL25" i="29" s="1"/>
  <c r="CH25" i="29" s="1"/>
  <c r="DD25" i="29" s="1"/>
  <c r="DZ25" i="29" s="1"/>
  <c r="AQ21" i="29"/>
  <c r="BM21" i="29" s="1"/>
  <c r="CI21" i="29" s="1"/>
  <c r="DE21" i="29" s="1"/>
  <c r="EA21" i="29" s="1"/>
  <c r="AR21" i="29"/>
  <c r="AP21" i="29"/>
  <c r="BL21" i="29" s="1"/>
  <c r="CH21" i="29" s="1"/>
  <c r="DD21" i="29" s="1"/>
  <c r="DZ21" i="29" s="1"/>
  <c r="T9" i="33"/>
  <c r="U9" i="33" s="1"/>
  <c r="T15" i="33"/>
  <c r="U15" i="33" s="1"/>
  <c r="T11" i="33"/>
  <c r="U11" i="33" s="1"/>
  <c r="T12" i="33"/>
  <c r="U12" i="33" s="1"/>
  <c r="T10" i="33"/>
  <c r="U10" i="33" s="1"/>
  <c r="CI8" i="29"/>
  <c r="P6" i="29"/>
  <c r="X6" i="29" s="1"/>
  <c r="AN61" i="29"/>
  <c r="AL12" i="29" s="1"/>
  <c r="AT12" i="29" s="1"/>
  <c r="P7" i="29"/>
  <c r="X7" i="29" s="1"/>
  <c r="P9" i="29"/>
  <c r="X9" i="29" s="1"/>
  <c r="X44" i="29" s="1"/>
  <c r="P11" i="29"/>
  <c r="X11" i="29" s="1"/>
  <c r="P13" i="29"/>
  <c r="X13" i="29" s="1"/>
  <c r="P15" i="29"/>
  <c r="X15" i="29" s="1"/>
  <c r="P17" i="29"/>
  <c r="X17" i="29" s="1"/>
  <c r="P18" i="29"/>
  <c r="X18" i="29" s="1"/>
  <c r="P19" i="29"/>
  <c r="X19" i="29" s="1"/>
  <c r="P20" i="29"/>
  <c r="X20" i="29" s="1"/>
  <c r="P21" i="29"/>
  <c r="X21" i="29" s="1"/>
  <c r="P22" i="29"/>
  <c r="X22" i="29" s="1"/>
  <c r="P23" i="29"/>
  <c r="X23" i="29" s="1"/>
  <c r="P24" i="29"/>
  <c r="X24" i="29" s="1"/>
  <c r="P25" i="29"/>
  <c r="X25" i="29" s="1"/>
  <c r="P26" i="29"/>
  <c r="X26" i="29" s="1"/>
  <c r="P8" i="29"/>
  <c r="P10" i="29"/>
  <c r="X10" i="29" s="1"/>
  <c r="P12" i="29"/>
  <c r="X12" i="29" s="1"/>
  <c r="P14" i="29"/>
  <c r="X14" i="29" s="1"/>
  <c r="P16" i="29"/>
  <c r="X16" i="29" s="1"/>
  <c r="T16" i="33"/>
  <c r="U16" i="33" s="1"/>
  <c r="J9" i="27"/>
  <c r="K9" i="27" s="1"/>
  <c r="L9" i="27" s="1"/>
  <c r="J14" i="27"/>
  <c r="K14" i="27" s="1"/>
  <c r="L14" i="27" s="1"/>
  <c r="J8" i="27"/>
  <c r="K8" i="27" s="1"/>
  <c r="J12" i="27"/>
  <c r="K12" i="27" s="1"/>
  <c r="L12" i="27" s="1"/>
  <c r="J15" i="27"/>
  <c r="K15" i="27" s="1"/>
  <c r="L15" i="27" s="1"/>
  <c r="J16" i="27"/>
  <c r="K16" i="27" s="1"/>
  <c r="L16" i="27" s="1"/>
  <c r="J10" i="27"/>
  <c r="K10" i="27" s="1"/>
  <c r="L10" i="27" s="1"/>
  <c r="O15" i="33"/>
  <c r="T8" i="33"/>
  <c r="S18" i="33"/>
  <c r="T10" i="27"/>
  <c r="U10" i="27" s="1"/>
  <c r="G37" i="27"/>
  <c r="K19" i="27" s="1"/>
  <c r="L19" i="27" s="1"/>
  <c r="J8" i="33"/>
  <c r="K8" i="33" s="1"/>
  <c r="J9" i="33"/>
  <c r="K9" i="33" s="1"/>
  <c r="L9" i="33" s="1"/>
  <c r="J10" i="33"/>
  <c r="K10" i="33" s="1"/>
  <c r="L10" i="33" s="1"/>
  <c r="J11" i="33"/>
  <c r="K11" i="33" s="1"/>
  <c r="L11" i="33" s="1"/>
  <c r="J12" i="33"/>
  <c r="K12" i="33" s="1"/>
  <c r="L12" i="33" s="1"/>
  <c r="J14" i="33"/>
  <c r="K14" i="33" s="1"/>
  <c r="L14" i="33" s="1"/>
  <c r="J16" i="33"/>
  <c r="K16" i="33" s="1"/>
  <c r="L16" i="33" s="1"/>
  <c r="I19" i="28" l="1"/>
  <c r="I18" i="28"/>
  <c r="I17" i="28"/>
  <c r="I16" i="28"/>
  <c r="I15" i="28"/>
  <c r="K21" i="28"/>
  <c r="N53" i="29"/>
  <c r="N21" i="29"/>
  <c r="N12" i="29"/>
  <c r="AS7" i="29"/>
  <c r="ER56" i="29"/>
  <c r="B203" i="30"/>
  <c r="R43" i="29"/>
  <c r="N13" i="29"/>
  <c r="N28" i="29"/>
  <c r="EZ54" i="29"/>
  <c r="DK54" i="29"/>
  <c r="AA51" i="29"/>
  <c r="ES34" i="29"/>
  <c r="N44" i="29"/>
  <c r="N50" i="29"/>
  <c r="B190" i="30"/>
  <c r="R40" i="29"/>
  <c r="B177" i="30"/>
  <c r="N34" i="29"/>
  <c r="N20" i="29"/>
  <c r="AO56" i="29"/>
  <c r="AC40" i="29"/>
  <c r="AI43" i="29"/>
  <c r="DE8" i="29"/>
  <c r="CK8" i="29"/>
  <c r="BI10" i="29"/>
  <c r="AS10" i="29"/>
  <c r="BI17" i="29"/>
  <c r="AS17" i="29"/>
  <c r="BI25" i="29"/>
  <c r="AS25" i="29"/>
  <c r="BI12" i="29"/>
  <c r="AS12" i="29"/>
  <c r="BI23" i="29"/>
  <c r="AS23" i="29"/>
  <c r="BI11" i="29"/>
  <c r="AS11" i="29"/>
  <c r="BI18" i="29"/>
  <c r="AS18" i="29"/>
  <c r="BI26" i="29"/>
  <c r="AS26" i="29"/>
  <c r="BI13" i="29"/>
  <c r="AS13" i="29"/>
  <c r="BI20" i="29"/>
  <c r="AS20" i="29"/>
  <c r="BI14" i="29"/>
  <c r="AS14" i="29"/>
  <c r="BI21" i="29"/>
  <c r="AS21" i="29"/>
  <c r="BI19" i="29"/>
  <c r="AS19" i="29"/>
  <c r="BI15" i="29"/>
  <c r="AS15" i="29"/>
  <c r="BI22" i="29"/>
  <c r="AS22" i="29"/>
  <c r="DB56" i="29"/>
  <c r="BI16" i="29"/>
  <c r="AS16" i="29"/>
  <c r="BI24" i="29"/>
  <c r="AS24" i="29"/>
  <c r="N43" i="29"/>
  <c r="N52" i="29"/>
  <c r="N42" i="29"/>
  <c r="B202" i="30"/>
  <c r="N41" i="29"/>
  <c r="N27" i="29"/>
  <c r="N19" i="29"/>
  <c r="N11" i="29"/>
  <c r="N26" i="29"/>
  <c r="N18" i="29"/>
  <c r="N10" i="29"/>
  <c r="N9" i="29"/>
  <c r="CG56" i="29"/>
  <c r="DX56" i="29"/>
  <c r="DY56" i="29"/>
  <c r="B174" i="30"/>
  <c r="N45" i="29"/>
  <c r="B178" i="30"/>
  <c r="B187" i="30"/>
  <c r="B201" i="30"/>
  <c r="N49" i="29"/>
  <c r="N54" i="29"/>
  <c r="N35" i="29"/>
  <c r="N25" i="29"/>
  <c r="N17" i="29"/>
  <c r="N8" i="29"/>
  <c r="N24" i="29"/>
  <c r="N16" i="29"/>
  <c r="N6" i="29"/>
  <c r="B199" i="30"/>
  <c r="EG51" i="29"/>
  <c r="N40" i="29"/>
  <c r="N23" i="29"/>
  <c r="N15" i="29"/>
  <c r="N7" i="29"/>
  <c r="N22" i="29"/>
  <c r="N14" i="29"/>
  <c r="CO54" i="29"/>
  <c r="AW52" i="29"/>
  <c r="BS52" i="29"/>
  <c r="X8" i="29"/>
  <c r="Z8" i="29" s="1"/>
  <c r="S44" i="29"/>
  <c r="AE44" i="29"/>
  <c r="Y43" i="29"/>
  <c r="X43" i="29"/>
  <c r="S40" i="29"/>
  <c r="S39" i="29"/>
  <c r="AI40" i="29"/>
  <c r="AC44" i="29"/>
  <c r="AC43" i="29"/>
  <c r="AB43" i="29"/>
  <c r="AE42" i="29"/>
  <c r="K56" i="29"/>
  <c r="L56" i="29" s="1"/>
  <c r="R56" i="29"/>
  <c r="E21" i="28"/>
  <c r="AU12" i="29"/>
  <c r="I56" i="29"/>
  <c r="B151" i="30"/>
  <c r="AB40" i="29"/>
  <c r="R74" i="29"/>
  <c r="AF43" i="29"/>
  <c r="AE41" i="29"/>
  <c r="AD40" i="29"/>
  <c r="AC42" i="29"/>
  <c r="Z43" i="29"/>
  <c r="AH43" i="29"/>
  <c r="S43" i="29"/>
  <c r="AE43" i="29"/>
  <c r="S41" i="29"/>
  <c r="AD43" i="29"/>
  <c r="R39" i="29"/>
  <c r="AC41" i="29"/>
  <c r="S42" i="29"/>
  <c r="DC56" i="29"/>
  <c r="BS51" i="29"/>
  <c r="EZ51" i="29"/>
  <c r="J45" i="29"/>
  <c r="W29" i="29"/>
  <c r="BW8" i="29"/>
  <c r="BA49" i="29"/>
  <c r="Z40" i="29"/>
  <c r="AH40" i="29"/>
  <c r="Y40" i="29"/>
  <c r="AF40" i="29"/>
  <c r="X40" i="29"/>
  <c r="AE40" i="29"/>
  <c r="R42" i="29"/>
  <c r="AA54" i="29"/>
  <c r="I45" i="29"/>
  <c r="AM6" i="29"/>
  <c r="BW45" i="29" s="1"/>
  <c r="L45" i="29"/>
  <c r="L42" i="29"/>
  <c r="F19" i="28"/>
  <c r="F16" i="28"/>
  <c r="F15" i="28"/>
  <c r="BI9" i="29"/>
  <c r="BO9" i="29" s="1"/>
  <c r="AO42" i="29"/>
  <c r="CS9" i="29"/>
  <c r="BW50" i="29"/>
  <c r="L49" i="29"/>
  <c r="B176" i="30"/>
  <c r="F17" i="28"/>
  <c r="L53" i="29"/>
  <c r="L43" i="29"/>
  <c r="CS6" i="29"/>
  <c r="BW48" i="29"/>
  <c r="BW32" i="29"/>
  <c r="B189" i="30"/>
  <c r="B78" i="30"/>
  <c r="BI7" i="29"/>
  <c r="AZ45" i="29"/>
  <c r="V8" i="16"/>
  <c r="U19" i="27"/>
  <c r="V19" i="27" s="1"/>
  <c r="AC19" i="27" s="1"/>
  <c r="U18" i="27"/>
  <c r="V18" i="27" s="1"/>
  <c r="AC18" i="27" s="1"/>
  <c r="G28" i="14"/>
  <c r="H17" i="15"/>
  <c r="FN29" i="29"/>
  <c r="FM36" i="29"/>
  <c r="J56" i="29"/>
  <c r="G16" i="24"/>
  <c r="H19" i="21"/>
  <c r="I19" i="21" s="1"/>
  <c r="K18" i="21"/>
  <c r="G14" i="21"/>
  <c r="H14" i="21" s="1"/>
  <c r="G19" i="21"/>
  <c r="R62" i="29"/>
  <c r="R63" i="29" s="1"/>
  <c r="I101" i="29"/>
  <c r="I103" i="29" s="1"/>
  <c r="L51" i="29"/>
  <c r="L8" i="29"/>
  <c r="L12" i="29"/>
  <c r="L16" i="29"/>
  <c r="L20" i="29"/>
  <c r="L24" i="29"/>
  <c r="L28" i="29"/>
  <c r="L7" i="29"/>
  <c r="L15" i="29"/>
  <c r="L23" i="29"/>
  <c r="L54" i="29"/>
  <c r="L39" i="29"/>
  <c r="L34" i="29"/>
  <c r="L9" i="29"/>
  <c r="L13" i="29"/>
  <c r="L17" i="29"/>
  <c r="L21" i="29"/>
  <c r="L25" i="29"/>
  <c r="L52" i="29"/>
  <c r="L48" i="29"/>
  <c r="L6" i="29"/>
  <c r="L10" i="29"/>
  <c r="L14" i="29"/>
  <c r="L18" i="29"/>
  <c r="L22" i="29"/>
  <c r="L26" i="29"/>
  <c r="L32" i="29"/>
  <c r="L11" i="29"/>
  <c r="L19" i="29"/>
  <c r="L27" i="29"/>
  <c r="L55" i="29"/>
  <c r="L50" i="29"/>
  <c r="L41" i="29"/>
  <c r="L35" i="29"/>
  <c r="L36" i="29"/>
  <c r="L40" i="29"/>
  <c r="I8" i="10"/>
  <c r="H17" i="10"/>
  <c r="F29" i="28"/>
  <c r="N33" i="29"/>
  <c r="G30" i="21"/>
  <c r="L33" i="29"/>
  <c r="G18" i="21"/>
  <c r="E29" i="20"/>
  <c r="N32" i="29"/>
  <c r="M36" i="29"/>
  <c r="N36" i="29" s="1"/>
  <c r="N55" i="29"/>
  <c r="N48" i="29"/>
  <c r="G9" i="21"/>
  <c r="H9" i="21" s="1"/>
  <c r="I9" i="21" s="1"/>
  <c r="G16" i="21"/>
  <c r="H16" i="21" s="1"/>
  <c r="G12" i="21"/>
  <c r="H12" i="21" s="1"/>
  <c r="I12" i="21" s="1"/>
  <c r="S33" i="27"/>
  <c r="ES32" i="29"/>
  <c r="ES29" i="29"/>
  <c r="FD17" i="29"/>
  <c r="ES55" i="29"/>
  <c r="ES56" i="29" s="1"/>
  <c r="X9" i="17"/>
  <c r="V9" i="17"/>
  <c r="X10" i="17"/>
  <c r="V10" i="17"/>
  <c r="EB12" i="29"/>
  <c r="EB19" i="29"/>
  <c r="AV12" i="29"/>
  <c r="Y18" i="27"/>
  <c r="Z18" i="27" s="1"/>
  <c r="O19" i="27"/>
  <c r="N19" i="27"/>
  <c r="O10" i="27"/>
  <c r="N10" i="27"/>
  <c r="BJ61" i="29"/>
  <c r="AL6" i="29"/>
  <c r="AT6" i="29" s="1"/>
  <c r="AU6" i="29" s="1"/>
  <c r="AL7" i="29"/>
  <c r="AT7" i="29" s="1"/>
  <c r="AU7" i="29" s="1"/>
  <c r="AL28" i="29"/>
  <c r="AT28" i="29" s="1"/>
  <c r="AL27" i="29"/>
  <c r="AT27" i="29" s="1"/>
  <c r="AL9" i="29"/>
  <c r="AT9" i="29" s="1"/>
  <c r="AU9" i="29" s="1"/>
  <c r="AL16" i="29"/>
  <c r="AT16" i="29" s="1"/>
  <c r="AU16" i="29" s="1"/>
  <c r="AL23" i="29"/>
  <c r="AT23" i="29" s="1"/>
  <c r="AU23" i="29" s="1"/>
  <c r="X12" i="16"/>
  <c r="V12" i="16"/>
  <c r="K47" i="30"/>
  <c r="L41" i="30"/>
  <c r="E130" i="24"/>
  <c r="E128" i="24"/>
  <c r="O15" i="13"/>
  <c r="N15" i="13"/>
  <c r="O10" i="13"/>
  <c r="N10" i="13"/>
  <c r="E121" i="24"/>
  <c r="K17" i="12"/>
  <c r="K12" i="11"/>
  <c r="H18" i="11"/>
  <c r="I8" i="11"/>
  <c r="O14" i="17"/>
  <c r="N14" i="17"/>
  <c r="O16" i="17"/>
  <c r="N16" i="17"/>
  <c r="M16" i="16"/>
  <c r="I14" i="21"/>
  <c r="E17" i="20"/>
  <c r="N10" i="33"/>
  <c r="O10" i="33"/>
  <c r="Z16" i="29"/>
  <c r="Y16" i="29"/>
  <c r="Z19" i="29"/>
  <c r="Y19" i="29"/>
  <c r="X10" i="33"/>
  <c r="V10" i="33"/>
  <c r="EB6" i="29"/>
  <c r="X12" i="27"/>
  <c r="V12" i="27"/>
  <c r="V15" i="27"/>
  <c r="U9" i="16"/>
  <c r="T18" i="16"/>
  <c r="AL15" i="29"/>
  <c r="AT15" i="29" s="1"/>
  <c r="AU15" i="29" s="1"/>
  <c r="Z14" i="29"/>
  <c r="Y14" i="29"/>
  <c r="Z6" i="29"/>
  <c r="X48" i="29"/>
  <c r="Y6" i="29"/>
  <c r="AL18" i="29"/>
  <c r="AT18" i="29" s="1"/>
  <c r="AU18" i="29" s="1"/>
  <c r="X10" i="16"/>
  <c r="V10" i="16"/>
  <c r="V16" i="27"/>
  <c r="X16" i="27"/>
  <c r="BN26" i="29"/>
  <c r="B150" i="30"/>
  <c r="B140" i="30"/>
  <c r="B65" i="30"/>
  <c r="B152" i="30"/>
  <c r="B142" i="30"/>
  <c r="B91" i="30"/>
  <c r="FL36" i="29"/>
  <c r="D28" i="28"/>
  <c r="L108" i="24"/>
  <c r="K16" i="11"/>
  <c r="O12" i="17"/>
  <c r="N12" i="17"/>
  <c r="O11" i="17"/>
  <c r="N11" i="17"/>
  <c r="O10" i="12"/>
  <c r="N10" i="12"/>
  <c r="E125" i="24"/>
  <c r="U8" i="13"/>
  <c r="T18" i="13"/>
  <c r="X11" i="13"/>
  <c r="N14" i="33"/>
  <c r="O14" i="27"/>
  <c r="N14" i="27"/>
  <c r="Z22" i="29"/>
  <c r="Y22" i="29"/>
  <c r="Z18" i="29"/>
  <c r="Y18" i="29"/>
  <c r="X12" i="33"/>
  <c r="V12" i="33"/>
  <c r="AL10" i="29"/>
  <c r="AT10" i="29" s="1"/>
  <c r="AU10" i="29" s="1"/>
  <c r="AL25" i="29"/>
  <c r="AT25" i="29" s="1"/>
  <c r="AU25" i="29" s="1"/>
  <c r="AL24" i="29"/>
  <c r="AT24" i="29" s="1"/>
  <c r="AU24" i="29" s="1"/>
  <c r="X16" i="17"/>
  <c r="V16" i="17"/>
  <c r="V11" i="27"/>
  <c r="X11" i="27"/>
  <c r="AL11" i="29"/>
  <c r="AT11" i="29" s="1"/>
  <c r="AU11" i="29" s="1"/>
  <c r="BN22" i="29"/>
  <c r="X12" i="13"/>
  <c r="V14" i="16"/>
  <c r="D21" i="24"/>
  <c r="D35" i="24"/>
  <c r="E18" i="24"/>
  <c r="O9" i="13"/>
  <c r="N9" i="13"/>
  <c r="D24" i="24"/>
  <c r="O15" i="12"/>
  <c r="N15" i="12"/>
  <c r="E20" i="28"/>
  <c r="K11" i="11"/>
  <c r="N18" i="16"/>
  <c r="N12" i="33"/>
  <c r="O12" i="33"/>
  <c r="X10" i="27"/>
  <c r="V10" i="27"/>
  <c r="AL8" i="29"/>
  <c r="AL17" i="29"/>
  <c r="AT17" i="29" s="1"/>
  <c r="AU17" i="29" s="1"/>
  <c r="O15" i="27"/>
  <c r="N15" i="27"/>
  <c r="O9" i="27"/>
  <c r="N9" i="27"/>
  <c r="Z12" i="29"/>
  <c r="Y12" i="29"/>
  <c r="Z25" i="29"/>
  <c r="Y25" i="29"/>
  <c r="Z21" i="29"/>
  <c r="Y21" i="29"/>
  <c r="Z17" i="29"/>
  <c r="Y17" i="29"/>
  <c r="Z9" i="29"/>
  <c r="Z44" i="29" s="1"/>
  <c r="Y9" i="29"/>
  <c r="X50" i="29"/>
  <c r="AL13" i="29"/>
  <c r="AT13" i="29" s="1"/>
  <c r="AU13" i="29" s="1"/>
  <c r="X11" i="33"/>
  <c r="V11" i="33"/>
  <c r="CJ10" i="29"/>
  <c r="U8" i="17"/>
  <c r="T18" i="17"/>
  <c r="BN23" i="29"/>
  <c r="DF8" i="29"/>
  <c r="DF9" i="29"/>
  <c r="EB13" i="29"/>
  <c r="EB16" i="29"/>
  <c r="EB17" i="29"/>
  <c r="DF18" i="29"/>
  <c r="X11" i="17"/>
  <c r="V11" i="17"/>
  <c r="U8" i="27"/>
  <c r="T21" i="27"/>
  <c r="V15" i="16"/>
  <c r="X11" i="16"/>
  <c r="V11" i="16"/>
  <c r="O18" i="27"/>
  <c r="N18" i="27"/>
  <c r="O12" i="13"/>
  <c r="N12" i="13"/>
  <c r="K18" i="13"/>
  <c r="L8" i="13"/>
  <c r="O18" i="16"/>
  <c r="P16" i="16" s="1"/>
  <c r="G44" i="24"/>
  <c r="H16" i="24"/>
  <c r="E132" i="24"/>
  <c r="G108" i="24"/>
  <c r="G34" i="24"/>
  <c r="D134" i="24"/>
  <c r="H14" i="24"/>
  <c r="D135" i="24"/>
  <c r="E135" i="24"/>
  <c r="D131" i="24"/>
  <c r="D133" i="24"/>
  <c r="E131" i="24"/>
  <c r="E134" i="24"/>
  <c r="E133" i="24"/>
  <c r="H46" i="20"/>
  <c r="D21" i="28"/>
  <c r="P14" i="16"/>
  <c r="G24" i="14"/>
  <c r="G27" i="14" s="1"/>
  <c r="K15" i="11"/>
  <c r="K10" i="11"/>
  <c r="E30" i="24"/>
  <c r="O9" i="17"/>
  <c r="N9" i="17"/>
  <c r="O15" i="17"/>
  <c r="N15" i="17"/>
  <c r="K9" i="21"/>
  <c r="E16" i="20"/>
  <c r="I16" i="21"/>
  <c r="K12" i="21"/>
  <c r="J109" i="24"/>
  <c r="N16" i="33"/>
  <c r="O16" i="33"/>
  <c r="L8" i="27"/>
  <c r="K21" i="27"/>
  <c r="Z23" i="29"/>
  <c r="Y23" i="29"/>
  <c r="Z13" i="29"/>
  <c r="Y13" i="29"/>
  <c r="X9" i="33"/>
  <c r="V9" i="33"/>
  <c r="N9" i="33"/>
  <c r="O9" i="33"/>
  <c r="EB7" i="29"/>
  <c r="O16" i="27"/>
  <c r="N16" i="27"/>
  <c r="Z26" i="29"/>
  <c r="Y26" i="29"/>
  <c r="Z11" i="29"/>
  <c r="Y11" i="29"/>
  <c r="AL21" i="29"/>
  <c r="AT21" i="29" s="1"/>
  <c r="AU21" i="29" s="1"/>
  <c r="AL20" i="29"/>
  <c r="AT20" i="29" s="1"/>
  <c r="AU20" i="29" s="1"/>
  <c r="O14" i="13"/>
  <c r="N14" i="13"/>
  <c r="E46" i="20"/>
  <c r="D40" i="20"/>
  <c r="E119" i="24"/>
  <c r="E127" i="24"/>
  <c r="E117" i="24"/>
  <c r="E118" i="24"/>
  <c r="E116" i="24"/>
  <c r="E126" i="24"/>
  <c r="K18" i="33"/>
  <c r="L8" i="33"/>
  <c r="U8" i="33"/>
  <c r="T18" i="33"/>
  <c r="O11" i="33"/>
  <c r="N11" i="33"/>
  <c r="AL19" i="29"/>
  <c r="AT19" i="29" s="1"/>
  <c r="AU19" i="29" s="1"/>
  <c r="O12" i="27"/>
  <c r="N12" i="27"/>
  <c r="X16" i="33"/>
  <c r="V16" i="33"/>
  <c r="Z10" i="29"/>
  <c r="Y10" i="29"/>
  <c r="X55" i="29"/>
  <c r="Z24" i="29"/>
  <c r="Y24" i="29"/>
  <c r="Z20" i="29"/>
  <c r="Y20" i="29"/>
  <c r="Z15" i="29"/>
  <c r="Y15" i="29"/>
  <c r="Z7" i="29"/>
  <c r="Y7" i="29"/>
  <c r="V15" i="33"/>
  <c r="AL14" i="29"/>
  <c r="AT14" i="29" s="1"/>
  <c r="AU14" i="29" s="1"/>
  <c r="BN21" i="29"/>
  <c r="BN25" i="29"/>
  <c r="BN20" i="29"/>
  <c r="BN24" i="29"/>
  <c r="CJ14" i="29"/>
  <c r="O11" i="27"/>
  <c r="N11" i="27"/>
  <c r="EB15" i="29"/>
  <c r="X16" i="13"/>
  <c r="V9" i="27"/>
  <c r="X9" i="27"/>
  <c r="V14" i="27"/>
  <c r="AL22" i="29"/>
  <c r="AT22" i="29" s="1"/>
  <c r="AU22" i="29" s="1"/>
  <c r="AL26" i="29"/>
  <c r="AT26" i="29" s="1"/>
  <c r="AU26" i="29" s="1"/>
  <c r="X12" i="17"/>
  <c r="V12" i="17"/>
  <c r="X16" i="16"/>
  <c r="V16" i="16"/>
  <c r="N51" i="29"/>
  <c r="M56" i="29"/>
  <c r="E120" i="24"/>
  <c r="O16" i="13"/>
  <c r="N16" i="13"/>
  <c r="O11" i="13"/>
  <c r="N11" i="13"/>
  <c r="M12" i="16"/>
  <c r="O18" i="21"/>
  <c r="P18" i="21" s="1"/>
  <c r="K19" i="21"/>
  <c r="F43" i="24"/>
  <c r="F53" i="24"/>
  <c r="F134" i="24" s="1"/>
  <c r="G15" i="24"/>
  <c r="F17" i="24"/>
  <c r="M11" i="16"/>
  <c r="P15" i="16"/>
  <c r="O8" i="12"/>
  <c r="L17" i="12"/>
  <c r="N8" i="12"/>
  <c r="N17" i="12" s="1"/>
  <c r="K14" i="11"/>
  <c r="K9" i="11"/>
  <c r="L8" i="17"/>
  <c r="K18" i="17"/>
  <c r="O10" i="17"/>
  <c r="N10" i="17"/>
  <c r="E123" i="24"/>
  <c r="P10" i="16"/>
  <c r="K8" i="15"/>
  <c r="I15" i="21"/>
  <c r="E18" i="20"/>
  <c r="K11" i="21"/>
  <c r="I8" i="21"/>
  <c r="H21" i="21"/>
  <c r="D57" i="24"/>
  <c r="D56" i="24"/>
  <c r="X39" i="29" l="1"/>
  <c r="I20" i="28"/>
  <c r="X41" i="29"/>
  <c r="X29" i="29"/>
  <c r="R68" i="29" s="1"/>
  <c r="R67" i="29" s="1"/>
  <c r="ES36" i="29"/>
  <c r="R45" i="29"/>
  <c r="BA41" i="29"/>
  <c r="AN40" i="29"/>
  <c r="BA40" i="29"/>
  <c r="AA40" i="29"/>
  <c r="AA43" i="29"/>
  <c r="EA8" i="29"/>
  <c r="EC8" i="29" s="1"/>
  <c r="DG8" i="29"/>
  <c r="BD45" i="29"/>
  <c r="AU40" i="29"/>
  <c r="AU44" i="29"/>
  <c r="AN43" i="29"/>
  <c r="BZ45" i="29"/>
  <c r="BB43" i="29"/>
  <c r="BV45" i="29"/>
  <c r="AY43" i="29"/>
  <c r="BE43" i="29"/>
  <c r="AV43" i="29"/>
  <c r="BD40" i="29"/>
  <c r="AN44" i="29"/>
  <c r="CA45" i="29"/>
  <c r="AW45" i="29"/>
  <c r="BB45" i="29"/>
  <c r="AY45" i="29"/>
  <c r="AY40" i="29"/>
  <c r="AV45" i="29"/>
  <c r="AT40" i="29"/>
  <c r="CE7" i="29"/>
  <c r="BO7" i="29"/>
  <c r="CE15" i="29"/>
  <c r="BO15" i="29"/>
  <c r="CE21" i="29"/>
  <c r="BO21" i="29"/>
  <c r="CE20" i="29"/>
  <c r="BO20" i="29"/>
  <c r="CE26" i="29"/>
  <c r="BO26" i="29"/>
  <c r="CE11" i="29"/>
  <c r="BO11" i="29"/>
  <c r="CE12" i="29"/>
  <c r="BO12" i="29"/>
  <c r="CE17" i="29"/>
  <c r="BO17" i="29"/>
  <c r="CE16" i="29"/>
  <c r="BO16" i="29"/>
  <c r="AN42" i="29"/>
  <c r="AS6" i="29"/>
  <c r="AS29" i="29" s="1"/>
  <c r="N29" i="29"/>
  <c r="CE24" i="29"/>
  <c r="BO24" i="29"/>
  <c r="CE22" i="29"/>
  <c r="BO22" i="29"/>
  <c r="CE19" i="29"/>
  <c r="BO19" i="29"/>
  <c r="CE14" i="29"/>
  <c r="BO14" i="29"/>
  <c r="CE13" i="29"/>
  <c r="BO13" i="29"/>
  <c r="CE18" i="29"/>
  <c r="BO18" i="29"/>
  <c r="CE23" i="29"/>
  <c r="BO23" i="29"/>
  <c r="CE25" i="29"/>
  <c r="BO25" i="29"/>
  <c r="CE10" i="29"/>
  <c r="BO10" i="29"/>
  <c r="AT8" i="29"/>
  <c r="AT42" i="29" s="1"/>
  <c r="BD43" i="29"/>
  <c r="BA45" i="29"/>
  <c r="BB40" i="29"/>
  <c r="AO41" i="29"/>
  <c r="AY44" i="29"/>
  <c r="BK45" i="29"/>
  <c r="AY42" i="29"/>
  <c r="AV40" i="29"/>
  <c r="BA43" i="29"/>
  <c r="BP45" i="29"/>
  <c r="AN39" i="29"/>
  <c r="AO43" i="29"/>
  <c r="BA44" i="29"/>
  <c r="BE45" i="29"/>
  <c r="BE40" i="29"/>
  <c r="AN41" i="29"/>
  <c r="AO44" i="29"/>
  <c r="BJ45" i="29"/>
  <c r="AX40" i="29"/>
  <c r="AU43" i="29"/>
  <c r="AT45" i="29"/>
  <c r="BT45" i="29"/>
  <c r="BA42" i="29"/>
  <c r="AY41" i="29"/>
  <c r="AU45" i="29"/>
  <c r="BU45" i="29"/>
  <c r="AO40" i="29"/>
  <c r="AX43" i="29"/>
  <c r="AW43" i="29" s="1"/>
  <c r="AN45" i="29"/>
  <c r="BQ45" i="29"/>
  <c r="AO39" i="29"/>
  <c r="AT43" i="29"/>
  <c r="AO45" i="29"/>
  <c r="BR45" i="29"/>
  <c r="AZ40" i="29"/>
  <c r="AZ43" i="29"/>
  <c r="AX45" i="29"/>
  <c r="BX45" i="29"/>
  <c r="E25" i="28"/>
  <c r="X32" i="29"/>
  <c r="X36" i="29" s="1"/>
  <c r="X49" i="29"/>
  <c r="X56" i="29" s="1"/>
  <c r="Y8" i="29"/>
  <c r="Y42" i="29" s="1"/>
  <c r="X42" i="29"/>
  <c r="S45" i="29"/>
  <c r="CS8" i="29"/>
  <c r="CS32" i="29" s="1"/>
  <c r="BW49" i="29"/>
  <c r="AN74" i="29"/>
  <c r="AN75" i="29" s="1"/>
  <c r="BI6" i="29"/>
  <c r="BO6" i="29" s="1"/>
  <c r="Z41" i="29"/>
  <c r="Z42" i="29"/>
  <c r="X18" i="27"/>
  <c r="AT44" i="29"/>
  <c r="BK42" i="29"/>
  <c r="CE9" i="29"/>
  <c r="CK9" i="29" s="1"/>
  <c r="Y50" i="29"/>
  <c r="Y44" i="29"/>
  <c r="X19" i="27"/>
  <c r="DO6" i="29"/>
  <c r="CS48" i="29"/>
  <c r="DO9" i="29"/>
  <c r="CS50" i="29"/>
  <c r="AT41" i="29"/>
  <c r="Y41" i="29"/>
  <c r="G31" i="14"/>
  <c r="H17" i="14" s="1"/>
  <c r="I17" i="14" s="1"/>
  <c r="K17" i="14" s="1"/>
  <c r="I17" i="15"/>
  <c r="H19" i="15"/>
  <c r="F28" i="28"/>
  <c r="F20" i="28" s="1"/>
  <c r="FN36" i="29"/>
  <c r="R87" i="29"/>
  <c r="R86" i="29"/>
  <c r="M18" i="16"/>
  <c r="P9" i="16"/>
  <c r="F21" i="28"/>
  <c r="K8" i="10"/>
  <c r="K17" i="10" s="1"/>
  <c r="I17" i="10"/>
  <c r="L29" i="29"/>
  <c r="P11" i="16"/>
  <c r="AV22" i="29"/>
  <c r="AV26" i="29"/>
  <c r="AV20" i="29"/>
  <c r="CJ21" i="29"/>
  <c r="Y55" i="29"/>
  <c r="D46" i="20"/>
  <c r="G110" i="24"/>
  <c r="G111" i="24"/>
  <c r="G117" i="24"/>
  <c r="G118" i="24"/>
  <c r="G126" i="24"/>
  <c r="G116" i="24"/>
  <c r="G124" i="24"/>
  <c r="G112" i="24"/>
  <c r="G119" i="24"/>
  <c r="G127" i="24"/>
  <c r="G114" i="24"/>
  <c r="G109" i="24"/>
  <c r="G113" i="24"/>
  <c r="G123" i="24"/>
  <c r="G125" i="24"/>
  <c r="G120" i="24"/>
  <c r="G128" i="24"/>
  <c r="G121" i="24"/>
  <c r="H44" i="24"/>
  <c r="I16" i="24"/>
  <c r="O8" i="13"/>
  <c r="L18" i="13"/>
  <c r="M8" i="13"/>
  <c r="N8" i="13"/>
  <c r="N18" i="13" s="1"/>
  <c r="CJ23" i="29"/>
  <c r="DF10" i="29"/>
  <c r="AV13" i="29"/>
  <c r="AV11" i="29"/>
  <c r="AV10" i="29"/>
  <c r="AT55" i="29"/>
  <c r="AV18" i="29"/>
  <c r="K14" i="21"/>
  <c r="AV16" i="29"/>
  <c r="AV7" i="29"/>
  <c r="M11" i="12"/>
  <c r="M12" i="12"/>
  <c r="M9" i="12"/>
  <c r="M14" i="12"/>
  <c r="AV24" i="29"/>
  <c r="O8" i="17"/>
  <c r="L18" i="17"/>
  <c r="M8" i="17" s="1"/>
  <c r="N8" i="17"/>
  <c r="N18" i="17" s="1"/>
  <c r="O17" i="12"/>
  <c r="P8" i="12" s="1"/>
  <c r="I21" i="21"/>
  <c r="K8" i="21"/>
  <c r="K15" i="21"/>
  <c r="G43" i="24"/>
  <c r="H15" i="24"/>
  <c r="H17" i="24" s="1"/>
  <c r="G53" i="24"/>
  <c r="G131" i="24" s="1"/>
  <c r="G23" i="20"/>
  <c r="N56" i="29"/>
  <c r="CJ24" i="29"/>
  <c r="AV21" i="29"/>
  <c r="Z55" i="29"/>
  <c r="X8" i="33"/>
  <c r="U18" i="33"/>
  <c r="S23" i="33" s="1"/>
  <c r="V8" i="33"/>
  <c r="V18" i="33" s="1"/>
  <c r="S24" i="33" s="1"/>
  <c r="L21" i="27"/>
  <c r="O8" i="27"/>
  <c r="N8" i="27"/>
  <c r="N21" i="27" s="1"/>
  <c r="K16" i="21"/>
  <c r="J16" i="21"/>
  <c r="I14" i="24"/>
  <c r="D137" i="24"/>
  <c r="H108" i="24"/>
  <c r="E137" i="24"/>
  <c r="F141" i="24"/>
  <c r="F140" i="24"/>
  <c r="F137" i="24"/>
  <c r="H34" i="24"/>
  <c r="D138" i="24"/>
  <c r="F138" i="24"/>
  <c r="D141" i="24"/>
  <c r="D139" i="24"/>
  <c r="E141" i="24"/>
  <c r="E139" i="24"/>
  <c r="D140" i="24"/>
  <c r="E138" i="24"/>
  <c r="F139" i="24"/>
  <c r="E140" i="24"/>
  <c r="EB18" i="29"/>
  <c r="AV23" i="29"/>
  <c r="Z50" i="29"/>
  <c r="D25" i="24"/>
  <c r="D37" i="24"/>
  <c r="M10" i="12"/>
  <c r="AV15" i="29"/>
  <c r="P12" i="16"/>
  <c r="L47" i="30"/>
  <c r="AV9" i="29"/>
  <c r="AV44" i="29" s="1"/>
  <c r="AU50" i="29"/>
  <c r="AT50" i="29"/>
  <c r="AV6" i="29"/>
  <c r="AT48" i="29"/>
  <c r="Z49" i="29"/>
  <c r="F126" i="24"/>
  <c r="F124" i="24"/>
  <c r="F131" i="24"/>
  <c r="F135" i="24"/>
  <c r="F130" i="24"/>
  <c r="F127" i="24"/>
  <c r="F128" i="24"/>
  <c r="F123" i="24"/>
  <c r="F133" i="24"/>
  <c r="F125" i="24"/>
  <c r="CJ25" i="29"/>
  <c r="AV14" i="29"/>
  <c r="O8" i="33"/>
  <c r="N8" i="33"/>
  <c r="N18" i="33" s="1"/>
  <c r="L18" i="33"/>
  <c r="M8" i="33" s="1"/>
  <c r="E26" i="20"/>
  <c r="F30" i="24"/>
  <c r="G30" i="24"/>
  <c r="H30" i="24" s="1"/>
  <c r="X8" i="27"/>
  <c r="V8" i="27"/>
  <c r="V21" i="27" s="1"/>
  <c r="S27" i="27" s="1"/>
  <c r="U21" i="27"/>
  <c r="S26" i="27" s="1"/>
  <c r="EB9" i="29"/>
  <c r="M15" i="12"/>
  <c r="E23" i="24"/>
  <c r="CJ22" i="29"/>
  <c r="X8" i="13"/>
  <c r="U18" i="13"/>
  <c r="S23" i="13" s="1"/>
  <c r="S26" i="13" s="1"/>
  <c r="CJ26" i="29"/>
  <c r="Z29" i="29"/>
  <c r="Z48" i="29"/>
  <c r="Z39" i="29"/>
  <c r="Z32" i="29"/>
  <c r="I18" i="11"/>
  <c r="K8" i="11"/>
  <c r="K18" i="11" s="1"/>
  <c r="AV27" i="29"/>
  <c r="AU27" i="29"/>
  <c r="AT34" i="29"/>
  <c r="CF61" i="29"/>
  <c r="BH6" i="29"/>
  <c r="BP6" i="29" s="1"/>
  <c r="BQ6" i="29" s="1"/>
  <c r="BH27" i="29"/>
  <c r="BP27" i="29" s="1"/>
  <c r="BH8" i="29"/>
  <c r="BH9" i="29"/>
  <c r="BP9" i="29" s="1"/>
  <c r="BH10" i="29"/>
  <c r="BP10" i="29" s="1"/>
  <c r="BQ10" i="29" s="1"/>
  <c r="BH11" i="29"/>
  <c r="BP11" i="29" s="1"/>
  <c r="BQ11" i="29" s="1"/>
  <c r="BH12" i="29"/>
  <c r="BP12" i="29" s="1"/>
  <c r="BQ12" i="29" s="1"/>
  <c r="BH13" i="29"/>
  <c r="BP13" i="29" s="1"/>
  <c r="BQ13" i="29" s="1"/>
  <c r="BH14" i="29"/>
  <c r="BP14" i="29" s="1"/>
  <c r="BQ14" i="29" s="1"/>
  <c r="BH15" i="29"/>
  <c r="BP15" i="29" s="1"/>
  <c r="BQ15" i="29" s="1"/>
  <c r="BH16" i="29"/>
  <c r="BP16" i="29" s="1"/>
  <c r="BQ16" i="29" s="1"/>
  <c r="BH17" i="29"/>
  <c r="BP17" i="29" s="1"/>
  <c r="BQ17" i="29" s="1"/>
  <c r="BH18" i="29"/>
  <c r="BP18" i="29" s="1"/>
  <c r="BQ18" i="29" s="1"/>
  <c r="BH19" i="29"/>
  <c r="BP19" i="29" s="1"/>
  <c r="BQ19" i="29" s="1"/>
  <c r="BH20" i="29"/>
  <c r="BP20" i="29" s="1"/>
  <c r="BQ20" i="29" s="1"/>
  <c r="BH21" i="29"/>
  <c r="BP21" i="29" s="1"/>
  <c r="BQ21" i="29" s="1"/>
  <c r="BH22" i="29"/>
  <c r="BP22" i="29" s="1"/>
  <c r="BQ22" i="29" s="1"/>
  <c r="BH23" i="29"/>
  <c r="BP23" i="29" s="1"/>
  <c r="BQ23" i="29" s="1"/>
  <c r="BH24" i="29"/>
  <c r="BP24" i="29" s="1"/>
  <c r="BQ24" i="29" s="1"/>
  <c r="BH25" i="29"/>
  <c r="BP25" i="29" s="1"/>
  <c r="BQ25" i="29" s="1"/>
  <c r="BH26" i="29"/>
  <c r="BP26" i="29" s="1"/>
  <c r="BQ26" i="29" s="1"/>
  <c r="BH7" i="29"/>
  <c r="BP7" i="29" s="1"/>
  <c r="BQ7" i="29" s="1"/>
  <c r="BH28" i="29"/>
  <c r="BP28" i="29" s="1"/>
  <c r="D60" i="24"/>
  <c r="D59" i="24"/>
  <c r="M8" i="12"/>
  <c r="M17" i="12" s="1"/>
  <c r="DF14" i="29"/>
  <c r="CJ20" i="29"/>
  <c r="AV25" i="29"/>
  <c r="AV19" i="29"/>
  <c r="G17" i="14"/>
  <c r="G8" i="14"/>
  <c r="H8" i="14" s="1"/>
  <c r="G12" i="14"/>
  <c r="H12" i="14" s="1"/>
  <c r="I12" i="14" s="1"/>
  <c r="G11" i="14"/>
  <c r="H11" i="14" s="1"/>
  <c r="I11" i="14" s="1"/>
  <c r="G10" i="14"/>
  <c r="H10" i="14" s="1"/>
  <c r="I10" i="14" s="1"/>
  <c r="G15" i="14"/>
  <c r="H15" i="14" s="1"/>
  <c r="I15" i="14" s="1"/>
  <c r="G9" i="14"/>
  <c r="H9" i="14" s="1"/>
  <c r="I9" i="14" s="1"/>
  <c r="G14" i="14"/>
  <c r="H14" i="14" s="1"/>
  <c r="I14" i="14" s="1"/>
  <c r="F132" i="24"/>
  <c r="M108" i="24"/>
  <c r="G17" i="24"/>
  <c r="P8" i="16"/>
  <c r="P18" i="16" s="1"/>
  <c r="EB8" i="29"/>
  <c r="U18" i="17"/>
  <c r="S23" i="17" s="1"/>
  <c r="X8" i="17"/>
  <c r="V8" i="17"/>
  <c r="V18" i="17" s="1"/>
  <c r="S24" i="17" s="1"/>
  <c r="AV17" i="29"/>
  <c r="P10" i="12"/>
  <c r="D20" i="28"/>
  <c r="D25" i="28" s="1"/>
  <c r="D32" i="28"/>
  <c r="Y48" i="29"/>
  <c r="X9" i="16"/>
  <c r="V9" i="16"/>
  <c r="V18" i="16" s="1"/>
  <c r="S24" i="16" s="1"/>
  <c r="S25" i="16" s="1"/>
  <c r="S28" i="16" s="1"/>
  <c r="U18" i="16"/>
  <c r="S23" i="16" s="1"/>
  <c r="AV28" i="29"/>
  <c r="AU28" i="29"/>
  <c r="X45" i="29" l="1"/>
  <c r="AT39" i="29"/>
  <c r="AU8" i="29"/>
  <c r="AU39" i="29" s="1"/>
  <c r="Y39" i="29"/>
  <c r="Y45" i="29" s="1"/>
  <c r="AW40" i="29"/>
  <c r="AT29" i="29"/>
  <c r="AN68" i="29" s="1"/>
  <c r="AN67" i="29" s="1"/>
  <c r="AV8" i="29"/>
  <c r="AV32" i="29" s="1"/>
  <c r="AT32" i="29"/>
  <c r="AT36" i="29" s="1"/>
  <c r="AT49" i="29"/>
  <c r="AT56" i="29" s="1"/>
  <c r="BU42" i="29"/>
  <c r="DA13" i="29"/>
  <c r="CK13" i="29"/>
  <c r="BO29" i="29"/>
  <c r="DA16" i="29"/>
  <c r="CK16" i="29"/>
  <c r="DA12" i="29"/>
  <c r="CK12" i="29"/>
  <c r="DA26" i="29"/>
  <c r="CK26" i="29"/>
  <c r="DA21" i="29"/>
  <c r="CK21" i="29"/>
  <c r="DA7" i="29"/>
  <c r="CK7" i="29"/>
  <c r="DA10" i="29"/>
  <c r="CK10" i="29"/>
  <c r="DA19" i="29"/>
  <c r="CK19" i="29"/>
  <c r="BW42" i="29"/>
  <c r="DA25" i="29"/>
  <c r="CK25" i="29"/>
  <c r="DA18" i="29"/>
  <c r="CK18" i="29"/>
  <c r="DA14" i="29"/>
  <c r="CK14" i="29"/>
  <c r="DA22" i="29"/>
  <c r="CK22" i="29"/>
  <c r="DA23" i="29"/>
  <c r="CK23" i="29"/>
  <c r="DA24" i="29"/>
  <c r="CK24" i="29"/>
  <c r="BJ42" i="29"/>
  <c r="DA17" i="29"/>
  <c r="CK17" i="29"/>
  <c r="DA11" i="29"/>
  <c r="CK11" i="29"/>
  <c r="DA20" i="29"/>
  <c r="CK20" i="29"/>
  <c r="DA15" i="29"/>
  <c r="CK15" i="29"/>
  <c r="BP8" i="29"/>
  <c r="BP42" i="29" s="1"/>
  <c r="R100" i="29"/>
  <c r="Y29" i="29"/>
  <c r="R69" i="29" s="1"/>
  <c r="Y32" i="29"/>
  <c r="Y36" i="29" s="1"/>
  <c r="Y49" i="29"/>
  <c r="Y56" i="29" s="1"/>
  <c r="DO8" i="29"/>
  <c r="DO32" i="29" s="1"/>
  <c r="CS49" i="29"/>
  <c r="BJ74" i="29"/>
  <c r="BX43" i="29"/>
  <c r="BK41" i="29"/>
  <c r="BP43" i="29"/>
  <c r="BK39" i="29"/>
  <c r="BK44" i="29"/>
  <c r="BJ40" i="29"/>
  <c r="BJ41" i="29"/>
  <c r="BZ40" i="29"/>
  <c r="BZ43" i="29"/>
  <c r="BQ40" i="29"/>
  <c r="BU41" i="29"/>
  <c r="CA43" i="29"/>
  <c r="BJ39" i="29"/>
  <c r="BT43" i="29"/>
  <c r="CA40" i="29"/>
  <c r="BJ44" i="29"/>
  <c r="BK43" i="29"/>
  <c r="BV40" i="29"/>
  <c r="BT40" i="29"/>
  <c r="BQ43" i="29"/>
  <c r="BK40" i="29"/>
  <c r="BW40" i="29"/>
  <c r="BU44" i="29"/>
  <c r="BR43" i="29"/>
  <c r="BW43" i="29"/>
  <c r="BX40" i="29"/>
  <c r="BV43" i="29"/>
  <c r="BW44" i="29"/>
  <c r="BU43" i="29"/>
  <c r="BJ43" i="29"/>
  <c r="BU40" i="29"/>
  <c r="BR40" i="29"/>
  <c r="CE6" i="29"/>
  <c r="CL43" i="29" s="1"/>
  <c r="BW41" i="29"/>
  <c r="BP40" i="29"/>
  <c r="AV41" i="29"/>
  <c r="AU41" i="29"/>
  <c r="CW40" i="29"/>
  <c r="CM40" i="29"/>
  <c r="CN43" i="29"/>
  <c r="CF41" i="29"/>
  <c r="CQ44" i="29"/>
  <c r="CF40" i="29"/>
  <c r="DA9" i="29"/>
  <c r="DG9" i="29" s="1"/>
  <c r="CQ42" i="29"/>
  <c r="BQ9" i="29"/>
  <c r="BQ44" i="29" s="1"/>
  <c r="BP44" i="29"/>
  <c r="EK9" i="29"/>
  <c r="DO50" i="29"/>
  <c r="EK6" i="29"/>
  <c r="DO48" i="29"/>
  <c r="BP41" i="29"/>
  <c r="F25" i="28"/>
  <c r="G18" i="28" s="1"/>
  <c r="K17" i="15"/>
  <c r="K19" i="15" s="1"/>
  <c r="I19" i="15"/>
  <c r="I30" i="24"/>
  <c r="J8" i="10"/>
  <c r="J12" i="10"/>
  <c r="J9" i="10"/>
  <c r="J10" i="10"/>
  <c r="J11" i="10"/>
  <c r="J14" i="10"/>
  <c r="J15" i="10"/>
  <c r="R70" i="29"/>
  <c r="AC28" i="29"/>
  <c r="G141" i="24"/>
  <c r="G134" i="24"/>
  <c r="G137" i="24"/>
  <c r="AA28" i="29"/>
  <c r="AB28" i="29" s="1"/>
  <c r="AD28" i="29" s="1"/>
  <c r="AA27" i="29"/>
  <c r="AB27" i="29" s="1"/>
  <c r="AA22" i="29"/>
  <c r="AB22" i="29" s="1"/>
  <c r="AD22" i="29" s="1"/>
  <c r="AF22" i="29" s="1"/>
  <c r="AI22" i="29" s="1"/>
  <c r="AA21" i="29"/>
  <c r="AB21" i="29" s="1"/>
  <c r="AD21" i="29" s="1"/>
  <c r="AF21" i="29" s="1"/>
  <c r="AI21" i="29" s="1"/>
  <c r="AA11" i="29"/>
  <c r="AB11" i="29" s="1"/>
  <c r="AD11" i="29" s="1"/>
  <c r="AF11" i="29" s="1"/>
  <c r="AI11" i="29" s="1"/>
  <c r="AA20" i="29"/>
  <c r="AB20" i="29" s="1"/>
  <c r="AD20" i="29" s="1"/>
  <c r="AF20" i="29" s="1"/>
  <c r="AI20" i="29" s="1"/>
  <c r="AA15" i="29"/>
  <c r="AB15" i="29" s="1"/>
  <c r="AD15" i="29" s="1"/>
  <c r="AF15" i="29" s="1"/>
  <c r="AI15" i="29" s="1"/>
  <c r="AA16" i="29"/>
  <c r="AB16" i="29" s="1"/>
  <c r="AD16" i="29" s="1"/>
  <c r="AF16" i="29" s="1"/>
  <c r="AI16" i="29" s="1"/>
  <c r="AA26" i="29"/>
  <c r="AB26" i="29" s="1"/>
  <c r="AD26" i="29" s="1"/>
  <c r="AF26" i="29" s="1"/>
  <c r="AI26" i="29" s="1"/>
  <c r="AA19" i="29"/>
  <c r="AB19" i="29" s="1"/>
  <c r="AD19" i="29" s="1"/>
  <c r="AF19" i="29" s="1"/>
  <c r="AI19" i="29" s="1"/>
  <c r="AA14" i="29"/>
  <c r="AB14" i="29" s="1"/>
  <c r="AD14" i="29" s="1"/>
  <c r="AF14" i="29" s="1"/>
  <c r="AI14" i="29" s="1"/>
  <c r="AA25" i="29"/>
  <c r="AB25" i="29" s="1"/>
  <c r="AD25" i="29" s="1"/>
  <c r="AF25" i="29" s="1"/>
  <c r="AI25" i="29" s="1"/>
  <c r="AA9" i="29"/>
  <c r="AB9" i="29" s="1"/>
  <c r="AA6" i="29"/>
  <c r="AB6" i="29" s="1"/>
  <c r="AA24" i="29"/>
  <c r="AB24" i="29" s="1"/>
  <c r="AD24" i="29" s="1"/>
  <c r="AF24" i="29" s="1"/>
  <c r="AI24" i="29" s="1"/>
  <c r="AA7" i="29"/>
  <c r="AB7" i="29" s="1"/>
  <c r="AD7" i="29" s="1"/>
  <c r="AF7" i="29" s="1"/>
  <c r="AI7" i="29" s="1"/>
  <c r="AA23" i="29"/>
  <c r="AB23" i="29" s="1"/>
  <c r="AD23" i="29" s="1"/>
  <c r="AF23" i="29" s="1"/>
  <c r="AI23" i="29" s="1"/>
  <c r="AA8" i="29"/>
  <c r="AB8" i="29" s="1"/>
  <c r="AA12" i="29"/>
  <c r="AB12" i="29" s="1"/>
  <c r="AD12" i="29" s="1"/>
  <c r="AF12" i="29" s="1"/>
  <c r="AI12" i="29" s="1"/>
  <c r="AA18" i="29"/>
  <c r="AB18" i="29" s="1"/>
  <c r="AD18" i="29" s="1"/>
  <c r="AF18" i="29" s="1"/>
  <c r="AI18" i="29" s="1"/>
  <c r="AA10" i="29"/>
  <c r="AB10" i="29" s="1"/>
  <c r="AD10" i="29" s="1"/>
  <c r="AA13" i="29"/>
  <c r="AB13" i="29" s="1"/>
  <c r="AD13" i="29" s="1"/>
  <c r="AF13" i="29" s="1"/>
  <c r="AI13" i="29" s="1"/>
  <c r="AA17" i="29"/>
  <c r="AB17" i="29" s="1"/>
  <c r="AD17" i="29" s="1"/>
  <c r="AF17" i="29" s="1"/>
  <c r="AI17" i="29" s="1"/>
  <c r="P15" i="12"/>
  <c r="G138" i="24"/>
  <c r="F32" i="28"/>
  <c r="S25" i="17"/>
  <c r="S29" i="17" s="1"/>
  <c r="W14" i="17" s="1"/>
  <c r="BR25" i="29"/>
  <c r="BR24" i="29"/>
  <c r="BR21" i="29"/>
  <c r="BR23" i="29"/>
  <c r="K14" i="14"/>
  <c r="EB14" i="29"/>
  <c r="K10" i="14"/>
  <c r="BR20" i="29"/>
  <c r="BR28" i="29"/>
  <c r="BQ28" i="29"/>
  <c r="BR16" i="29"/>
  <c r="BR12" i="29"/>
  <c r="Z45" i="29"/>
  <c r="DF26" i="29"/>
  <c r="BR22" i="29"/>
  <c r="O18" i="33"/>
  <c r="P8" i="33" s="1"/>
  <c r="AV48" i="29"/>
  <c r="I108" i="24"/>
  <c r="D142" i="24"/>
  <c r="E144" i="24"/>
  <c r="F142" i="24"/>
  <c r="D146" i="24"/>
  <c r="I34" i="24"/>
  <c r="E146" i="24"/>
  <c r="F148" i="24"/>
  <c r="E142" i="24"/>
  <c r="D144" i="24"/>
  <c r="E145" i="24"/>
  <c r="F149" i="24"/>
  <c r="F147" i="24"/>
  <c r="D148" i="24"/>
  <c r="F145" i="24"/>
  <c r="D147" i="24"/>
  <c r="D145" i="24"/>
  <c r="E148" i="24"/>
  <c r="E147" i="24"/>
  <c r="E149" i="24"/>
  <c r="F144" i="24"/>
  <c r="D149" i="24"/>
  <c r="F146" i="24"/>
  <c r="J18" i="21"/>
  <c r="J10" i="21"/>
  <c r="N29" i="21"/>
  <c r="N34" i="21" s="1"/>
  <c r="J9" i="21"/>
  <c r="J12" i="21"/>
  <c r="J19" i="21"/>
  <c r="J11" i="21"/>
  <c r="J14" i="21"/>
  <c r="AU55" i="29"/>
  <c r="G147" i="24"/>
  <c r="G149" i="24"/>
  <c r="N108" i="24"/>
  <c r="M8" i="27"/>
  <c r="DF24" i="29"/>
  <c r="J8" i="21"/>
  <c r="M9" i="17"/>
  <c r="M15" i="17"/>
  <c r="M14" i="17"/>
  <c r="M16" i="17"/>
  <c r="M12" i="17"/>
  <c r="M11" i="17"/>
  <c r="M10" i="17"/>
  <c r="AV55" i="29"/>
  <c r="DF23" i="29"/>
  <c r="S28" i="13"/>
  <c r="M9" i="13"/>
  <c r="M11" i="13"/>
  <c r="M10" i="13"/>
  <c r="M12" i="13"/>
  <c r="M14" i="13"/>
  <c r="M16" i="13"/>
  <c r="M15" i="13"/>
  <c r="G148" i="24"/>
  <c r="G139" i="24"/>
  <c r="G130" i="24"/>
  <c r="G145" i="24"/>
  <c r="G146" i="24"/>
  <c r="G133" i="24"/>
  <c r="DF21" i="29"/>
  <c r="BR7" i="29"/>
  <c r="BR15" i="29"/>
  <c r="BR27" i="29"/>
  <c r="BQ27" i="29"/>
  <c r="BP34" i="29"/>
  <c r="BR26" i="29"/>
  <c r="K9" i="14"/>
  <c r="K12" i="14"/>
  <c r="D96" i="24"/>
  <c r="BR18" i="29"/>
  <c r="BR14" i="29"/>
  <c r="BR10" i="29"/>
  <c r="BP55" i="29"/>
  <c r="BR6" i="29"/>
  <c r="BP48" i="29"/>
  <c r="AV34" i="29"/>
  <c r="M15" i="33"/>
  <c r="M10" i="33"/>
  <c r="M12" i="33"/>
  <c r="M11" i="33"/>
  <c r="M16" i="33"/>
  <c r="M14" i="33"/>
  <c r="M9" i="33"/>
  <c r="H114" i="24"/>
  <c r="H109" i="24"/>
  <c r="H130" i="24"/>
  <c r="H121" i="24"/>
  <c r="H132" i="24"/>
  <c r="H110" i="24"/>
  <c r="H111" i="24"/>
  <c r="H117" i="24"/>
  <c r="H118" i="24"/>
  <c r="H126" i="24"/>
  <c r="H134" i="24"/>
  <c r="H116" i="24"/>
  <c r="H131" i="24"/>
  <c r="H112" i="24"/>
  <c r="H133" i="24"/>
  <c r="H124" i="24"/>
  <c r="H113" i="24"/>
  <c r="H123" i="24"/>
  <c r="H125" i="24"/>
  <c r="H119" i="24"/>
  <c r="H127" i="24"/>
  <c r="H135" i="24"/>
  <c r="H128" i="24"/>
  <c r="H120" i="24"/>
  <c r="O21" i="27"/>
  <c r="P8" i="27" s="1"/>
  <c r="G26" i="20"/>
  <c r="H23" i="20"/>
  <c r="H43" i="24"/>
  <c r="H53" i="24"/>
  <c r="H140" i="24" s="1"/>
  <c r="I15" i="24"/>
  <c r="J15" i="21"/>
  <c r="M18" i="17"/>
  <c r="O18" i="13"/>
  <c r="P8" i="13" s="1"/>
  <c r="G140" i="24"/>
  <c r="G135" i="24"/>
  <c r="G144" i="24"/>
  <c r="W8" i="16"/>
  <c r="Y8" i="16" s="1"/>
  <c r="W9" i="16"/>
  <c r="Y9" i="16" s="1"/>
  <c r="Z9" i="16" s="1"/>
  <c r="W10" i="16"/>
  <c r="Y10" i="16" s="1"/>
  <c r="Z10" i="16" s="1"/>
  <c r="W11" i="16"/>
  <c r="Y11" i="16" s="1"/>
  <c r="Z11" i="16" s="1"/>
  <c r="W12" i="16"/>
  <c r="Y12" i="16" s="1"/>
  <c r="Z12" i="16" s="1"/>
  <c r="W14" i="16"/>
  <c r="W15" i="16"/>
  <c r="W16" i="16"/>
  <c r="Y16" i="16" s="1"/>
  <c r="Z16" i="16" s="1"/>
  <c r="K11" i="14"/>
  <c r="BR19" i="29"/>
  <c r="BR11" i="29"/>
  <c r="AU34" i="29"/>
  <c r="N25" i="11"/>
  <c r="J11" i="11"/>
  <c r="J15" i="11"/>
  <c r="J9" i="11"/>
  <c r="J10" i="11"/>
  <c r="J12" i="11"/>
  <c r="J16" i="11"/>
  <c r="J14" i="11"/>
  <c r="Z56" i="29"/>
  <c r="E36" i="24"/>
  <c r="E69" i="24" s="1"/>
  <c r="E19" i="24"/>
  <c r="E54" i="24"/>
  <c r="S28" i="17"/>
  <c r="S27" i="17"/>
  <c r="K15" i="14"/>
  <c r="H19" i="14"/>
  <c r="I8" i="14"/>
  <c r="DF20" i="29"/>
  <c r="D97" i="24"/>
  <c r="BR17" i="29"/>
  <c r="BR13" i="29"/>
  <c r="BR9" i="29"/>
  <c r="BR44" i="29" s="1"/>
  <c r="BP50" i="29"/>
  <c r="CD6" i="29"/>
  <c r="CL6" i="29" s="1"/>
  <c r="CM6" i="29" s="1"/>
  <c r="DB61" i="29"/>
  <c r="CD27" i="29"/>
  <c r="CL27" i="29" s="1"/>
  <c r="CD7" i="29"/>
  <c r="CL7" i="29" s="1"/>
  <c r="CM7" i="29" s="1"/>
  <c r="CD28" i="29"/>
  <c r="CL28" i="29" s="1"/>
  <c r="CD18" i="29"/>
  <c r="CL18" i="29" s="1"/>
  <c r="CM18" i="29" s="1"/>
  <c r="CD21" i="29"/>
  <c r="CL21" i="29" s="1"/>
  <c r="CM21" i="29" s="1"/>
  <c r="CD16" i="29"/>
  <c r="CL16" i="29" s="1"/>
  <c r="CM16" i="29" s="1"/>
  <c r="CD15" i="29"/>
  <c r="CL15" i="29" s="1"/>
  <c r="CM15" i="29" s="1"/>
  <c r="CD22" i="29"/>
  <c r="CL22" i="29" s="1"/>
  <c r="CM22" i="29" s="1"/>
  <c r="CD14" i="29"/>
  <c r="CL14" i="29" s="1"/>
  <c r="CM14" i="29" s="1"/>
  <c r="CD17" i="29"/>
  <c r="CL17" i="29" s="1"/>
  <c r="CM17" i="29" s="1"/>
  <c r="CD24" i="29"/>
  <c r="CL24" i="29" s="1"/>
  <c r="CM24" i="29" s="1"/>
  <c r="CD12" i="29"/>
  <c r="CL12" i="29" s="1"/>
  <c r="CM12" i="29" s="1"/>
  <c r="CD23" i="29"/>
  <c r="CL23" i="29" s="1"/>
  <c r="CM23" i="29" s="1"/>
  <c r="CD11" i="29"/>
  <c r="CL11" i="29" s="1"/>
  <c r="CM11" i="29" s="1"/>
  <c r="CD10" i="29"/>
  <c r="CL10" i="29" s="1"/>
  <c r="CM10" i="29" s="1"/>
  <c r="CD13" i="29"/>
  <c r="CL13" i="29" s="1"/>
  <c r="CM13" i="29" s="1"/>
  <c r="CD20" i="29"/>
  <c r="CL20" i="29" s="1"/>
  <c r="CM20" i="29" s="1"/>
  <c r="CD9" i="29"/>
  <c r="CL9" i="29" s="1"/>
  <c r="CD25" i="29"/>
  <c r="CL25" i="29" s="1"/>
  <c r="CM25" i="29" s="1"/>
  <c r="CD26" i="29"/>
  <c r="CL26" i="29" s="1"/>
  <c r="CM26" i="29" s="1"/>
  <c r="CD8" i="29"/>
  <c r="CD19" i="29"/>
  <c r="CL19" i="29" s="1"/>
  <c r="CM19" i="29" s="1"/>
  <c r="J8" i="11"/>
  <c r="J18" i="11" s="1"/>
  <c r="Z36" i="29"/>
  <c r="DF22" i="29"/>
  <c r="H64" i="20"/>
  <c r="G64" i="20"/>
  <c r="E64" i="20"/>
  <c r="D64" i="20"/>
  <c r="F64" i="20"/>
  <c r="E30" i="20"/>
  <c r="E33" i="20" s="1"/>
  <c r="DF25" i="29"/>
  <c r="AU48" i="29"/>
  <c r="AV50" i="29"/>
  <c r="M18" i="27"/>
  <c r="M19" i="27"/>
  <c r="M10" i="27"/>
  <c r="M9" i="27"/>
  <c r="M16" i="27"/>
  <c r="M12" i="27"/>
  <c r="M14" i="27"/>
  <c r="M15" i="27"/>
  <c r="M11" i="27"/>
  <c r="K21" i="21"/>
  <c r="P16" i="12"/>
  <c r="P9" i="12"/>
  <c r="P14" i="12"/>
  <c r="P11" i="12"/>
  <c r="P12" i="12"/>
  <c r="O18" i="17"/>
  <c r="P8" i="17"/>
  <c r="EB10" i="29"/>
  <c r="I44" i="24"/>
  <c r="I17" i="24"/>
  <c r="G132" i="24"/>
  <c r="G142" i="24"/>
  <c r="AU42" i="29" l="1"/>
  <c r="AV42" i="29"/>
  <c r="AB42" i="29"/>
  <c r="AA42" i="29" s="1"/>
  <c r="AU32" i="29"/>
  <c r="AU36" i="29" s="1"/>
  <c r="AV39" i="29"/>
  <c r="AU49" i="29"/>
  <c r="AU56" i="29" s="1"/>
  <c r="AU29" i="29"/>
  <c r="AN69" i="29" s="1"/>
  <c r="BP39" i="29"/>
  <c r="AV29" i="29"/>
  <c r="BR8" i="29"/>
  <c r="BR32" i="29" s="1"/>
  <c r="AV49" i="29"/>
  <c r="AV56" i="29" s="1"/>
  <c r="BQ8" i="29"/>
  <c r="BQ32" i="29" s="1"/>
  <c r="BP32" i="29"/>
  <c r="BP36" i="29" s="1"/>
  <c r="BP49" i="29"/>
  <c r="BP56" i="29" s="1"/>
  <c r="BP29" i="29"/>
  <c r="BJ68" i="29" s="1"/>
  <c r="BJ67" i="29" s="1"/>
  <c r="CL8" i="29"/>
  <c r="CL42" i="29" s="1"/>
  <c r="DW23" i="29"/>
  <c r="EC23" i="29" s="1"/>
  <c r="DG23" i="29"/>
  <c r="DW14" i="29"/>
  <c r="EC14" i="29" s="1"/>
  <c r="DG14" i="29"/>
  <c r="DW25" i="29"/>
  <c r="EC25" i="29" s="1"/>
  <c r="DG25" i="29"/>
  <c r="DW15" i="29"/>
  <c r="EC15" i="29" s="1"/>
  <c r="DG15" i="29"/>
  <c r="DW11" i="29"/>
  <c r="EC11" i="29" s="1"/>
  <c r="DG11" i="29"/>
  <c r="DW10" i="29"/>
  <c r="EC10" i="29" s="1"/>
  <c r="DG10" i="29"/>
  <c r="DW21" i="29"/>
  <c r="EC21" i="29" s="1"/>
  <c r="DG21" i="29"/>
  <c r="DW12" i="29"/>
  <c r="EC12" i="29" s="1"/>
  <c r="DG12" i="29"/>
  <c r="DW24" i="29"/>
  <c r="EC24" i="29" s="1"/>
  <c r="DG24" i="29"/>
  <c r="DW22" i="29"/>
  <c r="EC22" i="29" s="1"/>
  <c r="DG22" i="29"/>
  <c r="DW18" i="29"/>
  <c r="EC18" i="29" s="1"/>
  <c r="DG18" i="29"/>
  <c r="DW13" i="29"/>
  <c r="EC13" i="29" s="1"/>
  <c r="DG13" i="29"/>
  <c r="DW20" i="29"/>
  <c r="EC20" i="29" s="1"/>
  <c r="DG20" i="29"/>
  <c r="DW17" i="29"/>
  <c r="EC17" i="29" s="1"/>
  <c r="DG17" i="29"/>
  <c r="DW19" i="29"/>
  <c r="EC19" i="29" s="1"/>
  <c r="DG19" i="29"/>
  <c r="DW7" i="29"/>
  <c r="EC7" i="29" s="1"/>
  <c r="DG7" i="29"/>
  <c r="DW26" i="29"/>
  <c r="EC26" i="29" s="1"/>
  <c r="DG26" i="29"/>
  <c r="DW16" i="29"/>
  <c r="EC16" i="29" s="1"/>
  <c r="DG16" i="29"/>
  <c r="BS40" i="29"/>
  <c r="BS43" i="29"/>
  <c r="CS40" i="29"/>
  <c r="CK6" i="29"/>
  <c r="CK29" i="29" s="1"/>
  <c r="AH21" i="29"/>
  <c r="CG41" i="29"/>
  <c r="CV43" i="29"/>
  <c r="CT40" i="29"/>
  <c r="CG42" i="29"/>
  <c r="CP43" i="29"/>
  <c r="CO43" i="29" s="1"/>
  <c r="CW43" i="29"/>
  <c r="CG43" i="29"/>
  <c r="CT43" i="29"/>
  <c r="CP45" i="29"/>
  <c r="CF39" i="29"/>
  <c r="CV40" i="29"/>
  <c r="CG44" i="29"/>
  <c r="CS43" i="29"/>
  <c r="CS44" i="29"/>
  <c r="CF42" i="29"/>
  <c r="CL45" i="29"/>
  <c r="CL40" i="29"/>
  <c r="CG40" i="29"/>
  <c r="CP40" i="29"/>
  <c r="CS41" i="29"/>
  <c r="CT45" i="29"/>
  <c r="CG45" i="29"/>
  <c r="CF44" i="29"/>
  <c r="CQ41" i="29"/>
  <c r="CF45" i="29"/>
  <c r="R76" i="29"/>
  <c r="CS42" i="29"/>
  <c r="CM43" i="29"/>
  <c r="CG39" i="29"/>
  <c r="CW45" i="29"/>
  <c r="CM45" i="29"/>
  <c r="CV45" i="29"/>
  <c r="CN45" i="29"/>
  <c r="CQ43" i="29"/>
  <c r="CF43" i="29"/>
  <c r="CF74" i="29"/>
  <c r="CQ45" i="29"/>
  <c r="DO49" i="29"/>
  <c r="EK8" i="29"/>
  <c r="EK42" i="29" s="1"/>
  <c r="DA6" i="29"/>
  <c r="DG6" i="29" s="1"/>
  <c r="CN40" i="29"/>
  <c r="CQ40" i="29"/>
  <c r="CS45" i="29"/>
  <c r="AH12" i="29"/>
  <c r="AH15" i="29"/>
  <c r="AH19" i="29"/>
  <c r="AH20" i="29"/>
  <c r="AH16" i="29"/>
  <c r="BQ50" i="29"/>
  <c r="BQ41" i="29"/>
  <c r="BQ42" i="29"/>
  <c r="BR41" i="29"/>
  <c r="BR42" i="29"/>
  <c r="CM9" i="29"/>
  <c r="CM44" i="29" s="1"/>
  <c r="CL44" i="29"/>
  <c r="DW9" i="29"/>
  <c r="EC9" i="29" s="1"/>
  <c r="DB42" i="29"/>
  <c r="DO42" i="29"/>
  <c r="DX42" i="29"/>
  <c r="DC42" i="29"/>
  <c r="DY42" i="29"/>
  <c r="DM42" i="29"/>
  <c r="EI42" i="29"/>
  <c r="AD9" i="29"/>
  <c r="AD44" i="29" s="1"/>
  <c r="AB44" i="29"/>
  <c r="AA44" i="29" s="1"/>
  <c r="G32" i="28"/>
  <c r="FD6" i="29"/>
  <c r="EK48" i="29"/>
  <c r="FD9" i="29"/>
  <c r="FD50" i="29" s="1"/>
  <c r="K21" i="30" s="1"/>
  <c r="EK50" i="29"/>
  <c r="CL41" i="29"/>
  <c r="AB49" i="29"/>
  <c r="AA49" i="29" s="1"/>
  <c r="AB41" i="29"/>
  <c r="AA41" i="29" s="1"/>
  <c r="G25" i="28"/>
  <c r="G30" i="28"/>
  <c r="G17" i="28"/>
  <c r="G21" i="28"/>
  <c r="G14" i="28"/>
  <c r="G31" i="28"/>
  <c r="G12" i="28"/>
  <c r="G15" i="28"/>
  <c r="G19" i="28"/>
  <c r="G23" i="28"/>
  <c r="G20" i="28"/>
  <c r="G13" i="28"/>
  <c r="G28" i="28"/>
  <c r="G22" i="28"/>
  <c r="G29" i="28"/>
  <c r="G16" i="28"/>
  <c r="J11" i="15"/>
  <c r="J15" i="15"/>
  <c r="J14" i="15"/>
  <c r="J17" i="15"/>
  <c r="J12" i="15"/>
  <c r="J8" i="15"/>
  <c r="J10" i="15"/>
  <c r="J9" i="15"/>
  <c r="AH18" i="29"/>
  <c r="AH26" i="29"/>
  <c r="AB50" i="29"/>
  <c r="AA50" i="29" s="1"/>
  <c r="AB48" i="29"/>
  <c r="AA48" i="29" s="1"/>
  <c r="BQ34" i="29"/>
  <c r="AH14" i="29"/>
  <c r="AB29" i="29"/>
  <c r="R99" i="29" s="1"/>
  <c r="I22" i="30" s="1"/>
  <c r="I27" i="30" s="1"/>
  <c r="W11" i="17"/>
  <c r="Y11" i="17" s="1"/>
  <c r="Z11" i="17" s="1"/>
  <c r="AC11" i="17" s="1"/>
  <c r="AD8" i="29"/>
  <c r="AD42" i="29" s="1"/>
  <c r="AD6" i="29"/>
  <c r="AD48" i="29" s="1"/>
  <c r="AH17" i="29"/>
  <c r="AB55" i="29"/>
  <c r="AA55" i="29" s="1"/>
  <c r="AB39" i="29"/>
  <c r="AB32" i="29"/>
  <c r="AA32" i="29" s="1"/>
  <c r="W15" i="17"/>
  <c r="X15" i="17" s="1"/>
  <c r="Y15" i="17" s="1"/>
  <c r="W8" i="17"/>
  <c r="Y8" i="17" s="1"/>
  <c r="Z8" i="17" s="1"/>
  <c r="W9" i="17"/>
  <c r="Y9" i="17" s="1"/>
  <c r="Z9" i="17" s="1"/>
  <c r="AC9" i="17" s="1"/>
  <c r="AH13" i="29"/>
  <c r="AD27" i="29"/>
  <c r="AD55" i="29" s="1"/>
  <c r="AB34" i="29"/>
  <c r="AA34" i="29" s="1"/>
  <c r="P17" i="12"/>
  <c r="H144" i="24"/>
  <c r="M18" i="33"/>
  <c r="M18" i="13"/>
  <c r="W12" i="17"/>
  <c r="Y12" i="17" s="1"/>
  <c r="Z12" i="17" s="1"/>
  <c r="AC12" i="17" s="1"/>
  <c r="W10" i="17"/>
  <c r="Y10" i="17" s="1"/>
  <c r="Z10" i="17" s="1"/>
  <c r="AC10" i="17" s="1"/>
  <c r="AH24" i="29"/>
  <c r="AH23" i="29"/>
  <c r="AH11" i="29"/>
  <c r="AC34" i="29"/>
  <c r="AC36" i="29" s="1"/>
  <c r="AE28" i="29"/>
  <c r="AC55" i="29"/>
  <c r="AC56" i="29" s="1"/>
  <c r="AC39" i="29"/>
  <c r="AC45" i="29" s="1"/>
  <c r="AC29" i="29"/>
  <c r="H149" i="24"/>
  <c r="AH7" i="29"/>
  <c r="AH25" i="29"/>
  <c r="W16" i="17"/>
  <c r="Y16" i="17" s="1"/>
  <c r="Z16" i="17" s="1"/>
  <c r="AB16" i="17" s="1"/>
  <c r="AH22" i="29"/>
  <c r="J17" i="10"/>
  <c r="CN26" i="29"/>
  <c r="CN20" i="29"/>
  <c r="CN21" i="29"/>
  <c r="CN23" i="29"/>
  <c r="CN24" i="29"/>
  <c r="CN10" i="29"/>
  <c r="CL55" i="29"/>
  <c r="CN15" i="29"/>
  <c r="CN28" i="29"/>
  <c r="CM28" i="29"/>
  <c r="CN6" i="29"/>
  <c r="CL48" i="29"/>
  <c r="I19" i="14"/>
  <c r="J8" i="14" s="1"/>
  <c r="K8" i="14"/>
  <c r="K19" i="14" s="1"/>
  <c r="E77" i="24"/>
  <c r="K110" i="24"/>
  <c r="X14" i="16"/>
  <c r="Y14" i="16" s="1"/>
  <c r="Z14" i="16" s="1"/>
  <c r="AB9" i="16"/>
  <c r="AC9" i="16"/>
  <c r="H139" i="24"/>
  <c r="BR55" i="29"/>
  <c r="EB21" i="29"/>
  <c r="EB23" i="29"/>
  <c r="AV36" i="29"/>
  <c r="S28" i="33"/>
  <c r="P15" i="33"/>
  <c r="P14" i="33"/>
  <c r="P16" i="33"/>
  <c r="P12" i="33"/>
  <c r="P10" i="33"/>
  <c r="P11" i="33"/>
  <c r="P9" i="33"/>
  <c r="G62" i="20"/>
  <c r="F62" i="20"/>
  <c r="H62" i="20"/>
  <c r="E62" i="20"/>
  <c r="D62" i="20"/>
  <c r="CN19" i="29"/>
  <c r="CN9" i="29"/>
  <c r="CN44" i="29" s="1"/>
  <c r="CL50" i="29"/>
  <c r="CN11" i="29"/>
  <c r="CN17" i="29"/>
  <c r="CN16" i="29"/>
  <c r="CN7" i="29"/>
  <c r="AB12" i="16"/>
  <c r="AC12" i="16"/>
  <c r="Z8" i="16"/>
  <c r="S32" i="27"/>
  <c r="P9" i="27"/>
  <c r="P12" i="27"/>
  <c r="P14" i="27"/>
  <c r="P16" i="27"/>
  <c r="P18" i="27"/>
  <c r="P10" i="27"/>
  <c r="P15" i="27"/>
  <c r="P11" i="27"/>
  <c r="P19" i="27"/>
  <c r="H142" i="24"/>
  <c r="H148" i="24"/>
  <c r="H141" i="24"/>
  <c r="H145" i="24"/>
  <c r="BR48" i="29"/>
  <c r="EB24" i="29"/>
  <c r="X14" i="17"/>
  <c r="Y14" i="17" s="1"/>
  <c r="Z14" i="17" s="1"/>
  <c r="EB25" i="29"/>
  <c r="EB22" i="29"/>
  <c r="CN14" i="29"/>
  <c r="CN27" i="29"/>
  <c r="CM27" i="29"/>
  <c r="CL34" i="29"/>
  <c r="EB20" i="29"/>
  <c r="E70" i="24"/>
  <c r="E55" i="24"/>
  <c r="D70" i="24"/>
  <c r="D78" i="24" s="1"/>
  <c r="N16" i="11"/>
  <c r="O16" i="11" s="1"/>
  <c r="P16" i="11" s="1"/>
  <c r="N12" i="11"/>
  <c r="O12" i="11" s="1"/>
  <c r="P12" i="11" s="1"/>
  <c r="N8" i="11"/>
  <c r="O8" i="11" s="1"/>
  <c r="N9" i="11"/>
  <c r="O9" i="11" s="1"/>
  <c r="P9" i="11" s="1"/>
  <c r="N10" i="11"/>
  <c r="O10" i="11" s="1"/>
  <c r="P10" i="11" s="1"/>
  <c r="N14" i="11"/>
  <c r="O14" i="11" s="1"/>
  <c r="P14" i="11" s="1"/>
  <c r="N11" i="11"/>
  <c r="O11" i="11" s="1"/>
  <c r="P11" i="11" s="1"/>
  <c r="N15" i="11"/>
  <c r="O15" i="11" s="1"/>
  <c r="P15" i="11" s="1"/>
  <c r="AC16" i="16"/>
  <c r="AB16" i="16"/>
  <c r="AC11" i="16"/>
  <c r="AB11" i="16"/>
  <c r="P15" i="13"/>
  <c r="P12" i="13"/>
  <c r="P10" i="13"/>
  <c r="P9" i="13"/>
  <c r="P16" i="13"/>
  <c r="P14" i="13"/>
  <c r="P11" i="13"/>
  <c r="I43" i="24"/>
  <c r="I53" i="24"/>
  <c r="H137" i="24"/>
  <c r="BR34" i="29"/>
  <c r="N15" i="21"/>
  <c r="O15" i="21" s="1"/>
  <c r="N12" i="21"/>
  <c r="O12" i="21" s="1"/>
  <c r="N8" i="21"/>
  <c r="O8" i="21" s="1"/>
  <c r="N18" i="21"/>
  <c r="N19" i="21"/>
  <c r="D29" i="20"/>
  <c r="N14" i="21"/>
  <c r="O14" i="21" s="1"/>
  <c r="N9" i="21"/>
  <c r="O9" i="21" s="1"/>
  <c r="P9" i="21" s="1"/>
  <c r="N11" i="21"/>
  <c r="O11" i="21" s="1"/>
  <c r="P11" i="21" s="1"/>
  <c r="N10" i="21"/>
  <c r="O10" i="21" s="1"/>
  <c r="P10" i="21" s="1"/>
  <c r="N16" i="21"/>
  <c r="O16" i="21" s="1"/>
  <c r="O19" i="21"/>
  <c r="P19" i="21" s="1"/>
  <c r="R18" i="21"/>
  <c r="O108" i="24"/>
  <c r="P9" i="17"/>
  <c r="P11" i="17"/>
  <c r="P16" i="17"/>
  <c r="P14" i="17"/>
  <c r="P15" i="17"/>
  <c r="P12" i="17"/>
  <c r="P10" i="17"/>
  <c r="CN25" i="29"/>
  <c r="CN22" i="29"/>
  <c r="CN13" i="29"/>
  <c r="CN12" i="29"/>
  <c r="CN18" i="29"/>
  <c r="CZ6" i="29"/>
  <c r="DH6" i="29" s="1"/>
  <c r="DI6" i="29" s="1"/>
  <c r="CZ7" i="29"/>
  <c r="DH7" i="29" s="1"/>
  <c r="DI7" i="29" s="1"/>
  <c r="DX61" i="29"/>
  <c r="CZ28" i="29"/>
  <c r="DH28" i="29" s="1"/>
  <c r="CZ27" i="29"/>
  <c r="DH27" i="29" s="1"/>
  <c r="CZ25" i="29"/>
  <c r="DH25" i="29" s="1"/>
  <c r="DI25" i="29" s="1"/>
  <c r="CZ22" i="29"/>
  <c r="DH22" i="29" s="1"/>
  <c r="DI22" i="29" s="1"/>
  <c r="CZ21" i="29"/>
  <c r="DH21" i="29" s="1"/>
  <c r="DI21" i="29" s="1"/>
  <c r="CZ20" i="29"/>
  <c r="DH20" i="29" s="1"/>
  <c r="DI20" i="29" s="1"/>
  <c r="CZ16" i="29"/>
  <c r="DH16" i="29" s="1"/>
  <c r="DI16" i="29" s="1"/>
  <c r="CZ13" i="29"/>
  <c r="DH13" i="29" s="1"/>
  <c r="DI13" i="29" s="1"/>
  <c r="CZ9" i="29"/>
  <c r="DH9" i="29" s="1"/>
  <c r="CZ23" i="29"/>
  <c r="DH23" i="29" s="1"/>
  <c r="DI23" i="29" s="1"/>
  <c r="CZ19" i="29"/>
  <c r="DH19" i="29" s="1"/>
  <c r="DI19" i="29" s="1"/>
  <c r="CZ17" i="29"/>
  <c r="DH17" i="29" s="1"/>
  <c r="DI17" i="29" s="1"/>
  <c r="CZ14" i="29"/>
  <c r="DH14" i="29" s="1"/>
  <c r="DI14" i="29" s="1"/>
  <c r="CZ10" i="29"/>
  <c r="DH10" i="29" s="1"/>
  <c r="DI10" i="29" s="1"/>
  <c r="CZ26" i="29"/>
  <c r="DH26" i="29" s="1"/>
  <c r="DI26" i="29" s="1"/>
  <c r="CZ24" i="29"/>
  <c r="DH24" i="29" s="1"/>
  <c r="DI24" i="29" s="1"/>
  <c r="CZ18" i="29"/>
  <c r="DH18" i="29" s="1"/>
  <c r="DI18" i="29" s="1"/>
  <c r="CZ15" i="29"/>
  <c r="DH15" i="29" s="1"/>
  <c r="DI15" i="29" s="1"/>
  <c r="CZ12" i="29"/>
  <c r="DH12" i="29" s="1"/>
  <c r="DI12" i="29" s="1"/>
  <c r="CZ8" i="29"/>
  <c r="CZ11" i="29"/>
  <c r="DH11" i="29" s="1"/>
  <c r="DI11" i="29" s="1"/>
  <c r="BR50" i="29"/>
  <c r="E24" i="24"/>
  <c r="E22" i="24"/>
  <c r="X15" i="16"/>
  <c r="Y15" i="16" s="1"/>
  <c r="Z15" i="16" s="1"/>
  <c r="AB10" i="16"/>
  <c r="AC10" i="16"/>
  <c r="G30" i="20"/>
  <c r="H147" i="24"/>
  <c r="H146" i="24"/>
  <c r="H138" i="24"/>
  <c r="BQ48" i="29"/>
  <c r="BQ55" i="29"/>
  <c r="V10" i="13"/>
  <c r="V15" i="13"/>
  <c r="W14" i="13"/>
  <c r="W8" i="13"/>
  <c r="Y8" i="13" s="1"/>
  <c r="W11" i="13"/>
  <c r="Y11" i="13" s="1"/>
  <c r="Z11" i="13" s="1"/>
  <c r="W12" i="13"/>
  <c r="Y12" i="13" s="1"/>
  <c r="Z12" i="13" s="1"/>
  <c r="V14" i="13"/>
  <c r="W9" i="13"/>
  <c r="Y9" i="13" s="1"/>
  <c r="Z9" i="13" s="1"/>
  <c r="W16" i="13"/>
  <c r="Y16" i="13" s="1"/>
  <c r="Z16" i="13" s="1"/>
  <c r="V9" i="13"/>
  <c r="W15" i="13"/>
  <c r="W10" i="13"/>
  <c r="Y10" i="13" s="1"/>
  <c r="Z10" i="13" s="1"/>
  <c r="V11" i="13"/>
  <c r="V16" i="13"/>
  <c r="V12" i="13"/>
  <c r="V8" i="13"/>
  <c r="J21" i="21"/>
  <c r="M21" i="27"/>
  <c r="AF10" i="29"/>
  <c r="AI10" i="29" s="1"/>
  <c r="I138" i="24"/>
  <c r="I113" i="24"/>
  <c r="I123" i="24"/>
  <c r="I125" i="24"/>
  <c r="I149" i="24"/>
  <c r="I120" i="24"/>
  <c r="I128" i="24"/>
  <c r="I139" i="24"/>
  <c r="I147" i="24"/>
  <c r="I124" i="24"/>
  <c r="I145" i="24"/>
  <c r="I114" i="24"/>
  <c r="I109" i="24"/>
  <c r="I130" i="24"/>
  <c r="I141" i="24"/>
  <c r="I121" i="24"/>
  <c r="I132" i="24"/>
  <c r="I140" i="24"/>
  <c r="I148" i="24"/>
  <c r="I137" i="24"/>
  <c r="I117" i="24"/>
  <c r="I131" i="24"/>
  <c r="I112" i="24"/>
  <c r="I133" i="24"/>
  <c r="I118" i="24"/>
  <c r="I126" i="24"/>
  <c r="I134" i="24"/>
  <c r="I142" i="24"/>
  <c r="I116" i="24"/>
  <c r="I144" i="24"/>
  <c r="I110" i="24"/>
  <c r="I119" i="24"/>
  <c r="I127" i="24"/>
  <c r="I146" i="24"/>
  <c r="I111" i="24"/>
  <c r="I135" i="24"/>
  <c r="EB26" i="29"/>
  <c r="CL39" i="29" l="1"/>
  <c r="BQ39" i="29"/>
  <c r="P18" i="33"/>
  <c r="BR29" i="29"/>
  <c r="BR39" i="29"/>
  <c r="BR49" i="29"/>
  <c r="BR56" i="29" s="1"/>
  <c r="CN8" i="29"/>
  <c r="CN29" i="29" s="1"/>
  <c r="CL32" i="29"/>
  <c r="CL36" i="29" s="1"/>
  <c r="BQ29" i="29"/>
  <c r="BJ69" i="29" s="1"/>
  <c r="CL29" i="29"/>
  <c r="CF68" i="29" s="1"/>
  <c r="CF67" i="29" s="1"/>
  <c r="CL49" i="29"/>
  <c r="CL56" i="29" s="1"/>
  <c r="CM8" i="29"/>
  <c r="CM32" i="29" s="1"/>
  <c r="BQ49" i="29"/>
  <c r="BQ56" i="29" s="1"/>
  <c r="DH8" i="29"/>
  <c r="DH42" i="29" s="1"/>
  <c r="EK32" i="29"/>
  <c r="DG29" i="29"/>
  <c r="AB45" i="29"/>
  <c r="CO40" i="29"/>
  <c r="FD8" i="29"/>
  <c r="FD49" i="29" s="1"/>
  <c r="K22" i="30" s="1"/>
  <c r="EK49" i="29"/>
  <c r="DW6" i="29"/>
  <c r="DC44" i="29"/>
  <c r="DP43" i="29"/>
  <c r="EL43" i="29"/>
  <c r="EI41" i="29"/>
  <c r="DM40" i="29"/>
  <c r="DM44" i="29"/>
  <c r="DO43" i="29"/>
  <c r="DX40" i="29"/>
  <c r="EH43" i="29"/>
  <c r="EE43" i="29"/>
  <c r="DO40" i="29"/>
  <c r="DY44" i="29"/>
  <c r="DY39" i="29"/>
  <c r="DR43" i="29"/>
  <c r="EN40" i="29"/>
  <c r="EN43" i="29"/>
  <c r="EJ40" i="29"/>
  <c r="DB41" i="29"/>
  <c r="EK41" i="29"/>
  <c r="DJ43" i="29"/>
  <c r="EO40" i="29"/>
  <c r="DI43" i="29"/>
  <c r="DL43" i="29"/>
  <c r="DC40" i="29"/>
  <c r="DI40" i="29"/>
  <c r="EJ43" i="29"/>
  <c r="DM41" i="29"/>
  <c r="DL40" i="29"/>
  <c r="DX44" i="29"/>
  <c r="EF43" i="29"/>
  <c r="DH43" i="29"/>
  <c r="DM43" i="29"/>
  <c r="EK40" i="29"/>
  <c r="DX39" i="29"/>
  <c r="EI43" i="29"/>
  <c r="DY41" i="29"/>
  <c r="EK44" i="29"/>
  <c r="DY40" i="29"/>
  <c r="DO41" i="29"/>
  <c r="DB43" i="29"/>
  <c r="DX41" i="29"/>
  <c r="EH40" i="29"/>
  <c r="EI40" i="29"/>
  <c r="EE40" i="29"/>
  <c r="DS40" i="29"/>
  <c r="DB74" i="29"/>
  <c r="DO44" i="29"/>
  <c r="DY43" i="29"/>
  <c r="EI44" i="29"/>
  <c r="DC43" i="29"/>
  <c r="ED40" i="29"/>
  <c r="DC39" i="29"/>
  <c r="ED43" i="29"/>
  <c r="EF40" i="29"/>
  <c r="EG40" i="29" s="1"/>
  <c r="DB44" i="29"/>
  <c r="DB40" i="29"/>
  <c r="DC41" i="29"/>
  <c r="DJ40" i="29"/>
  <c r="DK40" i="29" s="1"/>
  <c r="DH40" i="29"/>
  <c r="DP40" i="29"/>
  <c r="DB39" i="29"/>
  <c r="DR40" i="29"/>
  <c r="EL40" i="29"/>
  <c r="DB45" i="29"/>
  <c r="EK43" i="29"/>
  <c r="DS43" i="29"/>
  <c r="EO43" i="29"/>
  <c r="DN43" i="29"/>
  <c r="DX43" i="29"/>
  <c r="DN40" i="29"/>
  <c r="CM50" i="29"/>
  <c r="CN41" i="29"/>
  <c r="AF6" i="29"/>
  <c r="AI6" i="29" s="1"/>
  <c r="AF9" i="29"/>
  <c r="AI9" i="29" s="1"/>
  <c r="AD50" i="29"/>
  <c r="DI9" i="29"/>
  <c r="DI44" i="29" s="1"/>
  <c r="DH44" i="29"/>
  <c r="FD48" i="29"/>
  <c r="FD32" i="29"/>
  <c r="DH41" i="29"/>
  <c r="AF8" i="29"/>
  <c r="AI8" i="29" s="1"/>
  <c r="AD41" i="29"/>
  <c r="BQ36" i="29"/>
  <c r="J19" i="15"/>
  <c r="AB11" i="17"/>
  <c r="AD49" i="29"/>
  <c r="AA29" i="29"/>
  <c r="R77" i="29" s="1"/>
  <c r="I30" i="30" s="1"/>
  <c r="I31" i="30" s="1"/>
  <c r="I34" i="30" s="1"/>
  <c r="F115" i="30" s="1"/>
  <c r="AB10" i="17"/>
  <c r="AB12" i="17"/>
  <c r="AD39" i="29"/>
  <c r="AD45" i="29" s="1"/>
  <c r="AD29" i="29"/>
  <c r="AD32" i="29"/>
  <c r="L22" i="30"/>
  <c r="AC16" i="17"/>
  <c r="AA39" i="29"/>
  <c r="AB9" i="17"/>
  <c r="AB56" i="29"/>
  <c r="AA56" i="29" s="1"/>
  <c r="AE34" i="29"/>
  <c r="AE36" i="29" s="1"/>
  <c r="AY27" i="29"/>
  <c r="BA27" i="29" s="1"/>
  <c r="AE55" i="29"/>
  <c r="AE56" i="29" s="1"/>
  <c r="AF28" i="29"/>
  <c r="AI28" i="29" s="1"/>
  <c r="AE39" i="29"/>
  <c r="AE45" i="29" s="1"/>
  <c r="AE29" i="29"/>
  <c r="AB36" i="29"/>
  <c r="AA36" i="29" s="1"/>
  <c r="P18" i="13"/>
  <c r="P21" i="27"/>
  <c r="P18" i="17"/>
  <c r="AD34" i="29"/>
  <c r="AF27" i="29"/>
  <c r="AI27" i="29" s="1"/>
  <c r="CM34" i="29"/>
  <c r="X19" i="17"/>
  <c r="DJ22" i="29"/>
  <c r="DJ24" i="29"/>
  <c r="DJ23" i="29"/>
  <c r="DJ20" i="29"/>
  <c r="Z15" i="17"/>
  <c r="Z18" i="17" s="1"/>
  <c r="AA8" i="17" s="1"/>
  <c r="Y18" i="17"/>
  <c r="DJ21" i="29"/>
  <c r="AC12" i="13"/>
  <c r="AB12" i="13"/>
  <c r="DJ12" i="29"/>
  <c r="DJ19" i="29"/>
  <c r="DJ16" i="29"/>
  <c r="DJ7" i="29"/>
  <c r="D16" i="20"/>
  <c r="P16" i="21"/>
  <c r="P14" i="21"/>
  <c r="D17" i="20"/>
  <c r="H17" i="20" s="1"/>
  <c r="P8" i="21"/>
  <c r="O21" i="21"/>
  <c r="R15" i="11"/>
  <c r="R9" i="11"/>
  <c r="CN34" i="29"/>
  <c r="BR36" i="29"/>
  <c r="Y18" i="16"/>
  <c r="CN48" i="29"/>
  <c r="AC16" i="13"/>
  <c r="AB16" i="13"/>
  <c r="E21" i="24"/>
  <c r="F18" i="24"/>
  <c r="E35" i="24"/>
  <c r="E37" i="24"/>
  <c r="E25" i="24"/>
  <c r="DJ15" i="29"/>
  <c r="DJ10" i="29"/>
  <c r="DH55" i="29"/>
  <c r="DJ27" i="29"/>
  <c r="DI27" i="29"/>
  <c r="DH34" i="29"/>
  <c r="DJ6" i="29"/>
  <c r="DH48" i="29"/>
  <c r="L117" i="30"/>
  <c r="H117" i="30"/>
  <c r="F117" i="30"/>
  <c r="D117" i="30"/>
  <c r="J117" i="30"/>
  <c r="G117" i="30"/>
  <c r="E117" i="30"/>
  <c r="I117" i="30"/>
  <c r="K117" i="30"/>
  <c r="F21" i="20"/>
  <c r="H21" i="20" s="1"/>
  <c r="R10" i="21"/>
  <c r="P12" i="21"/>
  <c r="F18" i="20"/>
  <c r="R11" i="11"/>
  <c r="O18" i="11"/>
  <c r="P8" i="11"/>
  <c r="DJ25" i="29"/>
  <c r="W14" i="27"/>
  <c r="W10" i="27"/>
  <c r="Y10" i="27" s="1"/>
  <c r="Z10" i="27" s="1"/>
  <c r="AC10" i="27" s="1"/>
  <c r="W9" i="27"/>
  <c r="Y9" i="27" s="1"/>
  <c r="Z9" i="27" s="1"/>
  <c r="AC9" i="27" s="1"/>
  <c r="W8" i="27"/>
  <c r="Y8" i="27" s="1"/>
  <c r="W15" i="27"/>
  <c r="W16" i="27"/>
  <c r="Y16" i="27" s="1"/>
  <c r="Z16" i="27" s="1"/>
  <c r="AC16" i="27" s="1"/>
  <c r="W12" i="27"/>
  <c r="Y12" i="27" s="1"/>
  <c r="Z12" i="27" s="1"/>
  <c r="AC12" i="27" s="1"/>
  <c r="W11" i="27"/>
  <c r="Y11" i="27" s="1"/>
  <c r="Z11" i="27" s="1"/>
  <c r="AC11" i="27" s="1"/>
  <c r="S31" i="27"/>
  <c r="W19" i="27"/>
  <c r="W18" i="27"/>
  <c r="S37" i="27"/>
  <c r="Y19" i="27" s="1"/>
  <c r="Z19" i="27" s="1"/>
  <c r="AB18" i="27"/>
  <c r="CN50" i="29"/>
  <c r="AC14" i="16"/>
  <c r="AB14" i="16"/>
  <c r="AC11" i="13"/>
  <c r="AB11" i="13"/>
  <c r="V18" i="13"/>
  <c r="S24" i="13" s="1"/>
  <c r="S27" i="13" s="1"/>
  <c r="AC10" i="13"/>
  <c r="AB10" i="13"/>
  <c r="AC9" i="13"/>
  <c r="AB9" i="13"/>
  <c r="Z8" i="13"/>
  <c r="DJ11" i="29"/>
  <c r="DJ18" i="29"/>
  <c r="DJ14" i="29"/>
  <c r="DJ9" i="29"/>
  <c r="DJ44" i="29" s="1"/>
  <c r="DH50" i="29"/>
  <c r="DJ28" i="29"/>
  <c r="DI28" i="29"/>
  <c r="AB8" i="17"/>
  <c r="AC8" i="17"/>
  <c r="R11" i="21"/>
  <c r="F22" i="20"/>
  <c r="H22" i="20" s="1"/>
  <c r="P15" i="21"/>
  <c r="D18" i="20"/>
  <c r="R14" i="11"/>
  <c r="R12" i="11"/>
  <c r="E57" i="24"/>
  <c r="E56" i="24"/>
  <c r="E78" i="24"/>
  <c r="K117" i="24"/>
  <c r="W10" i="33"/>
  <c r="Y10" i="33" s="1"/>
  <c r="Z10" i="33" s="1"/>
  <c r="W9" i="33"/>
  <c r="Y9" i="33" s="1"/>
  <c r="Z9" i="33" s="1"/>
  <c r="W14" i="33"/>
  <c r="W16" i="33"/>
  <c r="Y16" i="33" s="1"/>
  <c r="Z16" i="33" s="1"/>
  <c r="W15" i="33"/>
  <c r="W8" i="33"/>
  <c r="Y8" i="33" s="1"/>
  <c r="W11" i="33"/>
  <c r="Y11" i="33" s="1"/>
  <c r="Z11" i="33" s="1"/>
  <c r="W12" i="33"/>
  <c r="Y12" i="33" s="1"/>
  <c r="Z12" i="33" s="1"/>
  <c r="J17" i="14"/>
  <c r="J14" i="14"/>
  <c r="J12" i="14"/>
  <c r="J15" i="14"/>
  <c r="J10" i="14"/>
  <c r="J9" i="14"/>
  <c r="J11" i="14"/>
  <c r="CM55" i="29"/>
  <c r="DJ26" i="29"/>
  <c r="AH10" i="29"/>
  <c r="X15" i="13"/>
  <c r="Y15" i="13" s="1"/>
  <c r="Z15" i="13" s="1"/>
  <c r="X14" i="13"/>
  <c r="Y14" i="13" s="1"/>
  <c r="Z14" i="13" s="1"/>
  <c r="AC15" i="16"/>
  <c r="AB15" i="16"/>
  <c r="DJ17" i="29"/>
  <c r="DJ13" i="29"/>
  <c r="DV27" i="29"/>
  <c r="ED27" i="29" s="1"/>
  <c r="DV28" i="29"/>
  <c r="ED28" i="29" s="1"/>
  <c r="DV9" i="29"/>
  <c r="ED9" i="29" s="1"/>
  <c r="DV13" i="29"/>
  <c r="ED13" i="29" s="1"/>
  <c r="EE13" i="29" s="1"/>
  <c r="DV17" i="29"/>
  <c r="ED17" i="29" s="1"/>
  <c r="EE17" i="29" s="1"/>
  <c r="DV21" i="29"/>
  <c r="ED21" i="29" s="1"/>
  <c r="EE21" i="29" s="1"/>
  <c r="DV25" i="29"/>
  <c r="ED25" i="29" s="1"/>
  <c r="EE25" i="29" s="1"/>
  <c r="DV6" i="29"/>
  <c r="ED6" i="29" s="1"/>
  <c r="EE6" i="29" s="1"/>
  <c r="D9" i="30"/>
  <c r="DV10" i="29"/>
  <c r="ED10" i="29" s="1"/>
  <c r="EE10" i="29" s="1"/>
  <c r="DV22" i="29"/>
  <c r="ED22" i="29" s="1"/>
  <c r="EE22" i="29" s="1"/>
  <c r="DV20" i="29"/>
  <c r="ED20" i="29" s="1"/>
  <c r="EE20" i="29" s="1"/>
  <c r="DV7" i="29"/>
  <c r="ED7" i="29" s="1"/>
  <c r="EE7" i="29" s="1"/>
  <c r="DV23" i="29"/>
  <c r="ED23" i="29" s="1"/>
  <c r="EE23" i="29" s="1"/>
  <c r="DV26" i="29"/>
  <c r="ED26" i="29" s="1"/>
  <c r="EE26" i="29" s="1"/>
  <c r="DV8" i="29"/>
  <c r="DV24" i="29"/>
  <c r="ED24" i="29" s="1"/>
  <c r="EE24" i="29" s="1"/>
  <c r="DV11" i="29"/>
  <c r="ED11" i="29" s="1"/>
  <c r="EE11" i="29" s="1"/>
  <c r="DV18" i="29"/>
  <c r="ED18" i="29" s="1"/>
  <c r="EE18" i="29" s="1"/>
  <c r="DV19" i="29"/>
  <c r="ED19" i="29" s="1"/>
  <c r="EE19" i="29" s="1"/>
  <c r="DV15" i="29"/>
  <c r="ED15" i="29" s="1"/>
  <c r="EE15" i="29" s="1"/>
  <c r="DV14" i="29"/>
  <c r="ED14" i="29" s="1"/>
  <c r="EE14" i="29" s="1"/>
  <c r="DV12" i="29"/>
  <c r="ED12" i="29" s="1"/>
  <c r="EE12" i="29" s="1"/>
  <c r="DV16" i="29"/>
  <c r="ED16" i="29" s="1"/>
  <c r="EE16" i="29" s="1"/>
  <c r="R19" i="21"/>
  <c r="F20" i="20"/>
  <c r="H20" i="20" s="1"/>
  <c r="R9" i="21"/>
  <c r="R10" i="11"/>
  <c r="R16" i="11"/>
  <c r="AB14" i="17"/>
  <c r="AC14" i="17"/>
  <c r="AB8" i="16"/>
  <c r="Z18" i="16"/>
  <c r="AA14" i="16" s="1"/>
  <c r="AC8" i="16"/>
  <c r="CM48" i="29"/>
  <c r="CN55" i="29"/>
  <c r="P117" i="24"/>
  <c r="P110" i="24"/>
  <c r="P144" i="24"/>
  <c r="P116" i="24"/>
  <c r="P145" i="24"/>
  <c r="P138" i="24"/>
  <c r="P131" i="24"/>
  <c r="P146" i="24"/>
  <c r="P130" i="24"/>
  <c r="P124" i="24"/>
  <c r="P139" i="24"/>
  <c r="P137" i="24"/>
  <c r="P147" i="24"/>
  <c r="P123" i="24"/>
  <c r="P132" i="24"/>
  <c r="P148" i="24"/>
  <c r="P140" i="24"/>
  <c r="P109" i="24"/>
  <c r="CN39" i="29" l="1"/>
  <c r="CN42" i="29"/>
  <c r="CM39" i="29"/>
  <c r="DH39" i="29"/>
  <c r="CM41" i="29"/>
  <c r="CN32" i="29"/>
  <c r="CN36" i="29" s="1"/>
  <c r="CN49" i="29"/>
  <c r="CN56" i="29" s="1"/>
  <c r="CM29" i="29"/>
  <c r="CF69" i="29" s="1"/>
  <c r="CM49" i="29"/>
  <c r="CM56" i="29" s="1"/>
  <c r="CM42" i="29"/>
  <c r="DH29" i="29"/>
  <c r="DB68" i="29" s="1"/>
  <c r="DB67" i="29" s="1"/>
  <c r="DI8" i="29"/>
  <c r="DI32" i="29" s="1"/>
  <c r="DH49" i="29"/>
  <c r="DH56" i="29" s="1"/>
  <c r="DJ8" i="29"/>
  <c r="DJ29" i="29" s="1"/>
  <c r="DH32" i="29"/>
  <c r="DH36" i="29" s="1"/>
  <c r="ED8" i="29"/>
  <c r="ED42" i="29" s="1"/>
  <c r="DX74" i="29"/>
  <c r="EC6" i="29"/>
  <c r="EC29" i="29" s="1"/>
  <c r="EG43" i="29"/>
  <c r="AF55" i="29"/>
  <c r="DK43" i="29"/>
  <c r="AF48" i="29"/>
  <c r="AI48" i="29"/>
  <c r="AH6" i="29"/>
  <c r="AH48" i="29" s="1"/>
  <c r="AF44" i="29"/>
  <c r="AI50" i="29"/>
  <c r="DI50" i="29"/>
  <c r="AI44" i="29"/>
  <c r="AF49" i="29"/>
  <c r="AH9" i="29"/>
  <c r="AF50" i="29"/>
  <c r="DJ41" i="29"/>
  <c r="AF41" i="29"/>
  <c r="AF42" i="29"/>
  <c r="AI41" i="29"/>
  <c r="AI42" i="29"/>
  <c r="AH8" i="29"/>
  <c r="AH42" i="29" s="1"/>
  <c r="AF39" i="29"/>
  <c r="AF29" i="29"/>
  <c r="AG10" i="29" s="1"/>
  <c r="AF32" i="29"/>
  <c r="AD56" i="29"/>
  <c r="EE9" i="29"/>
  <c r="EE44" i="29" s="1"/>
  <c r="ED44" i="29"/>
  <c r="AH44" i="29"/>
  <c r="AH41" i="29"/>
  <c r="L115" i="30"/>
  <c r="H18" i="20"/>
  <c r="D115" i="30"/>
  <c r="H115" i="30"/>
  <c r="K115" i="30"/>
  <c r="J115" i="30"/>
  <c r="E115" i="30"/>
  <c r="I115" i="30"/>
  <c r="G115" i="30"/>
  <c r="AD36" i="29"/>
  <c r="AA14" i="17"/>
  <c r="CM36" i="29"/>
  <c r="J19" i="14"/>
  <c r="AH27" i="29"/>
  <c r="AF34" i="29"/>
  <c r="R102" i="29"/>
  <c r="AH28" i="29"/>
  <c r="D88" i="24"/>
  <c r="E90" i="24"/>
  <c r="F88" i="24"/>
  <c r="E87" i="24"/>
  <c r="D90" i="24"/>
  <c r="D89" i="24"/>
  <c r="G90" i="24"/>
  <c r="E85" i="24"/>
  <c r="D85" i="24"/>
  <c r="D86" i="24"/>
  <c r="H90" i="24"/>
  <c r="F89" i="24"/>
  <c r="E89" i="24"/>
  <c r="G89" i="24"/>
  <c r="D87" i="24"/>
  <c r="F90" i="24"/>
  <c r="E86" i="24"/>
  <c r="E88" i="24"/>
  <c r="EF25" i="29"/>
  <c r="EX25" i="29"/>
  <c r="EW25" i="29"/>
  <c r="EF23" i="29"/>
  <c r="EX23" i="29"/>
  <c r="EW23" i="29"/>
  <c r="EF24" i="29"/>
  <c r="EX24" i="29"/>
  <c r="EW24" i="29"/>
  <c r="EF26" i="29"/>
  <c r="EX26" i="29"/>
  <c r="EW26" i="29"/>
  <c r="EF20" i="29"/>
  <c r="EX20" i="29"/>
  <c r="EW20" i="29"/>
  <c r="AC15" i="13"/>
  <c r="AB15" i="13"/>
  <c r="EF22" i="29"/>
  <c r="EX22" i="29"/>
  <c r="EW22" i="29"/>
  <c r="EF21" i="29"/>
  <c r="EX21" i="29"/>
  <c r="EW21" i="29"/>
  <c r="AA8" i="16"/>
  <c r="EF16" i="29"/>
  <c r="EX16" i="29"/>
  <c r="EW16" i="29"/>
  <c r="EF19" i="29"/>
  <c r="EX19" i="29"/>
  <c r="EW19" i="29"/>
  <c r="EF6" i="29"/>
  <c r="EW6" i="29"/>
  <c r="ED48" i="29"/>
  <c r="EF13" i="29"/>
  <c r="EX13" i="29"/>
  <c r="EW13" i="29"/>
  <c r="AC12" i="33"/>
  <c r="AB12" i="33"/>
  <c r="AB16" i="33"/>
  <c r="AC16" i="33"/>
  <c r="AB16" i="27"/>
  <c r="AB10" i="27"/>
  <c r="DJ34" i="29"/>
  <c r="R14" i="21"/>
  <c r="AA12" i="16"/>
  <c r="AA16" i="16"/>
  <c r="AA9" i="16"/>
  <c r="AA10" i="16"/>
  <c r="AA11" i="16"/>
  <c r="X15" i="27"/>
  <c r="Y15" i="27" s="1"/>
  <c r="Z15" i="27" s="1"/>
  <c r="AC15" i="27" s="1"/>
  <c r="X14" i="27"/>
  <c r="Y14" i="27" s="1"/>
  <c r="DJ48" i="29"/>
  <c r="R16" i="21"/>
  <c r="EF12" i="29"/>
  <c r="EX12" i="29"/>
  <c r="EW12" i="29"/>
  <c r="EF9" i="29"/>
  <c r="EF44" i="29" s="1"/>
  <c r="EW9" i="29"/>
  <c r="EW50" i="29" s="1"/>
  <c r="ED50" i="29"/>
  <c r="AC14" i="13"/>
  <c r="AB14" i="13"/>
  <c r="X14" i="33"/>
  <c r="Y14" i="33" s="1"/>
  <c r="Z14" i="33" s="1"/>
  <c r="R15" i="21"/>
  <c r="AB18" i="16"/>
  <c r="EF14" i="29"/>
  <c r="EX14" i="29"/>
  <c r="EW14" i="29"/>
  <c r="EF11" i="29"/>
  <c r="EX11" i="29"/>
  <c r="EW11" i="29"/>
  <c r="EF10" i="29"/>
  <c r="ED55" i="29"/>
  <c r="EW10" i="29"/>
  <c r="EF28" i="29"/>
  <c r="EE28" i="29"/>
  <c r="EX28" i="29" s="1"/>
  <c r="EW28" i="29"/>
  <c r="Z8" i="33"/>
  <c r="AC9" i="33"/>
  <c r="AB9" i="33"/>
  <c r="DJ50" i="29"/>
  <c r="Y18" i="13"/>
  <c r="AB19" i="27"/>
  <c r="AB11" i="27"/>
  <c r="Z8" i="27"/>
  <c r="AC8" i="27" s="1"/>
  <c r="Q8" i="11"/>
  <c r="R8" i="11"/>
  <c r="R18" i="11" s="1"/>
  <c r="P18" i="11"/>
  <c r="F26" i="20"/>
  <c r="DI55" i="29"/>
  <c r="F23" i="24"/>
  <c r="P21" i="21"/>
  <c r="Q14" i="21" s="1"/>
  <c r="R8" i="21"/>
  <c r="F19" i="20"/>
  <c r="H19" i="20" s="1"/>
  <c r="D26" i="20"/>
  <c r="H16" i="20"/>
  <c r="H26" i="20" s="1"/>
  <c r="AA15" i="17"/>
  <c r="AC15" i="17"/>
  <c r="AB15" i="17"/>
  <c r="AB18" i="17" s="1"/>
  <c r="EF18" i="29"/>
  <c r="EX18" i="29"/>
  <c r="EW18" i="29"/>
  <c r="AA15" i="16"/>
  <c r="AB11" i="33"/>
  <c r="AC11" i="33"/>
  <c r="AI49" i="29"/>
  <c r="AC18" i="16"/>
  <c r="AD14" i="16" s="1"/>
  <c r="EF15" i="29"/>
  <c r="EX15" i="29"/>
  <c r="EW15" i="29"/>
  <c r="EF7" i="29"/>
  <c r="EX7" i="29"/>
  <c r="EW7" i="29"/>
  <c r="EF17" i="29"/>
  <c r="EX17" i="29"/>
  <c r="EW17" i="29"/>
  <c r="EF27" i="29"/>
  <c r="EW27" i="29"/>
  <c r="EE27" i="29"/>
  <c r="ED34" i="29"/>
  <c r="X15" i="33"/>
  <c r="Y15" i="33" s="1"/>
  <c r="Z15" i="33" s="1"/>
  <c r="AC10" i="33"/>
  <c r="AB10" i="33"/>
  <c r="E60" i="24"/>
  <c r="E59" i="24"/>
  <c r="AA10" i="17"/>
  <c r="AA12" i="17"/>
  <c r="AA16" i="17"/>
  <c r="AA9" i="17"/>
  <c r="AA11" i="17"/>
  <c r="AC8" i="13"/>
  <c r="Z18" i="13"/>
  <c r="AB8" i="13"/>
  <c r="AB12" i="27"/>
  <c r="AB9" i="27"/>
  <c r="R12" i="21"/>
  <c r="DI48" i="29"/>
  <c r="DI34" i="29"/>
  <c r="DJ55" i="29"/>
  <c r="DI39" i="29" l="1"/>
  <c r="ED39" i="29"/>
  <c r="DJ39" i="29"/>
  <c r="ED41" i="29"/>
  <c r="DI41" i="29"/>
  <c r="ED32" i="29"/>
  <c r="ED36" i="29" s="1"/>
  <c r="ED29" i="29"/>
  <c r="DX68" i="29" s="1"/>
  <c r="DX67" i="29" s="1"/>
  <c r="EW8" i="29"/>
  <c r="EW49" i="29" s="1"/>
  <c r="EE8" i="29"/>
  <c r="EE32" i="29" s="1"/>
  <c r="DI29" i="29"/>
  <c r="DB69" i="29" s="1"/>
  <c r="ED49" i="29"/>
  <c r="ED56" i="29" s="1"/>
  <c r="DI49" i="29"/>
  <c r="DI56" i="29" s="1"/>
  <c r="DI42" i="29"/>
  <c r="EF8" i="29"/>
  <c r="EF32" i="29" s="1"/>
  <c r="DJ42" i="29"/>
  <c r="DJ49" i="29"/>
  <c r="DJ56" i="29" s="1"/>
  <c r="DJ32" i="29"/>
  <c r="DJ36" i="29" s="1"/>
  <c r="AF45" i="29"/>
  <c r="AG45" i="29" s="1"/>
  <c r="AH39" i="29"/>
  <c r="AH45" i="29" s="1"/>
  <c r="AI32" i="29"/>
  <c r="AF56" i="29"/>
  <c r="AG56" i="29" s="1"/>
  <c r="AG20" i="29"/>
  <c r="AG49" i="29"/>
  <c r="AG18" i="29"/>
  <c r="AN62" i="29"/>
  <c r="AG8" i="29"/>
  <c r="AH50" i="29"/>
  <c r="AG25" i="29"/>
  <c r="AG39" i="29"/>
  <c r="AG21" i="29"/>
  <c r="AG33" i="29"/>
  <c r="AG11" i="29"/>
  <c r="AG41" i="29"/>
  <c r="AG42" i="29"/>
  <c r="AH49" i="29"/>
  <c r="AH29" i="29"/>
  <c r="AH32" i="29"/>
  <c r="AG28" i="29"/>
  <c r="AG27" i="29"/>
  <c r="AG15" i="29"/>
  <c r="AG22" i="29"/>
  <c r="AG23" i="29"/>
  <c r="AG43" i="29"/>
  <c r="R101" i="29"/>
  <c r="R103" i="29" s="1"/>
  <c r="AG35" i="29"/>
  <c r="EF41" i="29"/>
  <c r="AG6" i="29"/>
  <c r="AG34" i="29"/>
  <c r="AG19" i="29"/>
  <c r="AG14" i="29"/>
  <c r="AG26" i="29"/>
  <c r="AG7" i="29"/>
  <c r="AG24" i="29"/>
  <c r="AG53" i="29"/>
  <c r="AG54" i="29"/>
  <c r="AG40" i="29"/>
  <c r="AG16" i="29"/>
  <c r="AG12" i="29"/>
  <c r="R89" i="29"/>
  <c r="AG13" i="29"/>
  <c r="AG17" i="29"/>
  <c r="AG51" i="29"/>
  <c r="AG44" i="29"/>
  <c r="AG52" i="29"/>
  <c r="AG48" i="29"/>
  <c r="AG55" i="29"/>
  <c r="AG9" i="29"/>
  <c r="EE41" i="29"/>
  <c r="AG32" i="29"/>
  <c r="AG50" i="29"/>
  <c r="AF36" i="29"/>
  <c r="AG36" i="29" s="1"/>
  <c r="AH55" i="29"/>
  <c r="AI29" i="29"/>
  <c r="AJ49" i="29" s="1"/>
  <c r="AI39" i="29"/>
  <c r="AI55" i="29"/>
  <c r="AI56" i="29" s="1"/>
  <c r="Q12" i="21"/>
  <c r="AB18" i="13"/>
  <c r="AH34" i="29"/>
  <c r="AI34" i="29"/>
  <c r="EW34" i="29"/>
  <c r="AA18" i="17"/>
  <c r="AD8" i="16"/>
  <c r="AB15" i="27"/>
  <c r="Z14" i="27"/>
  <c r="Y21" i="27"/>
  <c r="AA10" i="13"/>
  <c r="AA12" i="13"/>
  <c r="AA16" i="13"/>
  <c r="AA11" i="13"/>
  <c r="AA9" i="13"/>
  <c r="E96" i="24"/>
  <c r="EY15" i="29"/>
  <c r="H27" i="20"/>
  <c r="D6" i="20"/>
  <c r="E27" i="20"/>
  <c r="G27" i="20"/>
  <c r="R21" i="21"/>
  <c r="Y18" i="33"/>
  <c r="EX10" i="29"/>
  <c r="EE55" i="29"/>
  <c r="EY14" i="29"/>
  <c r="AA14" i="13"/>
  <c r="AD15" i="16"/>
  <c r="EW48" i="29"/>
  <c r="EY16" i="29"/>
  <c r="AA15" i="13"/>
  <c r="EY26" i="29"/>
  <c r="E61" i="24"/>
  <c r="AC18" i="13"/>
  <c r="AD14" i="13" s="1"/>
  <c r="E97" i="24"/>
  <c r="EE34" i="29"/>
  <c r="EX27" i="29"/>
  <c r="EX34" i="29" s="1"/>
  <c r="EY7" i="29"/>
  <c r="EY18" i="29"/>
  <c r="F51" i="20"/>
  <c r="D51" i="20"/>
  <c r="E51" i="20"/>
  <c r="G51" i="20"/>
  <c r="H51" i="20"/>
  <c r="D27" i="20"/>
  <c r="D30" i="20"/>
  <c r="Q18" i="21"/>
  <c r="Q10" i="21"/>
  <c r="Q11" i="21"/>
  <c r="Q19" i="21"/>
  <c r="Q9" i="21"/>
  <c r="F36" i="24"/>
  <c r="F19" i="24"/>
  <c r="F54" i="24"/>
  <c r="E75" i="20"/>
  <c r="F27" i="20"/>
  <c r="H75" i="20"/>
  <c r="G75" i="20"/>
  <c r="D75" i="20"/>
  <c r="F75" i="20"/>
  <c r="Z18" i="33"/>
  <c r="AA8" i="33" s="1"/>
  <c r="AB8" i="33"/>
  <c r="AC8" i="33"/>
  <c r="EY11" i="29"/>
  <c r="AC14" i="33"/>
  <c r="AB14" i="33"/>
  <c r="EX9" i="29"/>
  <c r="EX50" i="29" s="1"/>
  <c r="EE50" i="29"/>
  <c r="EY12" i="29"/>
  <c r="EE48" i="29"/>
  <c r="EX6" i="29"/>
  <c r="EY19" i="29"/>
  <c r="EY20" i="29"/>
  <c r="EY25" i="29"/>
  <c r="AB15" i="33"/>
  <c r="AC15" i="33"/>
  <c r="EY17" i="29"/>
  <c r="Q14" i="11"/>
  <c r="Q10" i="11"/>
  <c r="Q12" i="11"/>
  <c r="Q15" i="11"/>
  <c r="Q9" i="11"/>
  <c r="Q18" i="11" s="1"/>
  <c r="Q11" i="11"/>
  <c r="Q16" i="11"/>
  <c r="AB8" i="27"/>
  <c r="EY28" i="29"/>
  <c r="EY10" i="29"/>
  <c r="EF55" i="29"/>
  <c r="EF50" i="29"/>
  <c r="EY9" i="29"/>
  <c r="AC18" i="17"/>
  <c r="AD15" i="17" s="1"/>
  <c r="EY6" i="29"/>
  <c r="EF48" i="29"/>
  <c r="AA18" i="16"/>
  <c r="EY23" i="29"/>
  <c r="DI36" i="29"/>
  <c r="AA8" i="13"/>
  <c r="EY27" i="29"/>
  <c r="EF34" i="29"/>
  <c r="AD9" i="16"/>
  <c r="AD10" i="16"/>
  <c r="AD12" i="16"/>
  <c r="AD16" i="16"/>
  <c r="AD11" i="16"/>
  <c r="Q8" i="21"/>
  <c r="EW55" i="29"/>
  <c r="Q15" i="21"/>
  <c r="Q16" i="21"/>
  <c r="EY13" i="29"/>
  <c r="EY21" i="29"/>
  <c r="EY22" i="29"/>
  <c r="EY24" i="29"/>
  <c r="D61" i="24"/>
  <c r="EE39" i="29" l="1"/>
  <c r="AN63" i="29"/>
  <c r="EY8" i="29"/>
  <c r="EY29" i="29" s="1"/>
  <c r="EF39" i="29"/>
  <c r="AA15" i="33"/>
  <c r="EF49" i="29"/>
  <c r="EF56" i="29" s="1"/>
  <c r="EF29" i="29"/>
  <c r="EF42" i="29"/>
  <c r="EE29" i="29"/>
  <c r="DX69" i="29" s="1"/>
  <c r="EX8" i="29"/>
  <c r="EX49" i="29" s="1"/>
  <c r="EW29" i="29"/>
  <c r="EE42" i="29"/>
  <c r="EE49" i="29"/>
  <c r="EE56" i="29" s="1"/>
  <c r="EW32" i="29"/>
  <c r="EW36" i="29" s="1"/>
  <c r="AI36" i="29"/>
  <c r="AJ36" i="29" s="1"/>
  <c r="AJ10" i="29"/>
  <c r="AJ25" i="29"/>
  <c r="AJ34" i="29"/>
  <c r="AH36" i="29"/>
  <c r="AJ50" i="29"/>
  <c r="AH56" i="29"/>
  <c r="AG29" i="29"/>
  <c r="AJ21" i="29"/>
  <c r="AJ23" i="29"/>
  <c r="AJ48" i="29"/>
  <c r="AJ18" i="29"/>
  <c r="AJ35" i="29"/>
  <c r="AJ19" i="29"/>
  <c r="AJ53" i="29"/>
  <c r="AJ14" i="29"/>
  <c r="AJ24" i="29"/>
  <c r="AJ54" i="29"/>
  <c r="AJ12" i="29"/>
  <c r="AJ27" i="29"/>
  <c r="AJ22" i="29"/>
  <c r="AJ51" i="29"/>
  <c r="AJ39" i="29"/>
  <c r="AJ9" i="29"/>
  <c r="AI45" i="29"/>
  <c r="AJ45" i="29" s="1"/>
  <c r="AJ32" i="29"/>
  <c r="AJ28" i="29"/>
  <c r="AJ16" i="29"/>
  <c r="AJ11" i="29"/>
  <c r="AJ7" i="29"/>
  <c r="AJ43" i="29"/>
  <c r="AJ41" i="29"/>
  <c r="AJ44" i="29"/>
  <c r="AJ6" i="29"/>
  <c r="AJ26" i="29"/>
  <c r="AJ20" i="29"/>
  <c r="AJ15" i="29"/>
  <c r="AJ17" i="29"/>
  <c r="AJ13" i="29"/>
  <c r="AJ52" i="29"/>
  <c r="AJ40" i="29"/>
  <c r="AJ33" i="29"/>
  <c r="AJ56" i="29"/>
  <c r="AJ8" i="29"/>
  <c r="AJ42" i="29"/>
  <c r="AJ55" i="29"/>
  <c r="Z21" i="27"/>
  <c r="AA8" i="27" s="1"/>
  <c r="AC14" i="27"/>
  <c r="AC21" i="27" s="1"/>
  <c r="AD8" i="27" s="1"/>
  <c r="Q21" i="21"/>
  <c r="EE36" i="29"/>
  <c r="AD15" i="13"/>
  <c r="AA18" i="13"/>
  <c r="AD18" i="16"/>
  <c r="AD8" i="13"/>
  <c r="EY48" i="29"/>
  <c r="AA14" i="33"/>
  <c r="AC18" i="33"/>
  <c r="AD8" i="33" s="1"/>
  <c r="F69" i="24"/>
  <c r="F70" i="24"/>
  <c r="AB14" i="27"/>
  <c r="AB21" i="27" s="1"/>
  <c r="S43" i="27" s="1"/>
  <c r="D98" i="24"/>
  <c r="E98" i="24"/>
  <c r="EY34" i="29"/>
  <c r="EY50" i="29"/>
  <c r="EX48" i="29"/>
  <c r="AB18" i="33"/>
  <c r="AD10" i="13"/>
  <c r="AD12" i="13"/>
  <c r="AD11" i="13"/>
  <c r="AD9" i="13"/>
  <c r="AD16" i="13"/>
  <c r="EX55" i="29"/>
  <c r="EF36" i="29"/>
  <c r="EY55" i="29"/>
  <c r="E71" i="24"/>
  <c r="E79" i="24" s="1"/>
  <c r="F71" i="24"/>
  <c r="D71" i="24"/>
  <c r="D79" i="24" s="1"/>
  <c r="F55" i="24"/>
  <c r="D33" i="20"/>
  <c r="H30" i="20"/>
  <c r="E41" i="20"/>
  <c r="H41" i="20"/>
  <c r="D7" i="20"/>
  <c r="F41" i="20"/>
  <c r="D41" i="20"/>
  <c r="G41" i="20"/>
  <c r="AD16" i="17"/>
  <c r="AD12" i="17"/>
  <c r="AD11" i="17"/>
  <c r="AD10" i="17"/>
  <c r="AD9" i="17"/>
  <c r="AD8" i="17"/>
  <c r="AD14" i="17"/>
  <c r="AA9" i="33"/>
  <c r="AA11" i="33"/>
  <c r="AA12" i="33"/>
  <c r="AA16" i="33"/>
  <c r="AA10" i="33"/>
  <c r="F24" i="24"/>
  <c r="F22" i="24"/>
  <c r="EW56" i="29"/>
  <c r="EY32" i="29" l="1"/>
  <c r="EY36" i="29" s="1"/>
  <c r="EY49" i="29"/>
  <c r="EY56" i="29" s="1"/>
  <c r="EX29" i="29"/>
  <c r="EX32" i="29"/>
  <c r="EX36" i="29" s="1"/>
  <c r="AW6" i="29"/>
  <c r="AX6" i="29" s="1"/>
  <c r="AZ6" i="29" s="1"/>
  <c r="AW7" i="29"/>
  <c r="AX7" i="29" s="1"/>
  <c r="AZ7" i="29" s="1"/>
  <c r="AW8" i="29"/>
  <c r="AX8" i="29" s="1"/>
  <c r="AW9" i="29"/>
  <c r="AX9" i="29" s="1"/>
  <c r="AX44" i="29" s="1"/>
  <c r="AW44" i="29" s="1"/>
  <c r="AW13" i="29"/>
  <c r="AW17" i="29"/>
  <c r="AX17" i="29" s="1"/>
  <c r="AZ17" i="29" s="1"/>
  <c r="AW21" i="29"/>
  <c r="AX21" i="29" s="1"/>
  <c r="AZ21" i="29" s="1"/>
  <c r="AW25" i="29"/>
  <c r="AX25" i="29" s="1"/>
  <c r="AZ25" i="29" s="1"/>
  <c r="AW12" i="29"/>
  <c r="AX12" i="29" s="1"/>
  <c r="AZ12" i="29" s="1"/>
  <c r="AW10" i="29"/>
  <c r="AX10" i="29" s="1"/>
  <c r="AZ10" i="29" s="1"/>
  <c r="AW14" i="29"/>
  <c r="AX14" i="29" s="1"/>
  <c r="AZ14" i="29" s="1"/>
  <c r="AW18" i="29"/>
  <c r="AX18" i="29" s="1"/>
  <c r="AZ18" i="29" s="1"/>
  <c r="AW22" i="29"/>
  <c r="AX22" i="29" s="1"/>
  <c r="AZ22" i="29" s="1"/>
  <c r="AW26" i="29"/>
  <c r="AX26" i="29" s="1"/>
  <c r="AZ26" i="29" s="1"/>
  <c r="AW16" i="29"/>
  <c r="AX16" i="29" s="1"/>
  <c r="AZ16" i="29" s="1"/>
  <c r="AW24" i="29"/>
  <c r="AX24" i="29" s="1"/>
  <c r="AZ24" i="29" s="1"/>
  <c r="AW11" i="29"/>
  <c r="AX11" i="29" s="1"/>
  <c r="AZ11" i="29" s="1"/>
  <c r="AW15" i="29"/>
  <c r="AX15" i="29" s="1"/>
  <c r="AZ15" i="29" s="1"/>
  <c r="AW19" i="29"/>
  <c r="AX19" i="29" s="1"/>
  <c r="AZ19" i="29" s="1"/>
  <c r="AW23" i="29"/>
  <c r="AX23" i="29" s="1"/>
  <c r="AZ23" i="29" s="1"/>
  <c r="AW27" i="29"/>
  <c r="AX27" i="29" s="1"/>
  <c r="AZ27" i="29" s="1"/>
  <c r="AW20" i="29"/>
  <c r="AX20" i="29" s="1"/>
  <c r="AZ20" i="29" s="1"/>
  <c r="AW28" i="29"/>
  <c r="AX28" i="29" s="1"/>
  <c r="AZ28" i="29" s="1"/>
  <c r="AN87" i="29"/>
  <c r="AX13" i="29"/>
  <c r="AZ13" i="29" s="1"/>
  <c r="AN86" i="29"/>
  <c r="AX41" i="29"/>
  <c r="AW41" i="29" s="1"/>
  <c r="AJ29" i="29"/>
  <c r="AA10" i="27"/>
  <c r="AA16" i="27"/>
  <c r="AA12" i="27"/>
  <c r="AA18" i="27"/>
  <c r="AA11" i="27"/>
  <c r="AA15" i="27"/>
  <c r="AA19" i="27"/>
  <c r="AA9" i="27"/>
  <c r="AA14" i="27"/>
  <c r="AD15" i="27"/>
  <c r="AD15" i="33"/>
  <c r="AD14" i="33"/>
  <c r="AA18" i="33"/>
  <c r="AD18" i="13"/>
  <c r="G47" i="20"/>
  <c r="G43" i="20"/>
  <c r="G48" i="20"/>
  <c r="D47" i="20"/>
  <c r="D43" i="20"/>
  <c r="D48" i="20"/>
  <c r="E47" i="20"/>
  <c r="E43" i="20"/>
  <c r="E48" i="20"/>
  <c r="F78" i="24"/>
  <c r="L118" i="24"/>
  <c r="AD18" i="27"/>
  <c r="AD11" i="27"/>
  <c r="AD12" i="27"/>
  <c r="AD9" i="27"/>
  <c r="AD16" i="27"/>
  <c r="AD19" i="27"/>
  <c r="AD10" i="27"/>
  <c r="F77" i="24"/>
  <c r="L111" i="24"/>
  <c r="F47" i="20"/>
  <c r="F48" i="20"/>
  <c r="F43" i="20"/>
  <c r="F79" i="24"/>
  <c r="L125" i="24"/>
  <c r="AD14" i="27"/>
  <c r="F21" i="24"/>
  <c r="G18" i="24"/>
  <c r="F35" i="24"/>
  <c r="F37" i="24"/>
  <c r="F25" i="24"/>
  <c r="F42" i="20"/>
  <c r="G42" i="20"/>
  <c r="H42" i="20"/>
  <c r="E42" i="20"/>
  <c r="D42" i="20"/>
  <c r="AD18" i="17"/>
  <c r="H47" i="20"/>
  <c r="H43" i="20"/>
  <c r="H48" i="20"/>
  <c r="E50" i="20"/>
  <c r="H50" i="20"/>
  <c r="H49" i="20"/>
  <c r="D49" i="20"/>
  <c r="F50" i="20"/>
  <c r="D50" i="20"/>
  <c r="G49" i="20"/>
  <c r="H33" i="20"/>
  <c r="E49" i="20"/>
  <c r="G50" i="20"/>
  <c r="F49" i="20"/>
  <c r="F56" i="24"/>
  <c r="F57" i="24"/>
  <c r="EX56" i="29"/>
  <c r="AD16" i="33"/>
  <c r="AD12" i="33"/>
  <c r="AD10" i="33"/>
  <c r="AD11" i="33"/>
  <c r="AD9" i="33"/>
  <c r="P125" i="24"/>
  <c r="P118" i="24"/>
  <c r="P111" i="24"/>
  <c r="BB18" i="29" l="1"/>
  <c r="BE18" i="29" s="1"/>
  <c r="BB19" i="29"/>
  <c r="BE19" i="29" s="1"/>
  <c r="BB16" i="29"/>
  <c r="BE16" i="29" s="1"/>
  <c r="BB14" i="29"/>
  <c r="BE14" i="29" s="1"/>
  <c r="BB21" i="29"/>
  <c r="BE21" i="29" s="1"/>
  <c r="BB20" i="29"/>
  <c r="BE20" i="29" s="1"/>
  <c r="BB15" i="29"/>
  <c r="BE15" i="29" s="1"/>
  <c r="BB26" i="29"/>
  <c r="BE26" i="29" s="1"/>
  <c r="BB17" i="29"/>
  <c r="BE17" i="29" s="1"/>
  <c r="BB7" i="29"/>
  <c r="BE7" i="29" s="1"/>
  <c r="BB23" i="29"/>
  <c r="BE23" i="29" s="1"/>
  <c r="BB24" i="29"/>
  <c r="BE24" i="29" s="1"/>
  <c r="BB25" i="29"/>
  <c r="BE25" i="29" s="1"/>
  <c r="BB13" i="29"/>
  <c r="BE13" i="29" s="1"/>
  <c r="BB11" i="29"/>
  <c r="BE11" i="29" s="1"/>
  <c r="BB22" i="29"/>
  <c r="BE22" i="29" s="1"/>
  <c r="BB12" i="29"/>
  <c r="BE12" i="29" s="1"/>
  <c r="AX42" i="29"/>
  <c r="AW42" i="29" s="1"/>
  <c r="AY28" i="29"/>
  <c r="AY34" i="29" s="1"/>
  <c r="AN70" i="29"/>
  <c r="AN76" i="29" s="1"/>
  <c r="BD21" i="29"/>
  <c r="AN100" i="29"/>
  <c r="BD17" i="29"/>
  <c r="BD18" i="29"/>
  <c r="AX49" i="29"/>
  <c r="AW49" i="29" s="1"/>
  <c r="AX50" i="29"/>
  <c r="AW50" i="29" s="1"/>
  <c r="AZ9" i="29"/>
  <c r="BD25" i="29"/>
  <c r="AX48" i="29"/>
  <c r="AW48" i="29" s="1"/>
  <c r="AX34" i="29"/>
  <c r="AW34" i="29" s="1"/>
  <c r="AX39" i="29"/>
  <c r="AW39" i="29" s="1"/>
  <c r="AX29" i="29"/>
  <c r="AN99" i="29" s="1"/>
  <c r="H21" i="30" s="1"/>
  <c r="AX55" i="29"/>
  <c r="AW55" i="29" s="1"/>
  <c r="AX32" i="29"/>
  <c r="AZ8" i="29"/>
  <c r="AA21" i="27"/>
  <c r="AD21" i="27"/>
  <c r="AD18" i="33"/>
  <c r="F85" i="24"/>
  <c r="F87" i="24"/>
  <c r="F86" i="24"/>
  <c r="AZ34" i="29"/>
  <c r="BB27" i="29"/>
  <c r="BE27" i="29" s="1"/>
  <c r="D54" i="20"/>
  <c r="D92" i="20" s="1"/>
  <c r="D52" i="20"/>
  <c r="F60" i="24"/>
  <c r="F59" i="24"/>
  <c r="F52" i="20"/>
  <c r="F54" i="20"/>
  <c r="F92" i="20" s="1"/>
  <c r="E54" i="20"/>
  <c r="E92" i="20" s="1"/>
  <c r="E52" i="20"/>
  <c r="BB10" i="29"/>
  <c r="BE10" i="29" s="1"/>
  <c r="AZ55" i="29"/>
  <c r="H52" i="20"/>
  <c r="H54" i="20"/>
  <c r="H92" i="20" s="1"/>
  <c r="G23" i="24"/>
  <c r="BB6" i="29"/>
  <c r="BE6" i="29" s="1"/>
  <c r="AZ48" i="29"/>
  <c r="G52" i="20"/>
  <c r="G54" i="20"/>
  <c r="G92" i="20" s="1"/>
  <c r="BD7" i="29" l="1"/>
  <c r="BD16" i="29"/>
  <c r="BD15" i="29"/>
  <c r="BD11" i="29"/>
  <c r="BD23" i="29"/>
  <c r="BD13" i="29"/>
  <c r="BD20" i="29"/>
  <c r="BD19" i="29"/>
  <c r="BD12" i="29"/>
  <c r="BD14" i="29"/>
  <c r="BD22" i="29"/>
  <c r="BD26" i="29"/>
  <c r="BD24" i="29"/>
  <c r="AY36" i="29"/>
  <c r="BB8" i="29"/>
  <c r="BE8" i="29" s="1"/>
  <c r="BA28" i="29"/>
  <c r="BA55" i="29" s="1"/>
  <c r="BA56" i="29" s="1"/>
  <c r="AZ44" i="29"/>
  <c r="AY39" i="29"/>
  <c r="AY29" i="29"/>
  <c r="AY55" i="29"/>
  <c r="AZ41" i="29"/>
  <c r="AZ39" i="29"/>
  <c r="AZ50" i="29"/>
  <c r="BB9" i="29"/>
  <c r="AX36" i="29"/>
  <c r="AW36" i="29" s="1"/>
  <c r="AZ29" i="29"/>
  <c r="AW32" i="29"/>
  <c r="AX56" i="29"/>
  <c r="AW56" i="29" s="1"/>
  <c r="AZ32" i="29"/>
  <c r="AZ49" i="29"/>
  <c r="AW29" i="29"/>
  <c r="AN77" i="29" s="1"/>
  <c r="H30" i="30" s="1"/>
  <c r="H31" i="30" s="1"/>
  <c r="H34" i="30" s="1"/>
  <c r="I102" i="30" s="1"/>
  <c r="AZ42" i="29"/>
  <c r="BB41" i="29"/>
  <c r="BB42" i="29"/>
  <c r="F61" i="24"/>
  <c r="F98" i="24" s="1"/>
  <c r="D53" i="20"/>
  <c r="D59" i="20"/>
  <c r="G59" i="20"/>
  <c r="G53" i="20"/>
  <c r="E59" i="20"/>
  <c r="E53" i="20"/>
  <c r="F97" i="24"/>
  <c r="BD6" i="29"/>
  <c r="BB48" i="29"/>
  <c r="BE44" i="29"/>
  <c r="H27" i="30"/>
  <c r="L21" i="30"/>
  <c r="BD27" i="29"/>
  <c r="G36" i="24"/>
  <c r="G19" i="24"/>
  <c r="G54" i="24"/>
  <c r="H59" i="20"/>
  <c r="H53" i="20"/>
  <c r="BD10" i="29"/>
  <c r="F59" i="20"/>
  <c r="F53" i="20"/>
  <c r="F96" i="24"/>
  <c r="BB32" i="29" l="1"/>
  <c r="BB49" i="29"/>
  <c r="BD8" i="29"/>
  <c r="BA39" i="29"/>
  <c r="BU27" i="29"/>
  <c r="I22" i="28" s="1"/>
  <c r="BA34" i="29"/>
  <c r="BA36" i="29" s="1"/>
  <c r="BA29" i="29"/>
  <c r="BB28" i="29"/>
  <c r="BE28" i="29" s="1"/>
  <c r="BD42" i="29"/>
  <c r="AZ36" i="29"/>
  <c r="AY56" i="29"/>
  <c r="D102" i="30"/>
  <c r="H102" i="30"/>
  <c r="AZ56" i="29"/>
  <c r="BD9" i="29"/>
  <c r="BE9" i="29"/>
  <c r="BE32" i="29" s="1"/>
  <c r="BB50" i="29"/>
  <c r="BB44" i="29"/>
  <c r="L102" i="30"/>
  <c r="J102" i="30"/>
  <c r="F102" i="30"/>
  <c r="K102" i="30"/>
  <c r="E102" i="30"/>
  <c r="G102" i="30"/>
  <c r="BE41" i="29"/>
  <c r="BE42" i="29"/>
  <c r="BD44" i="29"/>
  <c r="BD49" i="29"/>
  <c r="BD41" i="29"/>
  <c r="H60" i="20"/>
  <c r="H61" i="20" s="1"/>
  <c r="G24" i="24"/>
  <c r="G22" i="24"/>
  <c r="BE48" i="29"/>
  <c r="G69" i="24"/>
  <c r="G70" i="24"/>
  <c r="G71" i="24"/>
  <c r="J104" i="30"/>
  <c r="F104" i="30"/>
  <c r="K104" i="30"/>
  <c r="G104" i="30"/>
  <c r="H104" i="30"/>
  <c r="D104" i="30"/>
  <c r="I104" i="30"/>
  <c r="E104" i="30"/>
  <c r="L104" i="30"/>
  <c r="BD48" i="29"/>
  <c r="BE49" i="29"/>
  <c r="G60" i="20"/>
  <c r="G61" i="20" s="1"/>
  <c r="BW27" i="29"/>
  <c r="F60" i="20"/>
  <c r="F61" i="20"/>
  <c r="D72" i="24"/>
  <c r="D80" i="24" s="1"/>
  <c r="E72" i="24"/>
  <c r="E80" i="24" s="1"/>
  <c r="F72" i="24"/>
  <c r="F80" i="24" s="1"/>
  <c r="G72" i="24"/>
  <c r="G55" i="24"/>
  <c r="E60" i="20"/>
  <c r="E61" i="20" s="1"/>
  <c r="D60" i="20"/>
  <c r="BD28" i="29" l="1"/>
  <c r="BD34" i="29" s="1"/>
  <c r="BB39" i="29"/>
  <c r="AN102" i="29"/>
  <c r="BB34" i="29"/>
  <c r="BB36" i="29" s="1"/>
  <c r="BB29" i="29"/>
  <c r="BC42" i="29" s="1"/>
  <c r="BB55" i="29"/>
  <c r="BB56" i="29" s="1"/>
  <c r="BD50" i="29"/>
  <c r="BE39" i="29"/>
  <c r="BD32" i="29"/>
  <c r="BE50" i="29"/>
  <c r="E93" i="20"/>
  <c r="E95" i="20" s="1"/>
  <c r="E65" i="20"/>
  <c r="G78" i="24"/>
  <c r="M119" i="24"/>
  <c r="F93" i="20"/>
  <c r="F95" i="20" s="1"/>
  <c r="F65" i="20"/>
  <c r="D61" i="20"/>
  <c r="BE34" i="29"/>
  <c r="G77" i="24"/>
  <c r="M112" i="24"/>
  <c r="G25" i="24"/>
  <c r="G37" i="24"/>
  <c r="G57" i="24"/>
  <c r="G56" i="24"/>
  <c r="G93" i="20"/>
  <c r="G95" i="20" s="1"/>
  <c r="G65" i="20"/>
  <c r="H93" i="20"/>
  <c r="H95" i="20" s="1"/>
  <c r="H65" i="20"/>
  <c r="H18" i="24"/>
  <c r="G35" i="24"/>
  <c r="G21" i="24"/>
  <c r="G80" i="24"/>
  <c r="M133" i="24"/>
  <c r="G79" i="24"/>
  <c r="M126" i="24"/>
  <c r="BE55" i="29"/>
  <c r="BE29" i="29"/>
  <c r="P133" i="24"/>
  <c r="P119" i="24"/>
  <c r="P112" i="24"/>
  <c r="P126" i="24"/>
  <c r="BD39" i="29" l="1"/>
  <c r="BD29" i="29"/>
  <c r="BD55" i="29"/>
  <c r="BC40" i="29"/>
  <c r="BC13" i="29"/>
  <c r="BC39" i="29"/>
  <c r="BC18" i="29"/>
  <c r="BC10" i="29"/>
  <c r="BC54" i="29"/>
  <c r="BC49" i="29"/>
  <c r="BC22" i="29"/>
  <c r="BC32" i="29"/>
  <c r="BC19" i="29"/>
  <c r="BC36" i="29"/>
  <c r="BC45" i="29"/>
  <c r="BC11" i="29"/>
  <c r="BJ62" i="29"/>
  <c r="BJ63" i="29" s="1"/>
  <c r="BS11" i="29" s="1"/>
  <c r="BT11" i="29" s="1"/>
  <c r="BV11" i="29" s="1"/>
  <c r="BC26" i="29"/>
  <c r="BC41" i="29"/>
  <c r="BC43" i="29"/>
  <c r="BC17" i="29"/>
  <c r="BC9" i="29"/>
  <c r="BC35" i="29"/>
  <c r="AN101" i="29"/>
  <c r="AN103" i="29" s="1"/>
  <c r="BC12" i="29"/>
  <c r="BC52" i="29"/>
  <c r="BC15" i="29"/>
  <c r="BC51" i="29"/>
  <c r="BC14" i="29"/>
  <c r="BC48" i="29"/>
  <c r="BC53" i="29"/>
  <c r="BC24" i="29"/>
  <c r="BC28" i="29"/>
  <c r="BC16" i="29"/>
  <c r="BC23" i="29"/>
  <c r="BC33" i="29"/>
  <c r="BC56" i="29"/>
  <c r="BC44" i="29"/>
  <c r="BC7" i="29"/>
  <c r="AN89" i="29"/>
  <c r="BC21" i="29"/>
  <c r="BC6" i="29"/>
  <c r="BC50" i="29"/>
  <c r="BC20" i="29"/>
  <c r="BC25" i="29"/>
  <c r="BC34" i="29"/>
  <c r="BC8" i="29"/>
  <c r="BC27" i="29"/>
  <c r="BC55" i="29"/>
  <c r="BD36" i="29"/>
  <c r="BD56" i="29"/>
  <c r="BF50" i="29"/>
  <c r="BF42" i="29"/>
  <c r="BF39" i="29"/>
  <c r="BF34" i="29"/>
  <c r="BF55" i="29"/>
  <c r="G87" i="24"/>
  <c r="G88" i="24"/>
  <c r="G85" i="24"/>
  <c r="G86" i="24"/>
  <c r="H23" i="24"/>
  <c r="G60" i="24"/>
  <c r="G59" i="24"/>
  <c r="G72" i="20"/>
  <c r="G66" i="20"/>
  <c r="BF32" i="29"/>
  <c r="BF28" i="29"/>
  <c r="BE56" i="29"/>
  <c r="BF56" i="29" s="1"/>
  <c r="BF48" i="29"/>
  <c r="BF49" i="29"/>
  <c r="D93" i="20"/>
  <c r="D95" i="20" s="1"/>
  <c r="D65" i="20"/>
  <c r="E66" i="20"/>
  <c r="E72" i="20"/>
  <c r="BE36" i="29"/>
  <c r="BF36" i="29" s="1"/>
  <c r="BF35" i="29"/>
  <c r="BF41" i="29"/>
  <c r="BF52" i="29"/>
  <c r="BF54" i="29"/>
  <c r="BF43" i="29"/>
  <c r="BF33" i="29"/>
  <c r="BF51" i="29"/>
  <c r="BF45" i="29"/>
  <c r="BF44" i="29"/>
  <c r="BF53" i="29"/>
  <c r="BF40" i="29"/>
  <c r="BF15" i="29"/>
  <c r="BF13" i="29"/>
  <c r="BF11" i="29"/>
  <c r="BF26" i="29"/>
  <c r="BF20" i="29"/>
  <c r="BF17" i="29"/>
  <c r="BF16" i="29"/>
  <c r="BF12" i="29"/>
  <c r="BF14" i="29"/>
  <c r="BF22" i="29"/>
  <c r="BF7" i="29"/>
  <c r="BF21" i="29"/>
  <c r="BF19" i="29"/>
  <c r="BF18" i="29"/>
  <c r="BF24" i="29"/>
  <c r="BF23" i="29"/>
  <c r="BF25" i="29"/>
  <c r="BF27" i="29"/>
  <c r="BF9" i="29"/>
  <c r="BF6" i="29"/>
  <c r="BF8" i="29"/>
  <c r="BF10" i="29"/>
  <c r="H66" i="20"/>
  <c r="H72" i="20"/>
  <c r="F66" i="20"/>
  <c r="F72" i="20"/>
  <c r="BS22" i="29" l="1"/>
  <c r="BT22" i="29" s="1"/>
  <c r="BV22" i="29" s="1"/>
  <c r="BX22" i="29" s="1"/>
  <c r="BS23" i="29"/>
  <c r="BT23" i="29" s="1"/>
  <c r="BV23" i="29" s="1"/>
  <c r="BX23" i="29" s="1"/>
  <c r="CA23" i="29" s="1"/>
  <c r="BS25" i="29"/>
  <c r="BT25" i="29" s="1"/>
  <c r="BV25" i="29" s="1"/>
  <c r="BS7" i="29"/>
  <c r="BT7" i="29" s="1"/>
  <c r="BV7" i="29" s="1"/>
  <c r="BX7" i="29" s="1"/>
  <c r="BS9" i="29"/>
  <c r="BT9" i="29" s="1"/>
  <c r="BT44" i="29" s="1"/>
  <c r="BS44" i="29" s="1"/>
  <c r="BJ86" i="29"/>
  <c r="BS16" i="29"/>
  <c r="BT16" i="29" s="1"/>
  <c r="BV16" i="29" s="1"/>
  <c r="BX16" i="29" s="1"/>
  <c r="BC29" i="29"/>
  <c r="BJ87" i="29"/>
  <c r="BS18" i="29"/>
  <c r="BT18" i="29" s="1"/>
  <c r="BV18" i="29" s="1"/>
  <c r="BX18" i="29" s="1"/>
  <c r="BS21" i="29"/>
  <c r="BT21" i="29" s="1"/>
  <c r="BV21" i="29" s="1"/>
  <c r="BX21" i="29" s="1"/>
  <c r="CA21" i="29" s="1"/>
  <c r="BS28" i="29"/>
  <c r="BT28" i="29" s="1"/>
  <c r="BV28" i="29" s="1"/>
  <c r="J23" i="28" s="1"/>
  <c r="BS12" i="29"/>
  <c r="BT12" i="29" s="1"/>
  <c r="BV12" i="29" s="1"/>
  <c r="BX12" i="29" s="1"/>
  <c r="CA12" i="29" s="1"/>
  <c r="BS19" i="29"/>
  <c r="BT19" i="29" s="1"/>
  <c r="BV19" i="29" s="1"/>
  <c r="BX19" i="29" s="1"/>
  <c r="BS6" i="29"/>
  <c r="BT6" i="29" s="1"/>
  <c r="BV6" i="29" s="1"/>
  <c r="BS14" i="29"/>
  <c r="BT14" i="29" s="1"/>
  <c r="BV14" i="29" s="1"/>
  <c r="BX14" i="29" s="1"/>
  <c r="BS17" i="29"/>
  <c r="BT17" i="29" s="1"/>
  <c r="BV17" i="29" s="1"/>
  <c r="BX17" i="29" s="1"/>
  <c r="CA17" i="29" s="1"/>
  <c r="BS24" i="29"/>
  <c r="BT24" i="29" s="1"/>
  <c r="BV24" i="29" s="1"/>
  <c r="BX24" i="29" s="1"/>
  <c r="CA24" i="29" s="1"/>
  <c r="BS8" i="29"/>
  <c r="BT8" i="29" s="1"/>
  <c r="BV8" i="29" s="1"/>
  <c r="J14" i="28" s="1"/>
  <c r="BS15" i="29"/>
  <c r="BT15" i="29" s="1"/>
  <c r="BV15" i="29" s="1"/>
  <c r="BX15" i="29" s="1"/>
  <c r="BS26" i="29"/>
  <c r="BT26" i="29" s="1"/>
  <c r="BV26" i="29" s="1"/>
  <c r="BX26" i="29" s="1"/>
  <c r="CA26" i="29" s="1"/>
  <c r="BS10" i="29"/>
  <c r="BT10" i="29" s="1"/>
  <c r="BV10" i="29" s="1"/>
  <c r="BS13" i="29"/>
  <c r="BT13" i="29" s="1"/>
  <c r="BV13" i="29" s="1"/>
  <c r="BX13" i="29" s="1"/>
  <c r="BS20" i="29"/>
  <c r="BT20" i="29" s="1"/>
  <c r="BV20" i="29" s="1"/>
  <c r="BX20" i="29" s="1"/>
  <c r="CA20" i="29" s="1"/>
  <c r="BS27" i="29"/>
  <c r="BT27" i="29" s="1"/>
  <c r="BV27" i="29" s="1"/>
  <c r="J22" i="28" s="1"/>
  <c r="BX11" i="29"/>
  <c r="CA11" i="29" s="1"/>
  <c r="BX25" i="29"/>
  <c r="CA25" i="29" s="1"/>
  <c r="J13" i="28"/>
  <c r="BT41" i="29"/>
  <c r="BS41" i="29" s="1"/>
  <c r="BT42" i="29"/>
  <c r="BS42" i="29" s="1"/>
  <c r="G96" i="24"/>
  <c r="E76" i="20"/>
  <c r="E77" i="20" s="1"/>
  <c r="E73" i="20"/>
  <c r="G97" i="24"/>
  <c r="G61" i="24"/>
  <c r="F78" i="20"/>
  <c r="F74" i="20"/>
  <c r="D66" i="20"/>
  <c r="D72" i="20"/>
  <c r="G76" i="20"/>
  <c r="G77" i="20" s="1"/>
  <c r="G73" i="20"/>
  <c r="H36" i="24"/>
  <c r="H19" i="24"/>
  <c r="H54" i="24"/>
  <c r="H76" i="20"/>
  <c r="H77" i="20" s="1"/>
  <c r="H73" i="20"/>
  <c r="E78" i="20"/>
  <c r="E80" i="20" s="1"/>
  <c r="E74" i="20"/>
  <c r="F76" i="20"/>
  <c r="F77" i="20" s="1"/>
  <c r="F73" i="20"/>
  <c r="H74" i="20"/>
  <c r="H78" i="20"/>
  <c r="BF29" i="29"/>
  <c r="G78" i="20"/>
  <c r="G80" i="20" s="1"/>
  <c r="G74" i="20"/>
  <c r="CA16" i="29" l="1"/>
  <c r="BZ16" i="29"/>
  <c r="BT49" i="29"/>
  <c r="BS49" i="29" s="1"/>
  <c r="BT48" i="29"/>
  <c r="BS48" i="29" s="1"/>
  <c r="CA22" i="29"/>
  <c r="BZ22" i="29"/>
  <c r="CA7" i="29"/>
  <c r="BZ7" i="29"/>
  <c r="K13" i="28" s="1"/>
  <c r="CA19" i="29"/>
  <c r="BZ19" i="29"/>
  <c r="CA18" i="29"/>
  <c r="BZ18" i="29"/>
  <c r="BZ11" i="29"/>
  <c r="BU28" i="29"/>
  <c r="FQ29" i="29" s="1"/>
  <c r="BT50" i="29"/>
  <c r="BS50" i="29" s="1"/>
  <c r="BV9" i="29"/>
  <c r="BV50" i="29" s="1"/>
  <c r="BT55" i="29"/>
  <c r="BS55" i="29" s="1"/>
  <c r="BJ100" i="29"/>
  <c r="BJ70" i="29"/>
  <c r="BJ76" i="29" s="1"/>
  <c r="BT32" i="29"/>
  <c r="CA14" i="29"/>
  <c r="BZ14" i="29"/>
  <c r="CA15" i="29"/>
  <c r="BZ15" i="29"/>
  <c r="CA13" i="29"/>
  <c r="BZ13" i="29"/>
  <c r="BT39" i="29"/>
  <c r="BS39" i="29" s="1"/>
  <c r="BT29" i="29"/>
  <c r="BJ99" i="29" s="1"/>
  <c r="G20" i="30" s="1"/>
  <c r="BT34" i="29"/>
  <c r="BS34" i="29" s="1"/>
  <c r="BZ24" i="29"/>
  <c r="BZ17" i="29"/>
  <c r="BZ26" i="29"/>
  <c r="BZ20" i="29"/>
  <c r="BZ12" i="29"/>
  <c r="BV44" i="29"/>
  <c r="BZ21" i="29"/>
  <c r="I23" i="28"/>
  <c r="I25" i="28" s="1"/>
  <c r="BZ23" i="29"/>
  <c r="BZ25" i="29"/>
  <c r="J12" i="28"/>
  <c r="BV41" i="29"/>
  <c r="BV42" i="29"/>
  <c r="D74" i="20"/>
  <c r="D78" i="20"/>
  <c r="G98" i="24"/>
  <c r="H80" i="20"/>
  <c r="E79" i="20"/>
  <c r="E55" i="20"/>
  <c r="H73" i="24"/>
  <c r="F73" i="24"/>
  <c r="F81" i="24" s="1"/>
  <c r="D73" i="24"/>
  <c r="D81" i="24" s="1"/>
  <c r="E73" i="24"/>
  <c r="E81" i="24" s="1"/>
  <c r="G73" i="24"/>
  <c r="G81" i="24" s="1"/>
  <c r="H55" i="24"/>
  <c r="D76" i="20"/>
  <c r="D77" i="20" s="1"/>
  <c r="D73" i="20"/>
  <c r="BX6" i="29"/>
  <c r="CA6" i="29" s="1"/>
  <c r="BV48" i="29"/>
  <c r="G79" i="20"/>
  <c r="G55" i="20"/>
  <c r="BX10" i="29"/>
  <c r="CA10" i="29" s="1"/>
  <c r="BV55" i="29"/>
  <c r="H24" i="24"/>
  <c r="H22" i="24"/>
  <c r="G68" i="20"/>
  <c r="E68" i="20"/>
  <c r="BV34" i="29"/>
  <c r="J30" i="28" s="1"/>
  <c r="BX27" i="29"/>
  <c r="CA27" i="29" s="1"/>
  <c r="H69" i="24"/>
  <c r="H70" i="24"/>
  <c r="H71" i="24"/>
  <c r="H72" i="24"/>
  <c r="F80" i="20"/>
  <c r="BX8" i="29"/>
  <c r="CA8" i="29" s="1"/>
  <c r="BV49" i="29"/>
  <c r="BV32" i="29" l="1"/>
  <c r="BU55" i="29"/>
  <c r="BU56" i="29" s="1"/>
  <c r="BX9" i="29"/>
  <c r="BX32" i="29" s="1"/>
  <c r="BT56" i="29"/>
  <c r="BS56" i="29" s="1"/>
  <c r="BU39" i="29"/>
  <c r="BU29" i="29"/>
  <c r="BU34" i="29"/>
  <c r="BU36" i="29" s="1"/>
  <c r="BW28" i="29"/>
  <c r="BX28" i="29" s="1"/>
  <c r="CA28" i="29" s="1"/>
  <c r="BT36" i="29"/>
  <c r="BS36" i="29" s="1"/>
  <c r="BV29" i="29"/>
  <c r="BS29" i="29"/>
  <c r="BJ77" i="29" s="1"/>
  <c r="G30" i="30" s="1"/>
  <c r="G31" i="30" s="1"/>
  <c r="G34" i="30" s="1"/>
  <c r="H89" i="30" s="1"/>
  <c r="BS32" i="29"/>
  <c r="BV39" i="29"/>
  <c r="J19" i="28"/>
  <c r="J15" i="28"/>
  <c r="J18" i="28"/>
  <c r="J17" i="28"/>
  <c r="J16" i="28"/>
  <c r="J28" i="28"/>
  <c r="FR36" i="29"/>
  <c r="J32" i="28" s="1"/>
  <c r="FR29" i="29"/>
  <c r="BX44" i="29"/>
  <c r="BX41" i="29"/>
  <c r="BX42" i="29"/>
  <c r="G82" i="20"/>
  <c r="G83" i="20" s="1"/>
  <c r="G88" i="20"/>
  <c r="F79" i="20"/>
  <c r="F55" i="20"/>
  <c r="F68" i="20"/>
  <c r="BZ10" i="29"/>
  <c r="BZ6" i="29"/>
  <c r="K12" i="28" s="1"/>
  <c r="BX48" i="29"/>
  <c r="CA44" i="29"/>
  <c r="H81" i="24"/>
  <c r="N141" i="24"/>
  <c r="H79" i="20"/>
  <c r="H55" i="20"/>
  <c r="H68" i="20"/>
  <c r="H25" i="24"/>
  <c r="H37" i="24"/>
  <c r="G27" i="30"/>
  <c r="L20" i="30"/>
  <c r="H57" i="24"/>
  <c r="H56" i="24"/>
  <c r="E88" i="20"/>
  <c r="E82" i="20"/>
  <c r="E83" i="20" s="1"/>
  <c r="BZ8" i="29"/>
  <c r="BX49" i="29"/>
  <c r="H78" i="24"/>
  <c r="N120" i="24"/>
  <c r="BZ27" i="29"/>
  <c r="K22" i="28" s="1"/>
  <c r="E69" i="20"/>
  <c r="E87" i="20"/>
  <c r="H77" i="24"/>
  <c r="N113" i="24"/>
  <c r="G69" i="20"/>
  <c r="G87" i="20"/>
  <c r="BV56" i="29"/>
  <c r="D80" i="20"/>
  <c r="H79" i="24"/>
  <c r="N127" i="24"/>
  <c r="H80" i="24"/>
  <c r="N134" i="24"/>
  <c r="H35" i="24"/>
  <c r="I18" i="24"/>
  <c r="H21" i="24"/>
  <c r="G56" i="20"/>
  <c r="G86" i="20"/>
  <c r="BV36" i="29"/>
  <c r="E56" i="20"/>
  <c r="E86" i="20"/>
  <c r="P134" i="24"/>
  <c r="P113" i="24"/>
  <c r="P141" i="24"/>
  <c r="P120" i="24"/>
  <c r="P127" i="24"/>
  <c r="D89" i="30" l="1"/>
  <c r="BZ9" i="29"/>
  <c r="BZ50" i="29" s="1"/>
  <c r="CA9" i="29"/>
  <c r="CA32" i="29" s="1"/>
  <c r="BX50" i="29"/>
  <c r="BW55" i="29"/>
  <c r="BW56" i="29" s="1"/>
  <c r="BW29" i="29"/>
  <c r="CQ27" i="29"/>
  <c r="BW34" i="29"/>
  <c r="BW36" i="29" s="1"/>
  <c r="BW39" i="29"/>
  <c r="J89" i="30"/>
  <c r="F89" i="30"/>
  <c r="G89" i="30"/>
  <c r="L89" i="30"/>
  <c r="I89" i="30"/>
  <c r="E89" i="30"/>
  <c r="K89" i="30"/>
  <c r="J20" i="28"/>
  <c r="J25" i="28" s="1"/>
  <c r="I30" i="28"/>
  <c r="FQ36" i="29"/>
  <c r="I32" i="28" s="1"/>
  <c r="BZ42" i="29"/>
  <c r="K14" i="28"/>
  <c r="K16" i="28"/>
  <c r="K19" i="28"/>
  <c r="K15" i="28"/>
  <c r="K18" i="28"/>
  <c r="K17" i="28"/>
  <c r="CA41" i="29"/>
  <c r="CA42" i="29"/>
  <c r="BZ44" i="29"/>
  <c r="BZ49" i="29"/>
  <c r="BZ41" i="29"/>
  <c r="G89" i="20"/>
  <c r="H88" i="24"/>
  <c r="H86" i="24"/>
  <c r="H89" i="24"/>
  <c r="H85" i="24"/>
  <c r="H87" i="24"/>
  <c r="BZ28" i="29"/>
  <c r="CA55" i="29"/>
  <c r="BJ102" i="29"/>
  <c r="BX34" i="29"/>
  <c r="BX36" i="29" s="1"/>
  <c r="H82" i="20"/>
  <c r="H83" i="20" s="1"/>
  <c r="H88" i="20"/>
  <c r="CA50" i="29"/>
  <c r="CA48" i="29"/>
  <c r="F88" i="20"/>
  <c r="F82" i="20"/>
  <c r="F83" i="20" s="1"/>
  <c r="BX39" i="29"/>
  <c r="F56" i="20"/>
  <c r="F86" i="20"/>
  <c r="H59" i="24"/>
  <c r="H60" i="24"/>
  <c r="BX29" i="29"/>
  <c r="CA49" i="29"/>
  <c r="I91" i="30"/>
  <c r="E91" i="30"/>
  <c r="J91" i="30"/>
  <c r="F91" i="30"/>
  <c r="L91" i="30"/>
  <c r="G91" i="30"/>
  <c r="D91" i="30"/>
  <c r="H91" i="30"/>
  <c r="K91" i="30"/>
  <c r="H56" i="20"/>
  <c r="H86" i="20"/>
  <c r="CS27" i="29"/>
  <c r="D79" i="20"/>
  <c r="D55" i="20"/>
  <c r="D68" i="20"/>
  <c r="E89" i="20"/>
  <c r="E100" i="20"/>
  <c r="E104" i="20"/>
  <c r="E117" i="20" s="1"/>
  <c r="E101" i="20"/>
  <c r="E114" i="20" s="1"/>
  <c r="E105" i="20"/>
  <c r="E118" i="20" s="1"/>
  <c r="E102" i="20"/>
  <c r="E115" i="20" s="1"/>
  <c r="E106" i="20"/>
  <c r="E119" i="20" s="1"/>
  <c r="E107" i="20"/>
  <c r="E120" i="20" s="1"/>
  <c r="E103" i="20"/>
  <c r="E116" i="20" s="1"/>
  <c r="G102" i="20"/>
  <c r="G115" i="20" s="1"/>
  <c r="G106" i="20"/>
  <c r="G119" i="20" s="1"/>
  <c r="G103" i="20"/>
  <c r="G116" i="20" s="1"/>
  <c r="G107" i="20"/>
  <c r="G120" i="20" s="1"/>
  <c r="G100" i="20"/>
  <c r="G104" i="20"/>
  <c r="G117" i="20" s="1"/>
  <c r="G101" i="20"/>
  <c r="G114" i="20" s="1"/>
  <c r="G105" i="20"/>
  <c r="G118" i="20" s="1"/>
  <c r="I23" i="24"/>
  <c r="H69" i="20"/>
  <c r="H87" i="20"/>
  <c r="BZ48" i="29"/>
  <c r="BX55" i="29"/>
  <c r="F69" i="20"/>
  <c r="F87" i="20"/>
  <c r="BZ32" i="29" l="1"/>
  <c r="K28" i="28"/>
  <c r="BZ55" i="29"/>
  <c r="BY50" i="29"/>
  <c r="BY42" i="29"/>
  <c r="BY49" i="29"/>
  <c r="BZ34" i="29"/>
  <c r="BZ39" i="29"/>
  <c r="BZ29" i="29"/>
  <c r="BY48" i="29"/>
  <c r="BY39" i="29"/>
  <c r="BY55" i="29"/>
  <c r="BY32" i="29"/>
  <c r="H61" i="24"/>
  <c r="H98" i="24" s="1"/>
  <c r="G108" i="20"/>
  <c r="G121" i="20" s="1"/>
  <c r="G113" i="20"/>
  <c r="E108" i="20"/>
  <c r="E121" i="20" s="1"/>
  <c r="E113" i="20"/>
  <c r="D82" i="20"/>
  <c r="D83" i="20" s="1"/>
  <c r="D11" i="20" s="1"/>
  <c r="D88" i="20"/>
  <c r="H101" i="20"/>
  <c r="H114" i="20" s="1"/>
  <c r="H105" i="20"/>
  <c r="H118" i="20" s="1"/>
  <c r="H102" i="20"/>
  <c r="H115" i="20" s="1"/>
  <c r="H106" i="20"/>
  <c r="H119" i="20" s="1"/>
  <c r="H103" i="20"/>
  <c r="H116" i="20" s="1"/>
  <c r="H107" i="20"/>
  <c r="H120" i="20" s="1"/>
  <c r="H104" i="20"/>
  <c r="H117" i="20" s="1"/>
  <c r="H100" i="20"/>
  <c r="H97" i="24"/>
  <c r="F89" i="20"/>
  <c r="CA39" i="29"/>
  <c r="CA56" i="29"/>
  <c r="CF62" i="29"/>
  <c r="CF63" i="29" s="1"/>
  <c r="BY45" i="29"/>
  <c r="BJ101" i="29"/>
  <c r="BJ103" i="29" s="1"/>
  <c r="BY35" i="29"/>
  <c r="BY52" i="29"/>
  <c r="BY54" i="29"/>
  <c r="BY33" i="29"/>
  <c r="BY51" i="29"/>
  <c r="BY53" i="29"/>
  <c r="BY43" i="29"/>
  <c r="BY40" i="29"/>
  <c r="BY41" i="29"/>
  <c r="BY44" i="29"/>
  <c r="BY16" i="29"/>
  <c r="BY25" i="29"/>
  <c r="BY24" i="29"/>
  <c r="BY20" i="29"/>
  <c r="BY23" i="29"/>
  <c r="BY15" i="29"/>
  <c r="BY21" i="29"/>
  <c r="BY18" i="29"/>
  <c r="BY13" i="29"/>
  <c r="BY17" i="29"/>
  <c r="BY19" i="29"/>
  <c r="BY12" i="29"/>
  <c r="BY7" i="29"/>
  <c r="BY22" i="29"/>
  <c r="BY26" i="29"/>
  <c r="BY11" i="29"/>
  <c r="BY14" i="29"/>
  <c r="BY9" i="29"/>
  <c r="BY6" i="29"/>
  <c r="BY27" i="29"/>
  <c r="BY10" i="29"/>
  <c r="BY8" i="29"/>
  <c r="H96" i="24"/>
  <c r="F103" i="20"/>
  <c r="F116" i="20" s="1"/>
  <c r="F107" i="20"/>
  <c r="F120" i="20" s="1"/>
  <c r="F100" i="20"/>
  <c r="F104" i="20"/>
  <c r="F117" i="20" s="1"/>
  <c r="F101" i="20"/>
  <c r="F114" i="20" s="1"/>
  <c r="F105" i="20"/>
  <c r="F118" i="20" s="1"/>
  <c r="F106" i="20"/>
  <c r="F119" i="20" s="1"/>
  <c r="F102" i="20"/>
  <c r="F115" i="20" s="1"/>
  <c r="BY34" i="29"/>
  <c r="BJ89" i="29"/>
  <c r="BY28" i="29"/>
  <c r="I36" i="24"/>
  <c r="I19" i="24"/>
  <c r="I54" i="24"/>
  <c r="D56" i="20"/>
  <c r="D86" i="20"/>
  <c r="H89" i="20"/>
  <c r="D69" i="20"/>
  <c r="D87" i="20"/>
  <c r="BX56" i="29"/>
  <c r="BY56" i="29" s="1"/>
  <c r="CA34" i="29"/>
  <c r="BY36" i="29"/>
  <c r="CA29" i="29"/>
  <c r="BZ36" i="29" l="1"/>
  <c r="BZ56" i="29"/>
  <c r="K23" i="28"/>
  <c r="FS29" i="29"/>
  <c r="K20" i="28"/>
  <c r="CF87" i="29"/>
  <c r="CB28" i="29"/>
  <c r="CB42" i="29"/>
  <c r="D89" i="20"/>
  <c r="CB50" i="29"/>
  <c r="I69" i="24"/>
  <c r="I70" i="24"/>
  <c r="I71" i="24"/>
  <c r="I72" i="24"/>
  <c r="I73" i="24"/>
  <c r="D101" i="20"/>
  <c r="D114" i="20" s="1"/>
  <c r="D105" i="20"/>
  <c r="D118" i="20" s="1"/>
  <c r="D102" i="20"/>
  <c r="D115" i="20" s="1"/>
  <c r="D106" i="20"/>
  <c r="D119" i="20" s="1"/>
  <c r="D103" i="20"/>
  <c r="D116" i="20" s="1"/>
  <c r="D107" i="20"/>
  <c r="D120" i="20" s="1"/>
  <c r="D104" i="20"/>
  <c r="D117" i="20" s="1"/>
  <c r="D100" i="20"/>
  <c r="F108" i="20"/>
  <c r="F121" i="20" s="1"/>
  <c r="F113" i="20"/>
  <c r="BY29" i="29"/>
  <c r="CB32" i="29"/>
  <c r="G74" i="24"/>
  <c r="G82" i="24" s="1"/>
  <c r="E74" i="24"/>
  <c r="E82" i="24" s="1"/>
  <c r="I74" i="24"/>
  <c r="H74" i="24"/>
  <c r="H82" i="24" s="1"/>
  <c r="D74" i="24"/>
  <c r="D82" i="24" s="1"/>
  <c r="F74" i="24"/>
  <c r="F82" i="24" s="1"/>
  <c r="I55" i="24"/>
  <c r="CB56" i="29"/>
  <c r="CB39" i="29"/>
  <c r="H113" i="20"/>
  <c r="H108" i="20"/>
  <c r="H121" i="20" s="1"/>
  <c r="CB33" i="29"/>
  <c r="CB51" i="29"/>
  <c r="CB53" i="29"/>
  <c r="CB45" i="29"/>
  <c r="CB35" i="29"/>
  <c r="CB52" i="29"/>
  <c r="CB54" i="29"/>
  <c r="CB44" i="29"/>
  <c r="CB40" i="29"/>
  <c r="CB43" i="29"/>
  <c r="CB41" i="29"/>
  <c r="CB25" i="29"/>
  <c r="CB13" i="29"/>
  <c r="CB22" i="29"/>
  <c r="CB18" i="29"/>
  <c r="CB23" i="29"/>
  <c r="CB24" i="29"/>
  <c r="CB16" i="29"/>
  <c r="CB21" i="29"/>
  <c r="CB19" i="29"/>
  <c r="CB17" i="29"/>
  <c r="CB7" i="29"/>
  <c r="CB12" i="29"/>
  <c r="CB15" i="29"/>
  <c r="CB20" i="29"/>
  <c r="CB11" i="29"/>
  <c r="CB26" i="29"/>
  <c r="CB14" i="29"/>
  <c r="CB10" i="29"/>
  <c r="CB27" i="29"/>
  <c r="CB9" i="29"/>
  <c r="CB6" i="29"/>
  <c r="CB8" i="29"/>
  <c r="CB34" i="29"/>
  <c r="I24" i="24"/>
  <c r="I22" i="24"/>
  <c r="CB48" i="29"/>
  <c r="CB55" i="29"/>
  <c r="CA36" i="29"/>
  <c r="CB36" i="29" s="1"/>
  <c r="CB49" i="29"/>
  <c r="K25" i="28" l="1"/>
  <c r="L23" i="28" s="1"/>
  <c r="K30" i="28"/>
  <c r="L30" i="28" s="1"/>
  <c r="FS36" i="29"/>
  <c r="K32" i="28" s="1"/>
  <c r="CO6" i="29"/>
  <c r="CP6" i="29" s="1"/>
  <c r="CO28" i="29"/>
  <c r="CP28" i="29" s="1"/>
  <c r="CR28" i="29" s="1"/>
  <c r="CO24" i="29"/>
  <c r="CP24" i="29" s="1"/>
  <c r="CR24" i="29" s="1"/>
  <c r="CT24" i="29" s="1"/>
  <c r="CW24" i="29" s="1"/>
  <c r="CO20" i="29"/>
  <c r="CP20" i="29" s="1"/>
  <c r="CR20" i="29" s="1"/>
  <c r="CT20" i="29" s="1"/>
  <c r="CW20" i="29" s="1"/>
  <c r="CO16" i="29"/>
  <c r="CP16" i="29" s="1"/>
  <c r="CR16" i="29" s="1"/>
  <c r="CT16" i="29" s="1"/>
  <c r="CW16" i="29" s="1"/>
  <c r="CO12" i="29"/>
  <c r="CP12" i="29" s="1"/>
  <c r="CR12" i="29" s="1"/>
  <c r="CT12" i="29" s="1"/>
  <c r="CW12" i="29" s="1"/>
  <c r="CO8" i="29"/>
  <c r="CP8" i="29" s="1"/>
  <c r="CO27" i="29"/>
  <c r="CP27" i="29" s="1"/>
  <c r="CO19" i="29"/>
  <c r="CP19" i="29" s="1"/>
  <c r="CR19" i="29" s="1"/>
  <c r="CT19" i="29" s="1"/>
  <c r="CW19" i="29" s="1"/>
  <c r="CO15" i="29"/>
  <c r="CP15" i="29" s="1"/>
  <c r="CR15" i="29" s="1"/>
  <c r="CT15" i="29" s="1"/>
  <c r="CW15" i="29" s="1"/>
  <c r="CO11" i="29"/>
  <c r="CP11" i="29" s="1"/>
  <c r="CR11" i="29" s="1"/>
  <c r="CT11" i="29" s="1"/>
  <c r="CW11" i="29" s="1"/>
  <c r="CO7" i="29"/>
  <c r="CP7" i="29" s="1"/>
  <c r="CR7" i="29" s="1"/>
  <c r="CT7" i="29" s="1"/>
  <c r="CW7" i="29" s="1"/>
  <c r="CO23" i="29"/>
  <c r="CP23" i="29" s="1"/>
  <c r="CR23" i="29" s="1"/>
  <c r="CT23" i="29" s="1"/>
  <c r="CW23" i="29" s="1"/>
  <c r="CO26" i="29"/>
  <c r="CP26" i="29" s="1"/>
  <c r="CR26" i="29" s="1"/>
  <c r="CT26" i="29" s="1"/>
  <c r="CW26" i="29" s="1"/>
  <c r="CO22" i="29"/>
  <c r="CP22" i="29" s="1"/>
  <c r="CR22" i="29" s="1"/>
  <c r="CT22" i="29" s="1"/>
  <c r="CW22" i="29" s="1"/>
  <c r="CO18" i="29"/>
  <c r="CP18" i="29" s="1"/>
  <c r="CR18" i="29" s="1"/>
  <c r="CT18" i="29" s="1"/>
  <c r="CW18" i="29" s="1"/>
  <c r="CO14" i="29"/>
  <c r="CP14" i="29" s="1"/>
  <c r="CR14" i="29" s="1"/>
  <c r="CT14" i="29" s="1"/>
  <c r="CW14" i="29" s="1"/>
  <c r="CO10" i="29"/>
  <c r="CP10" i="29" s="1"/>
  <c r="CO25" i="29"/>
  <c r="CP25" i="29" s="1"/>
  <c r="CR25" i="29" s="1"/>
  <c r="CT25" i="29" s="1"/>
  <c r="CW25" i="29" s="1"/>
  <c r="CO21" i="29"/>
  <c r="CP21" i="29" s="1"/>
  <c r="CR21" i="29" s="1"/>
  <c r="CT21" i="29" s="1"/>
  <c r="CW21" i="29" s="1"/>
  <c r="CO17" i="29"/>
  <c r="CP17" i="29" s="1"/>
  <c r="CR17" i="29" s="1"/>
  <c r="CT17" i="29" s="1"/>
  <c r="CW17" i="29" s="1"/>
  <c r="CO13" i="29"/>
  <c r="CP13" i="29" s="1"/>
  <c r="CR13" i="29" s="1"/>
  <c r="CT13" i="29" s="1"/>
  <c r="CW13" i="29" s="1"/>
  <c r="CO9" i="29"/>
  <c r="CP9" i="29" s="1"/>
  <c r="CP44" i="29" s="1"/>
  <c r="CO44" i="29" s="1"/>
  <c r="CF86" i="29"/>
  <c r="CF100" i="29" s="1"/>
  <c r="I21" i="24"/>
  <c r="I35" i="24"/>
  <c r="CB29" i="29"/>
  <c r="I56" i="24"/>
  <c r="I57" i="24"/>
  <c r="I82" i="24"/>
  <c r="O149" i="24"/>
  <c r="I80" i="24"/>
  <c r="O135" i="24"/>
  <c r="I79" i="24"/>
  <c r="O128" i="24"/>
  <c r="I78" i="24"/>
  <c r="O121" i="24"/>
  <c r="I25" i="24"/>
  <c r="I37" i="24"/>
  <c r="D113" i="20"/>
  <c r="D108" i="20"/>
  <c r="D121" i="20" s="1"/>
  <c r="I81" i="24"/>
  <c r="O142" i="24"/>
  <c r="I77" i="24"/>
  <c r="O114" i="24"/>
  <c r="P142" i="24"/>
  <c r="P135" i="24"/>
  <c r="P121" i="24"/>
  <c r="P114" i="24"/>
  <c r="P128" i="24"/>
  <c r="P149" i="24"/>
  <c r="L20" i="28" l="1"/>
  <c r="L32" i="28"/>
  <c r="L21" i="28"/>
  <c r="L19" i="28"/>
  <c r="L12" i="28"/>
  <c r="L25" i="28"/>
  <c r="L13" i="28"/>
  <c r="L31" i="28"/>
  <c r="L22" i="28"/>
  <c r="L29" i="28"/>
  <c r="L16" i="28"/>
  <c r="L15" i="28"/>
  <c r="L18" i="28"/>
  <c r="L17" i="28"/>
  <c r="L14" i="28"/>
  <c r="L28" i="28"/>
  <c r="CP41" i="29"/>
  <c r="CO41" i="29" s="1"/>
  <c r="CP42" i="29"/>
  <c r="CO42" i="29" s="1"/>
  <c r="I88" i="24"/>
  <c r="I85" i="24"/>
  <c r="I86" i="24"/>
  <c r="I89" i="24"/>
  <c r="I87" i="24"/>
  <c r="I90" i="24"/>
  <c r="CV20" i="29"/>
  <c r="CR9" i="29"/>
  <c r="CP50" i="29"/>
  <c r="CO50" i="29" s="1"/>
  <c r="CV26" i="29"/>
  <c r="CV14" i="29"/>
  <c r="CV16" i="29"/>
  <c r="CV23" i="29"/>
  <c r="CV15" i="29"/>
  <c r="CV7" i="29"/>
  <c r="CV22" i="29"/>
  <c r="CV25" i="29"/>
  <c r="I60" i="24"/>
  <c r="I97" i="24" s="1"/>
  <c r="I59" i="24"/>
  <c r="I96" i="24" s="1"/>
  <c r="CV18" i="29"/>
  <c r="CR6" i="29"/>
  <c r="CP48" i="29"/>
  <c r="CP29" i="29"/>
  <c r="CP32" i="29"/>
  <c r="CP39" i="29"/>
  <c r="CO39" i="29" s="1"/>
  <c r="CV12" i="29"/>
  <c r="CV21" i="29"/>
  <c r="CV13" i="29"/>
  <c r="CV17" i="29"/>
  <c r="CF70" i="29"/>
  <c r="CF76" i="29" s="1"/>
  <c r="CQ28" i="29"/>
  <c r="CR10" i="29"/>
  <c r="CP55" i="29"/>
  <c r="CO55" i="29" s="1"/>
  <c r="CV24" i="29"/>
  <c r="CR8" i="29"/>
  <c r="CP49" i="29"/>
  <c r="CO49" i="29" s="1"/>
  <c r="CV19" i="29"/>
  <c r="CV11" i="29"/>
  <c r="CR27" i="29"/>
  <c r="CP34" i="29"/>
  <c r="CO34" i="29" s="1"/>
  <c r="CR55" i="29" l="1"/>
  <c r="CT10" i="29"/>
  <c r="CW10" i="29" s="1"/>
  <c r="CS28" i="29"/>
  <c r="CQ34" i="29"/>
  <c r="CQ36" i="29" s="1"/>
  <c r="CQ39" i="29"/>
  <c r="CQ55" i="29"/>
  <c r="CQ56" i="29" s="1"/>
  <c r="CQ29" i="29"/>
  <c r="CR42" i="29" s="1"/>
  <c r="CF99" i="29"/>
  <c r="F19" i="30" s="1"/>
  <c r="F27" i="30" s="1"/>
  <c r="CO29" i="29"/>
  <c r="CF77" i="29" s="1"/>
  <c r="F30" i="30" s="1"/>
  <c r="F31" i="30" s="1"/>
  <c r="F34" i="30" s="1"/>
  <c r="CP36" i="29"/>
  <c r="CO36" i="29" s="1"/>
  <c r="CO32" i="29"/>
  <c r="CP56" i="29"/>
  <c r="CO56" i="29" s="1"/>
  <c r="CO48" i="29"/>
  <c r="CT9" i="29"/>
  <c r="CR50" i="29"/>
  <c r="I61" i="24"/>
  <c r="I98" i="24" s="1"/>
  <c r="CR34" i="29"/>
  <c r="CT27" i="29"/>
  <c r="CW27" i="29" s="1"/>
  <c r="CT8" i="29"/>
  <c r="CW8" i="29" s="1"/>
  <c r="CR49" i="29"/>
  <c r="CR32" i="29"/>
  <c r="CR48" i="29"/>
  <c r="CR29" i="29"/>
  <c r="CT6" i="29"/>
  <c r="CW6" i="29" s="1"/>
  <c r="CR36" i="29" l="1"/>
  <c r="CT44" i="29"/>
  <c r="CW9" i="29"/>
  <c r="CT41" i="29"/>
  <c r="CT42" i="29"/>
  <c r="CR39" i="29"/>
  <c r="CV8" i="29"/>
  <c r="CV42" i="29" s="1"/>
  <c r="CT49" i="29"/>
  <c r="CV9" i="29"/>
  <c r="CW44" i="29"/>
  <c r="CT50" i="29"/>
  <c r="CV27" i="29"/>
  <c r="CV6" i="29"/>
  <c r="CT32" i="29"/>
  <c r="CT48" i="29"/>
  <c r="CR41" i="29"/>
  <c r="CR45" i="29"/>
  <c r="CR40" i="29"/>
  <c r="CR44" i="29"/>
  <c r="CR43" i="29"/>
  <c r="CT28" i="29"/>
  <c r="CT55" i="29" s="1"/>
  <c r="DM27" i="29"/>
  <c r="CS34" i="29"/>
  <c r="CS36" i="29" s="1"/>
  <c r="CS55" i="29"/>
  <c r="CS56" i="29" s="1"/>
  <c r="CS29" i="29"/>
  <c r="CS39" i="29"/>
  <c r="CV10" i="29"/>
  <c r="J76" i="30"/>
  <c r="F76" i="30"/>
  <c r="K76" i="30"/>
  <c r="G76" i="30"/>
  <c r="D76" i="30"/>
  <c r="E76" i="30"/>
  <c r="L76" i="30"/>
  <c r="I76" i="30"/>
  <c r="H76" i="30"/>
  <c r="CR56" i="29"/>
  <c r="H78" i="30"/>
  <c r="I78" i="30"/>
  <c r="E78" i="30"/>
  <c r="F78" i="30"/>
  <c r="D78" i="30"/>
  <c r="G78" i="30"/>
  <c r="K78" i="30"/>
  <c r="L78" i="30"/>
  <c r="J78" i="30"/>
  <c r="CT34" i="29" l="1"/>
  <c r="CT36" i="29" s="1"/>
  <c r="CW28" i="29"/>
  <c r="CW55" i="29" s="1"/>
  <c r="CW41" i="29"/>
  <c r="CW42" i="29"/>
  <c r="CV50" i="29"/>
  <c r="CV44" i="29"/>
  <c r="CV49" i="29"/>
  <c r="CV41" i="29"/>
  <c r="CT39" i="29"/>
  <c r="CV32" i="29"/>
  <c r="CV48" i="29"/>
  <c r="CW50" i="29"/>
  <c r="CW49" i="29"/>
  <c r="DO27" i="29"/>
  <c r="CW32" i="29"/>
  <c r="CW48" i="29"/>
  <c r="CF102" i="29"/>
  <c r="CV28" i="29"/>
  <c r="CV29" i="29" s="1"/>
  <c r="CT56" i="29"/>
  <c r="CT29" i="29"/>
  <c r="CU34" i="29" l="1"/>
  <c r="CU42" i="29"/>
  <c r="CV34" i="29"/>
  <c r="CV36" i="29" s="1"/>
  <c r="CU28" i="29"/>
  <c r="CU55" i="29"/>
  <c r="CU56" i="29"/>
  <c r="CF89" i="29"/>
  <c r="CU36" i="29"/>
  <c r="CV39" i="29"/>
  <c r="CU39" i="29"/>
  <c r="CU32" i="29"/>
  <c r="CV55" i="29"/>
  <c r="CV56" i="29" s="1"/>
  <c r="DB62" i="29"/>
  <c r="DB63" i="29" s="1"/>
  <c r="CU33" i="29"/>
  <c r="CU51" i="29"/>
  <c r="CU53" i="29"/>
  <c r="CU35" i="29"/>
  <c r="CU52" i="29"/>
  <c r="CF101" i="29"/>
  <c r="CF103" i="29" s="1"/>
  <c r="CU54" i="29"/>
  <c r="CU45" i="29"/>
  <c r="CU44" i="29"/>
  <c r="CU40" i="29"/>
  <c r="CU43" i="29"/>
  <c r="CU41" i="29"/>
  <c r="CU20" i="29"/>
  <c r="CU23" i="29"/>
  <c r="CU25" i="29"/>
  <c r="CU21" i="29"/>
  <c r="CU24" i="29"/>
  <c r="CU16" i="29"/>
  <c r="CU22" i="29"/>
  <c r="CU18" i="29"/>
  <c r="CU14" i="29"/>
  <c r="CU7" i="29"/>
  <c r="CU12" i="29"/>
  <c r="CU17" i="29"/>
  <c r="CU19" i="29"/>
  <c r="CU11" i="29"/>
  <c r="CU26" i="29"/>
  <c r="CU15" i="29"/>
  <c r="CU13" i="29"/>
  <c r="CU8" i="29"/>
  <c r="CU9" i="29"/>
  <c r="CU27" i="29"/>
  <c r="CU6" i="29"/>
  <c r="CU10" i="29"/>
  <c r="CU48" i="29"/>
  <c r="CW39" i="29"/>
  <c r="CW29" i="29"/>
  <c r="CU49" i="29"/>
  <c r="CW56" i="29"/>
  <c r="CW34" i="29"/>
  <c r="CU50" i="29"/>
  <c r="DB87" i="29" l="1"/>
  <c r="CX50" i="29"/>
  <c r="CX42" i="29"/>
  <c r="CX48" i="29"/>
  <c r="CX34" i="29"/>
  <c r="CU29" i="29"/>
  <c r="CX35" i="29"/>
  <c r="CX52" i="29"/>
  <c r="CX54" i="29"/>
  <c r="CX53" i="29"/>
  <c r="CX33" i="29"/>
  <c r="CX51" i="29"/>
  <c r="CX43" i="29"/>
  <c r="CX40" i="29"/>
  <c r="CX41" i="29"/>
  <c r="CX44" i="29"/>
  <c r="CX45" i="29"/>
  <c r="CX19" i="29"/>
  <c r="CX22" i="29"/>
  <c r="CX16" i="29"/>
  <c r="CX25" i="29"/>
  <c r="CX15" i="29"/>
  <c r="CX17" i="29"/>
  <c r="CX18" i="29"/>
  <c r="CX21" i="29"/>
  <c r="CX13" i="29"/>
  <c r="CX26" i="29"/>
  <c r="CX11" i="29"/>
  <c r="CX12" i="29"/>
  <c r="CX23" i="29"/>
  <c r="CX7" i="29"/>
  <c r="CX20" i="29"/>
  <c r="CX24" i="29"/>
  <c r="CX14" i="29"/>
  <c r="CX27" i="29"/>
  <c r="CX8" i="29"/>
  <c r="CX10" i="29"/>
  <c r="CX9" i="29"/>
  <c r="CX6" i="29"/>
  <c r="CX39" i="29"/>
  <c r="CX49" i="29"/>
  <c r="CX28" i="29"/>
  <c r="CX55" i="29"/>
  <c r="CW36" i="29"/>
  <c r="CX36" i="29" s="1"/>
  <c r="CX56" i="29"/>
  <c r="CX32" i="29"/>
  <c r="DK6" i="29" l="1"/>
  <c r="DL6" i="29" s="1"/>
  <c r="DK7" i="29"/>
  <c r="DL7" i="29" s="1"/>
  <c r="DN7" i="29" s="1"/>
  <c r="DP7" i="29" s="1"/>
  <c r="DS7" i="29" s="1"/>
  <c r="DK8" i="29"/>
  <c r="DL8" i="29" s="1"/>
  <c r="DK27" i="29"/>
  <c r="DL27" i="29" s="1"/>
  <c r="DK28" i="29"/>
  <c r="DL28" i="29" s="1"/>
  <c r="DN28" i="29" s="1"/>
  <c r="DK10" i="29"/>
  <c r="DL10" i="29" s="1"/>
  <c r="DK12" i="29"/>
  <c r="DL12" i="29" s="1"/>
  <c r="DN12" i="29" s="1"/>
  <c r="DP12" i="29" s="1"/>
  <c r="DS12" i="29" s="1"/>
  <c r="DK14" i="29"/>
  <c r="DL14" i="29" s="1"/>
  <c r="DN14" i="29" s="1"/>
  <c r="DP14" i="29" s="1"/>
  <c r="DS14" i="29" s="1"/>
  <c r="DK16" i="29"/>
  <c r="DL16" i="29" s="1"/>
  <c r="DN16" i="29" s="1"/>
  <c r="DP16" i="29" s="1"/>
  <c r="DS16" i="29" s="1"/>
  <c r="DK18" i="29"/>
  <c r="DL18" i="29" s="1"/>
  <c r="DN18" i="29" s="1"/>
  <c r="DP18" i="29" s="1"/>
  <c r="DS18" i="29" s="1"/>
  <c r="DK20" i="29"/>
  <c r="DL20" i="29" s="1"/>
  <c r="DN20" i="29" s="1"/>
  <c r="DP20" i="29" s="1"/>
  <c r="DS20" i="29" s="1"/>
  <c r="DK22" i="29"/>
  <c r="DL22" i="29" s="1"/>
  <c r="DN22" i="29" s="1"/>
  <c r="DP22" i="29" s="1"/>
  <c r="DS22" i="29" s="1"/>
  <c r="DK24" i="29"/>
  <c r="DL24" i="29" s="1"/>
  <c r="DN24" i="29" s="1"/>
  <c r="DP24" i="29" s="1"/>
  <c r="DS24" i="29" s="1"/>
  <c r="DK26" i="29"/>
  <c r="DL26" i="29" s="1"/>
  <c r="DN26" i="29" s="1"/>
  <c r="DP26" i="29" s="1"/>
  <c r="DS26" i="29" s="1"/>
  <c r="DK9" i="29"/>
  <c r="DL9" i="29" s="1"/>
  <c r="DL44" i="29" s="1"/>
  <c r="DK44" i="29" s="1"/>
  <c r="DK17" i="29"/>
  <c r="DL17" i="29" s="1"/>
  <c r="DN17" i="29" s="1"/>
  <c r="DP17" i="29" s="1"/>
  <c r="DS17" i="29" s="1"/>
  <c r="DK25" i="29"/>
  <c r="DL25" i="29" s="1"/>
  <c r="DN25" i="29" s="1"/>
  <c r="DP25" i="29" s="1"/>
  <c r="DS25" i="29" s="1"/>
  <c r="DK11" i="29"/>
  <c r="DL11" i="29" s="1"/>
  <c r="DN11" i="29" s="1"/>
  <c r="DP11" i="29" s="1"/>
  <c r="DS11" i="29" s="1"/>
  <c r="DK19" i="29"/>
  <c r="DL19" i="29" s="1"/>
  <c r="DN19" i="29" s="1"/>
  <c r="DP19" i="29" s="1"/>
  <c r="DS19" i="29" s="1"/>
  <c r="DK13" i="29"/>
  <c r="DL13" i="29" s="1"/>
  <c r="DN13" i="29" s="1"/>
  <c r="DP13" i="29" s="1"/>
  <c r="DS13" i="29" s="1"/>
  <c r="DK21" i="29"/>
  <c r="DL21" i="29" s="1"/>
  <c r="DN21" i="29" s="1"/>
  <c r="DP21" i="29" s="1"/>
  <c r="DS21" i="29" s="1"/>
  <c r="DK15" i="29"/>
  <c r="DL15" i="29" s="1"/>
  <c r="DN15" i="29" s="1"/>
  <c r="DP15" i="29" s="1"/>
  <c r="DS15" i="29" s="1"/>
  <c r="DK23" i="29"/>
  <c r="DL23" i="29" s="1"/>
  <c r="DN23" i="29" s="1"/>
  <c r="DP23" i="29" s="1"/>
  <c r="DS23" i="29" s="1"/>
  <c r="DB86" i="29"/>
  <c r="DB100" i="29" s="1"/>
  <c r="CX29" i="29"/>
  <c r="DL41" i="29" l="1"/>
  <c r="DK41" i="29" s="1"/>
  <c r="DL42" i="29"/>
  <c r="DK42" i="29" s="1"/>
  <c r="DR22" i="29"/>
  <c r="DN8" i="29"/>
  <c r="DL49" i="29"/>
  <c r="DK49" i="29" s="1"/>
  <c r="DR23" i="29"/>
  <c r="DR14" i="29"/>
  <c r="DR15" i="29"/>
  <c r="DN9" i="29"/>
  <c r="DN44" i="29" s="1"/>
  <c r="DL50" i="29"/>
  <c r="DK50" i="29" s="1"/>
  <c r="DR12" i="29"/>
  <c r="DR21" i="29"/>
  <c r="DR11" i="29"/>
  <c r="DR26" i="29"/>
  <c r="DR18" i="29"/>
  <c r="DN10" i="29"/>
  <c r="DL55" i="29"/>
  <c r="DK55" i="29" s="1"/>
  <c r="DR7" i="29"/>
  <c r="DR17" i="29"/>
  <c r="DN27" i="29"/>
  <c r="DL34" i="29"/>
  <c r="DK34" i="29" s="1"/>
  <c r="DR19" i="29"/>
  <c r="DR20" i="29"/>
  <c r="DB70" i="29"/>
  <c r="DB76" i="29" s="1"/>
  <c r="DM28" i="29"/>
  <c r="DR13" i="29"/>
  <c r="DR25" i="29"/>
  <c r="DR24" i="29"/>
  <c r="DR16" i="29"/>
  <c r="DN6" i="29"/>
  <c r="DL32" i="29"/>
  <c r="DL48" i="29"/>
  <c r="DL29" i="29"/>
  <c r="DL39" i="29"/>
  <c r="DK39" i="29" s="1"/>
  <c r="DN41" i="29" l="1"/>
  <c r="DN42" i="29"/>
  <c r="DN34" i="29"/>
  <c r="DP27" i="29"/>
  <c r="DS27" i="29" s="1"/>
  <c r="DN55" i="29"/>
  <c r="DP10" i="29"/>
  <c r="DS10" i="29" s="1"/>
  <c r="DN49" i="29"/>
  <c r="DP8" i="29"/>
  <c r="DS8" i="29" s="1"/>
  <c r="DB99" i="29"/>
  <c r="E18" i="30" s="1"/>
  <c r="E27" i="30" s="1"/>
  <c r="DK29" i="29"/>
  <c r="DB77" i="29" s="1"/>
  <c r="E30" i="30" s="1"/>
  <c r="E31" i="30" s="1"/>
  <c r="E34" i="30" s="1"/>
  <c r="DL36" i="29"/>
  <c r="DK36" i="29" s="1"/>
  <c r="DK32" i="29"/>
  <c r="DP9" i="29"/>
  <c r="DN50" i="29"/>
  <c r="DL56" i="29"/>
  <c r="DK56" i="29" s="1"/>
  <c r="DK48" i="29"/>
  <c r="DN32" i="29"/>
  <c r="DN48" i="29"/>
  <c r="DP6" i="29"/>
  <c r="DS6" i="29" s="1"/>
  <c r="DN29" i="29"/>
  <c r="DN39" i="29"/>
  <c r="DO28" i="29"/>
  <c r="DM29" i="29"/>
  <c r="DM39" i="29"/>
  <c r="DM34" i="29"/>
  <c r="DM36" i="29" s="1"/>
  <c r="DM55" i="29"/>
  <c r="DM56" i="29" s="1"/>
  <c r="DP44" i="29" l="1"/>
  <c r="DS9" i="29"/>
  <c r="DP41" i="29"/>
  <c r="DP42" i="29"/>
  <c r="DN36" i="29"/>
  <c r="DR6" i="29"/>
  <c r="DP48" i="29"/>
  <c r="DP32" i="29"/>
  <c r="DR9" i="29"/>
  <c r="DS44" i="29"/>
  <c r="DP50" i="29"/>
  <c r="I63" i="30"/>
  <c r="E63" i="30"/>
  <c r="J63" i="30"/>
  <c r="F63" i="30"/>
  <c r="L63" i="30"/>
  <c r="D63" i="30"/>
  <c r="K63" i="30"/>
  <c r="H63" i="30"/>
  <c r="G63" i="30"/>
  <c r="EI27" i="29"/>
  <c r="DP28" i="29"/>
  <c r="DO34" i="29"/>
  <c r="DO36" i="29" s="1"/>
  <c r="DO39" i="29"/>
  <c r="DO55" i="29"/>
  <c r="DO56" i="29" s="1"/>
  <c r="DO29" i="29"/>
  <c r="DN56" i="29"/>
  <c r="K65" i="30"/>
  <c r="G65" i="30"/>
  <c r="H65" i="30"/>
  <c r="E65" i="30"/>
  <c r="D65" i="30"/>
  <c r="F65" i="30"/>
  <c r="J65" i="30"/>
  <c r="I65" i="30"/>
  <c r="L65" i="30"/>
  <c r="DR27" i="29"/>
  <c r="DP49" i="29"/>
  <c r="DR8" i="29"/>
  <c r="DR42" i="29" s="1"/>
  <c r="DR10" i="29"/>
  <c r="DP39" i="29" l="1"/>
  <c r="DS28" i="29"/>
  <c r="DS29" i="29" s="1"/>
  <c r="DS41" i="29"/>
  <c r="DS42" i="29"/>
  <c r="DR50" i="29"/>
  <c r="DR44" i="29"/>
  <c r="DR49" i="29"/>
  <c r="DR41" i="29"/>
  <c r="DP34" i="29"/>
  <c r="DP36" i="29" s="1"/>
  <c r="DP55" i="29"/>
  <c r="DP56" i="29" s="1"/>
  <c r="DR32" i="29"/>
  <c r="DR48" i="29"/>
  <c r="DR28" i="29"/>
  <c r="DR39" i="29" s="1"/>
  <c r="DB102" i="29"/>
  <c r="DS32" i="29"/>
  <c r="DS48" i="29"/>
  <c r="DS49" i="29"/>
  <c r="FB27" i="29"/>
  <c r="EK27" i="29"/>
  <c r="DS50" i="29"/>
  <c r="DP29" i="29"/>
  <c r="DS55" i="29" l="1"/>
  <c r="DS56" i="29" s="1"/>
  <c r="DT56" i="29" s="1"/>
  <c r="DT42" i="29"/>
  <c r="DQ49" i="29"/>
  <c r="DQ42" i="29"/>
  <c r="DQ55" i="29"/>
  <c r="DR34" i="29"/>
  <c r="DR36" i="29" s="1"/>
  <c r="DQ32" i="29"/>
  <c r="DR55" i="29"/>
  <c r="DR56" i="29" s="1"/>
  <c r="DT33" i="29"/>
  <c r="DT51" i="29"/>
  <c r="DT53" i="29"/>
  <c r="DT45" i="29"/>
  <c r="DT54" i="29"/>
  <c r="DT35" i="29"/>
  <c r="DT52" i="29"/>
  <c r="DT40" i="29"/>
  <c r="DT44" i="29"/>
  <c r="DT43" i="29"/>
  <c r="DT41" i="29"/>
  <c r="DT19" i="29"/>
  <c r="DT15" i="29"/>
  <c r="DT11" i="29"/>
  <c r="DT13" i="29"/>
  <c r="DT18" i="29"/>
  <c r="DT14" i="29"/>
  <c r="DT16" i="29"/>
  <c r="DT26" i="29"/>
  <c r="DT12" i="29"/>
  <c r="DT22" i="29"/>
  <c r="DT25" i="29"/>
  <c r="DT7" i="29"/>
  <c r="DT23" i="29"/>
  <c r="DT21" i="29"/>
  <c r="DT17" i="29"/>
  <c r="DT24" i="29"/>
  <c r="DT20" i="29"/>
  <c r="DT6" i="29"/>
  <c r="DT9" i="29"/>
  <c r="DT27" i="29"/>
  <c r="DT8" i="29"/>
  <c r="DT10" i="29"/>
  <c r="DT50" i="29"/>
  <c r="DQ36" i="29"/>
  <c r="DQ28" i="29"/>
  <c r="DR29" i="29"/>
  <c r="DQ50" i="29"/>
  <c r="FD27" i="29"/>
  <c r="DT48" i="29"/>
  <c r="DB89" i="29"/>
  <c r="DT32" i="29"/>
  <c r="DT28" i="29"/>
  <c r="DQ56" i="29"/>
  <c r="DT49" i="29"/>
  <c r="DX62" i="29"/>
  <c r="DX63" i="29" s="1"/>
  <c r="DQ35" i="29"/>
  <c r="DQ45" i="29"/>
  <c r="DQ52" i="29"/>
  <c r="DQ54" i="29"/>
  <c r="DQ53" i="29"/>
  <c r="DB101" i="29"/>
  <c r="DB103" i="29" s="1"/>
  <c r="DQ33" i="29"/>
  <c r="DQ51" i="29"/>
  <c r="DQ44" i="29"/>
  <c r="DQ41" i="29"/>
  <c r="DQ40" i="29"/>
  <c r="DQ43" i="29"/>
  <c r="DQ22" i="29"/>
  <c r="DQ14" i="29"/>
  <c r="DQ12" i="29"/>
  <c r="DQ18" i="29"/>
  <c r="DQ20" i="29"/>
  <c r="DQ23" i="29"/>
  <c r="DQ26" i="29"/>
  <c r="DQ7" i="29"/>
  <c r="DQ19" i="29"/>
  <c r="DQ13" i="29"/>
  <c r="DQ24" i="29"/>
  <c r="DQ11" i="29"/>
  <c r="DQ17" i="29"/>
  <c r="DQ16" i="29"/>
  <c r="DQ25" i="29"/>
  <c r="DQ15" i="29"/>
  <c r="DQ21" i="29"/>
  <c r="DQ6" i="29"/>
  <c r="DQ9" i="29"/>
  <c r="DQ27" i="29"/>
  <c r="DQ10" i="29"/>
  <c r="DQ8" i="29"/>
  <c r="DQ34" i="29"/>
  <c r="DS34" i="29"/>
  <c r="DT34" i="29" s="1"/>
  <c r="DS39" i="29"/>
  <c r="DT39" i="29" s="1"/>
  <c r="DQ39" i="29"/>
  <c r="DQ48" i="29"/>
  <c r="DT55" i="29" l="1"/>
  <c r="DX87" i="29"/>
  <c r="DQ29" i="29"/>
  <c r="DS36" i="29"/>
  <c r="DT36" i="29" s="1"/>
  <c r="DT29" i="29"/>
  <c r="EG6" i="29" l="1"/>
  <c r="EH6" i="29" s="1"/>
  <c r="EG7" i="29"/>
  <c r="EH7" i="29" s="1"/>
  <c r="EG11" i="29"/>
  <c r="EH11" i="29" s="1"/>
  <c r="EG15" i="29"/>
  <c r="EH15" i="29" s="1"/>
  <c r="EG19" i="29"/>
  <c r="EH19" i="29" s="1"/>
  <c r="EG23" i="29"/>
  <c r="EH23" i="29" s="1"/>
  <c r="EG27" i="29"/>
  <c r="EH27" i="29" s="1"/>
  <c r="EG8" i="29"/>
  <c r="EH8" i="29" s="1"/>
  <c r="EG12" i="29"/>
  <c r="EH12" i="29" s="1"/>
  <c r="EG16" i="29"/>
  <c r="EH16" i="29" s="1"/>
  <c r="EG20" i="29"/>
  <c r="EH20" i="29" s="1"/>
  <c r="EG24" i="29"/>
  <c r="EH24" i="29" s="1"/>
  <c r="EG28" i="29"/>
  <c r="EH28" i="29" s="1"/>
  <c r="EG9" i="29"/>
  <c r="EH9" i="29" s="1"/>
  <c r="EH44" i="29" s="1"/>
  <c r="EG44" i="29" s="1"/>
  <c r="EG13" i="29"/>
  <c r="EH13" i="29" s="1"/>
  <c r="EG17" i="29"/>
  <c r="EH17" i="29" s="1"/>
  <c r="EG21" i="29"/>
  <c r="EH21" i="29" s="1"/>
  <c r="EG25" i="29"/>
  <c r="EH25" i="29" s="1"/>
  <c r="EG10" i="29"/>
  <c r="EH10" i="29" s="1"/>
  <c r="EG14" i="29"/>
  <c r="EH14" i="29" s="1"/>
  <c r="EG18" i="29"/>
  <c r="EH18" i="29" s="1"/>
  <c r="EG22" i="29"/>
  <c r="EH22" i="29" s="1"/>
  <c r="EG26" i="29"/>
  <c r="EH26" i="29" s="1"/>
  <c r="DX86" i="29"/>
  <c r="EH41" i="29" l="1"/>
  <c r="EG41" i="29" s="1"/>
  <c r="EH42" i="29"/>
  <c r="EG42" i="29" s="1"/>
  <c r="EJ23" i="29"/>
  <c r="FA23" i="29"/>
  <c r="EJ8" i="29"/>
  <c r="EH49" i="29"/>
  <c r="EG49" i="29" s="1"/>
  <c r="FA8" i="29"/>
  <c r="FA49" i="29" s="1"/>
  <c r="EZ49" i="29" s="1"/>
  <c r="EJ19" i="29"/>
  <c r="FA19" i="29"/>
  <c r="FA9" i="29"/>
  <c r="FA50" i="29" s="1"/>
  <c r="EZ50" i="29" s="1"/>
  <c r="EJ9" i="29"/>
  <c r="EJ44" i="29" s="1"/>
  <c r="EH50" i="29"/>
  <c r="EG50" i="29" s="1"/>
  <c r="EJ15" i="29"/>
  <c r="FA15" i="29"/>
  <c r="EJ22" i="29"/>
  <c r="FA22" i="29"/>
  <c r="EJ14" i="29"/>
  <c r="FA14" i="29"/>
  <c r="EJ6" i="29"/>
  <c r="FA6" i="29"/>
  <c r="EH29" i="29"/>
  <c r="EH32" i="29"/>
  <c r="EH48" i="29"/>
  <c r="EH39" i="29"/>
  <c r="EG39" i="29" s="1"/>
  <c r="FA13" i="29"/>
  <c r="EJ13" i="29"/>
  <c r="EJ24" i="29"/>
  <c r="FA24" i="29"/>
  <c r="EJ16" i="29"/>
  <c r="FA16" i="29"/>
  <c r="DX70" i="29"/>
  <c r="DX76" i="29" s="1"/>
  <c r="EI28" i="29"/>
  <c r="EJ11" i="29"/>
  <c r="FA11" i="29"/>
  <c r="EJ28" i="29"/>
  <c r="FC28" i="29" s="1"/>
  <c r="FA28" i="29"/>
  <c r="EJ7" i="29"/>
  <c r="FA7" i="29"/>
  <c r="EJ20" i="29"/>
  <c r="FA20" i="29"/>
  <c r="EJ12" i="29"/>
  <c r="FA12" i="29"/>
  <c r="EH34" i="29"/>
  <c r="EG34" i="29" s="1"/>
  <c r="EJ27" i="29"/>
  <c r="FA27" i="29"/>
  <c r="FA17" i="29"/>
  <c r="EJ17" i="29"/>
  <c r="FA21" i="29"/>
  <c r="EJ21" i="29"/>
  <c r="FA25" i="29"/>
  <c r="EJ25" i="29"/>
  <c r="EJ26" i="29"/>
  <c r="FA26" i="29"/>
  <c r="EJ18" i="29"/>
  <c r="FA18" i="29"/>
  <c r="EJ10" i="29"/>
  <c r="FA10" i="29"/>
  <c r="EH55" i="29"/>
  <c r="DX100" i="29"/>
  <c r="EJ41" i="29" l="1"/>
  <c r="EJ42" i="29"/>
  <c r="FA34" i="29"/>
  <c r="EZ34" i="29" s="1"/>
  <c r="EL13" i="29"/>
  <c r="EO13" i="29" s="1"/>
  <c r="FC13" i="29"/>
  <c r="FC6" i="29"/>
  <c r="EJ29" i="29"/>
  <c r="EJ32" i="29"/>
  <c r="EJ48" i="29"/>
  <c r="EL6" i="29"/>
  <c r="EO6" i="29" s="1"/>
  <c r="EJ39" i="29"/>
  <c r="EL9" i="29"/>
  <c r="EJ50" i="29"/>
  <c r="FC9" i="29"/>
  <c r="FC50" i="29" s="1"/>
  <c r="FC19" i="29"/>
  <c r="EL19" i="29"/>
  <c r="EO19" i="29" s="1"/>
  <c r="EL8" i="29"/>
  <c r="EO8" i="29" s="1"/>
  <c r="FC8" i="29"/>
  <c r="FC49" i="29" s="1"/>
  <c r="EJ49" i="29"/>
  <c r="FC26" i="29"/>
  <c r="EL26" i="29"/>
  <c r="EO26" i="29" s="1"/>
  <c r="FA55" i="29"/>
  <c r="EZ55" i="29" s="1"/>
  <c r="FC18" i="29"/>
  <c r="EL18" i="29"/>
  <c r="EO18" i="29" s="1"/>
  <c r="EL21" i="29"/>
  <c r="EO21" i="29" s="1"/>
  <c r="FC21" i="29"/>
  <c r="FC7" i="29"/>
  <c r="EL7" i="29"/>
  <c r="EO7" i="29" s="1"/>
  <c r="EH36" i="29"/>
  <c r="EG36" i="29" s="1"/>
  <c r="EG32" i="29"/>
  <c r="FC15" i="29"/>
  <c r="EL15" i="29"/>
  <c r="EO15" i="29" s="1"/>
  <c r="EL25" i="29"/>
  <c r="EO25" i="29" s="1"/>
  <c r="FC25" i="29"/>
  <c r="FC20" i="29"/>
  <c r="EL20" i="29"/>
  <c r="EO20" i="29" s="1"/>
  <c r="FC11" i="29"/>
  <c r="EL11" i="29"/>
  <c r="EO11" i="29" s="1"/>
  <c r="EL24" i="29"/>
  <c r="EO24" i="29" s="1"/>
  <c r="FC24" i="29"/>
  <c r="DX99" i="29"/>
  <c r="D17" i="30" s="1"/>
  <c r="L17" i="30" s="1"/>
  <c r="EG29" i="29"/>
  <c r="DX77" i="29" s="1"/>
  <c r="D30" i="30" s="1"/>
  <c r="D31" i="30" s="1"/>
  <c r="FC22" i="29"/>
  <c r="EL22" i="29"/>
  <c r="EO22" i="29" s="1"/>
  <c r="EG55" i="29"/>
  <c r="EL17" i="29"/>
  <c r="EO17" i="29" s="1"/>
  <c r="FC17" i="29"/>
  <c r="FC10" i="29"/>
  <c r="EJ55" i="29"/>
  <c r="EL10" i="29"/>
  <c r="EO10" i="29" s="1"/>
  <c r="FC27" i="29"/>
  <c r="FC34" i="29" s="1"/>
  <c r="EJ34" i="29"/>
  <c r="EL27" i="29"/>
  <c r="EO27" i="29" s="1"/>
  <c r="FC12" i="29"/>
  <c r="EL12" i="29"/>
  <c r="EO12" i="29" s="1"/>
  <c r="FB28" i="29"/>
  <c r="EK28" i="29"/>
  <c r="EI55" i="29"/>
  <c r="EI56" i="29" s="1"/>
  <c r="EI29" i="29"/>
  <c r="EI39" i="29"/>
  <c r="EI34" i="29"/>
  <c r="EI36" i="29" s="1"/>
  <c r="EL16" i="29"/>
  <c r="EO16" i="29" s="1"/>
  <c r="FC16" i="29"/>
  <c r="EH56" i="29"/>
  <c r="EG48" i="29"/>
  <c r="FA29" i="29"/>
  <c r="FA32" i="29"/>
  <c r="FA48" i="29"/>
  <c r="FC14" i="29"/>
  <c r="EL14" i="29"/>
  <c r="EO14" i="29" s="1"/>
  <c r="FC23" i="29"/>
  <c r="EL23" i="29"/>
  <c r="EO23" i="29" s="1"/>
  <c r="J23" i="30" l="1"/>
  <c r="EL44" i="29"/>
  <c r="EO9" i="29"/>
  <c r="L18" i="30"/>
  <c r="EL41" i="29"/>
  <c r="EL42" i="29"/>
  <c r="EJ56" i="29"/>
  <c r="EN23" i="29"/>
  <c r="FG23" i="29" s="1"/>
  <c r="FE23" i="29"/>
  <c r="EG56" i="29"/>
  <c r="FB34" i="29"/>
  <c r="FB36" i="29" s="1"/>
  <c r="FB55" i="29"/>
  <c r="FB56" i="29" s="1"/>
  <c r="FB29" i="29"/>
  <c r="FC55" i="29"/>
  <c r="FE22" i="29"/>
  <c r="EN22" i="29"/>
  <c r="FG22" i="29" s="1"/>
  <c r="EN20" i="29"/>
  <c r="FG20" i="29" s="1"/>
  <c r="FE20" i="29"/>
  <c r="EN15" i="29"/>
  <c r="FG15" i="29" s="1"/>
  <c r="FE15" i="29"/>
  <c r="EN7" i="29"/>
  <c r="FG7" i="29" s="1"/>
  <c r="FE7" i="29"/>
  <c r="FE18" i="29"/>
  <c r="EN18" i="29"/>
  <c r="FG18" i="29" s="1"/>
  <c r="EN19" i="29"/>
  <c r="FG19" i="29" s="1"/>
  <c r="FE19" i="29"/>
  <c r="FE9" i="29"/>
  <c r="EO44" i="29"/>
  <c r="EL50" i="29"/>
  <c r="EN9" i="29"/>
  <c r="EN44" i="29" s="1"/>
  <c r="EJ36" i="29"/>
  <c r="FE13" i="29"/>
  <c r="EN13" i="29"/>
  <c r="FG13" i="29" s="1"/>
  <c r="FD28" i="29"/>
  <c r="EL28" i="29"/>
  <c r="EK39" i="29"/>
  <c r="EK29" i="29"/>
  <c r="EK34" i="29"/>
  <c r="EK36" i="29" s="1"/>
  <c r="EK55" i="29"/>
  <c r="EK56" i="29" s="1"/>
  <c r="FE25" i="29"/>
  <c r="EN25" i="29"/>
  <c r="FG25" i="29" s="1"/>
  <c r="FE21" i="29"/>
  <c r="EN21" i="29"/>
  <c r="FG21" i="29" s="1"/>
  <c r="FE26" i="29"/>
  <c r="EN26" i="29"/>
  <c r="FG26" i="29" s="1"/>
  <c r="EN8" i="29"/>
  <c r="FE8" i="29"/>
  <c r="EL49" i="29"/>
  <c r="FA56" i="29"/>
  <c r="EZ56" i="29" s="1"/>
  <c r="EZ48" i="29"/>
  <c r="FA36" i="29"/>
  <c r="EZ36" i="29" s="1"/>
  <c r="EZ32" i="29"/>
  <c r="EN12" i="29"/>
  <c r="FG12" i="29" s="1"/>
  <c r="FE12" i="29"/>
  <c r="EN24" i="29"/>
  <c r="FG24" i="29" s="1"/>
  <c r="FE24" i="29"/>
  <c r="EN27" i="29"/>
  <c r="FE27" i="29"/>
  <c r="FE14" i="29"/>
  <c r="EN14" i="29"/>
  <c r="FG14" i="29" s="1"/>
  <c r="EN16" i="29"/>
  <c r="FG16" i="29" s="1"/>
  <c r="FE16" i="29"/>
  <c r="FE10" i="29"/>
  <c r="EN10" i="29"/>
  <c r="FE17" i="29"/>
  <c r="EN17" i="29"/>
  <c r="FG17" i="29" s="1"/>
  <c r="D34" i="30"/>
  <c r="EN11" i="29"/>
  <c r="FG11" i="29" s="1"/>
  <c r="FE11" i="29"/>
  <c r="FE6" i="29"/>
  <c r="EL32" i="29"/>
  <c r="EL48" i="29"/>
  <c r="EN6" i="29"/>
  <c r="FC32" i="29"/>
  <c r="FC36" i="29" s="1"/>
  <c r="FC48" i="29"/>
  <c r="FC29" i="29"/>
  <c r="J27" i="30" l="1"/>
  <c r="L23" i="30"/>
  <c r="EL29" i="29"/>
  <c r="EM11" i="29" s="1"/>
  <c r="EO28" i="29"/>
  <c r="EO39" i="29" s="1"/>
  <c r="D27" i="30"/>
  <c r="D52" i="30" s="1"/>
  <c r="L19" i="30"/>
  <c r="EM42" i="29"/>
  <c r="EN41" i="29"/>
  <c r="EN42" i="29"/>
  <c r="EO41" i="29"/>
  <c r="EO42" i="29"/>
  <c r="EL39" i="29"/>
  <c r="EL55" i="29"/>
  <c r="EL56" i="29" s="1"/>
  <c r="EL34" i="29"/>
  <c r="FC56" i="29"/>
  <c r="FH6" i="29"/>
  <c r="EO48" i="29"/>
  <c r="EO32" i="29"/>
  <c r="FE32" i="29"/>
  <c r="FE48" i="29"/>
  <c r="EZ6" i="29"/>
  <c r="FG10" i="29"/>
  <c r="EZ10" i="29"/>
  <c r="EZ14" i="29"/>
  <c r="FG27" i="29"/>
  <c r="EZ24" i="29"/>
  <c r="FH12" i="29"/>
  <c r="EO49" i="29"/>
  <c r="FH8" i="29"/>
  <c r="EN28" i="29"/>
  <c r="FG28" i="29" s="1"/>
  <c r="DX102" i="29"/>
  <c r="K24" i="30" s="1"/>
  <c r="FE28" i="29"/>
  <c r="FE29" i="29" s="1"/>
  <c r="FH13" i="29"/>
  <c r="EZ19" i="29"/>
  <c r="EZ7" i="29"/>
  <c r="EZ15" i="29"/>
  <c r="EZ20" i="29"/>
  <c r="FH23" i="29"/>
  <c r="EZ17" i="29"/>
  <c r="FG6" i="29"/>
  <c r="EN32" i="29"/>
  <c r="EN48" i="29"/>
  <c r="EM35" i="29"/>
  <c r="FH11" i="29"/>
  <c r="EM10" i="29"/>
  <c r="FH16" i="29"/>
  <c r="FE49" i="29"/>
  <c r="EZ8" i="29"/>
  <c r="FD29" i="29"/>
  <c r="FD55" i="29"/>
  <c r="FD56" i="29" s="1"/>
  <c r="FD34" i="29"/>
  <c r="FD36" i="29" s="1"/>
  <c r="EZ13" i="29"/>
  <c r="FH20" i="29"/>
  <c r="EZ23" i="29"/>
  <c r="EZ11" i="29"/>
  <c r="FH17" i="29"/>
  <c r="FH10" i="29"/>
  <c r="EZ16" i="29"/>
  <c r="FH27" i="29"/>
  <c r="FG8" i="29"/>
  <c r="FG49" i="29" s="1"/>
  <c r="EN49" i="29"/>
  <c r="FH26" i="29"/>
  <c r="FH21" i="29"/>
  <c r="FH25" i="29"/>
  <c r="FH9" i="29"/>
  <c r="EO50" i="29"/>
  <c r="FH18" i="29"/>
  <c r="FH22" i="29"/>
  <c r="I50" i="30"/>
  <c r="E50" i="30"/>
  <c r="D50" i="30"/>
  <c r="J50" i="30"/>
  <c r="F50" i="30"/>
  <c r="K50" i="30"/>
  <c r="G50" i="30"/>
  <c r="L50" i="30"/>
  <c r="L34" i="30"/>
  <c r="H50" i="30"/>
  <c r="FH14" i="29"/>
  <c r="EZ27" i="29"/>
  <c r="FH24" i="29"/>
  <c r="EZ12" i="29"/>
  <c r="EM8" i="29"/>
  <c r="EZ26" i="29"/>
  <c r="EZ21" i="29"/>
  <c r="EZ25" i="29"/>
  <c r="EM13" i="29"/>
  <c r="EN50" i="29"/>
  <c r="FG9" i="29"/>
  <c r="FG50" i="29" s="1"/>
  <c r="FE50" i="29"/>
  <c r="EZ9" i="29"/>
  <c r="FH19" i="29"/>
  <c r="EZ18" i="29"/>
  <c r="FH7" i="29"/>
  <c r="FH15" i="29"/>
  <c r="EZ22" i="29"/>
  <c r="EM19" i="29" l="1"/>
  <c r="EM12" i="29"/>
  <c r="EM18" i="29"/>
  <c r="EM45" i="29"/>
  <c r="EM28" i="29"/>
  <c r="EM23" i="29"/>
  <c r="EM25" i="29"/>
  <c r="EM14" i="29"/>
  <c r="EM40" i="29"/>
  <c r="EM53" i="29"/>
  <c r="EM56" i="29"/>
  <c r="EM7" i="29"/>
  <c r="EM26" i="29"/>
  <c r="EM44" i="29"/>
  <c r="EM33" i="29"/>
  <c r="EM20" i="29"/>
  <c r="EM48" i="29"/>
  <c r="EM50" i="29"/>
  <c r="EM41" i="29"/>
  <c r="EM52" i="29"/>
  <c r="DX101" i="29"/>
  <c r="DX103" i="29" s="1"/>
  <c r="D7" i="30" s="1"/>
  <c r="I42" i="30" s="1"/>
  <c r="EM32" i="29"/>
  <c r="DX89" i="29"/>
  <c r="EM34" i="29"/>
  <c r="EM49" i="29"/>
  <c r="EM15" i="29"/>
  <c r="EM24" i="29"/>
  <c r="EM21" i="29"/>
  <c r="EM27" i="29"/>
  <c r="EM17" i="29"/>
  <c r="EM43" i="29"/>
  <c r="EM54" i="29"/>
  <c r="EM51" i="29"/>
  <c r="EM9" i="29"/>
  <c r="EM39" i="29"/>
  <c r="H52" i="30"/>
  <c r="L52" i="30"/>
  <c r="EM22" i="29"/>
  <c r="EM16" i="29"/>
  <c r="EM6" i="29"/>
  <c r="G52" i="30"/>
  <c r="J52" i="30"/>
  <c r="E52" i="30"/>
  <c r="K52" i="30"/>
  <c r="F52" i="30"/>
  <c r="I52" i="30"/>
  <c r="EN29" i="29"/>
  <c r="EL36" i="29"/>
  <c r="EM36" i="29" s="1"/>
  <c r="EM55" i="29"/>
  <c r="EN39" i="29"/>
  <c r="EN55" i="29"/>
  <c r="EN56" i="29" s="1"/>
  <c r="EO34" i="29"/>
  <c r="EO36" i="29" s="1"/>
  <c r="FE34" i="29"/>
  <c r="FF34" i="29" s="1"/>
  <c r="FG34" i="29"/>
  <c r="EO55" i="29"/>
  <c r="EO56" i="29" s="1"/>
  <c r="FF35" i="29"/>
  <c r="FF52" i="29"/>
  <c r="FF54" i="29"/>
  <c r="FF33" i="29"/>
  <c r="FF51" i="29"/>
  <c r="FF29" i="29"/>
  <c r="FF53" i="29"/>
  <c r="EZ29" i="29"/>
  <c r="FF6" i="29"/>
  <c r="FF8" i="29"/>
  <c r="FF21" i="29"/>
  <c r="FF18" i="29"/>
  <c r="FF14" i="29"/>
  <c r="FF24" i="29"/>
  <c r="FF19" i="29"/>
  <c r="FF15" i="29"/>
  <c r="FF17" i="29"/>
  <c r="FF13" i="29"/>
  <c r="FF10" i="29"/>
  <c r="FF16" i="29"/>
  <c r="FF27" i="29"/>
  <c r="FF12" i="29"/>
  <c r="FF26" i="29"/>
  <c r="FF25" i="29"/>
  <c r="FF23" i="29"/>
  <c r="FF11" i="29"/>
  <c r="FF22" i="29"/>
  <c r="FF7" i="29"/>
  <c r="FF20" i="29"/>
  <c r="FF9" i="29"/>
  <c r="FG32" i="29"/>
  <c r="FG48" i="29"/>
  <c r="FG29" i="29"/>
  <c r="L24" i="30"/>
  <c r="L27" i="30" s="1"/>
  <c r="K27" i="30"/>
  <c r="FH49" i="29"/>
  <c r="FE55" i="29"/>
  <c r="FF55" i="29" s="1"/>
  <c r="FF48" i="29"/>
  <c r="FH50" i="29"/>
  <c r="FF49" i="29"/>
  <c r="FF28" i="29"/>
  <c r="EZ28" i="29"/>
  <c r="FF32" i="29"/>
  <c r="FH32" i="29"/>
  <c r="FH48" i="29"/>
  <c r="FF50" i="29"/>
  <c r="FH28" i="29"/>
  <c r="FH29" i="29" s="1"/>
  <c r="EN34" i="29"/>
  <c r="EN36" i="29" s="1"/>
  <c r="FG55" i="29"/>
  <c r="EO29" i="29"/>
  <c r="EP42" i="29" s="1"/>
  <c r="EM29" i="29" l="1"/>
  <c r="J42" i="30"/>
  <c r="J48" i="30" s="1"/>
  <c r="L42" i="30"/>
  <c r="L49" i="30" s="1"/>
  <c r="D42" i="30"/>
  <c r="D48" i="30" s="1"/>
  <c r="D8" i="30"/>
  <c r="E42" i="30"/>
  <c r="E44" i="30" s="1"/>
  <c r="K42" i="30"/>
  <c r="K49" i="30" s="1"/>
  <c r="F42" i="30"/>
  <c r="F48" i="30" s="1"/>
  <c r="H42" i="30"/>
  <c r="H44" i="30" s="1"/>
  <c r="G42" i="30"/>
  <c r="G49" i="30" s="1"/>
  <c r="FE36" i="29"/>
  <c r="FF36" i="29" s="1"/>
  <c r="FG36" i="29"/>
  <c r="FE56" i="29"/>
  <c r="FF56" i="29" s="1"/>
  <c r="K28" i="30"/>
  <c r="D28" i="30"/>
  <c r="L28" i="30"/>
  <c r="J28" i="30"/>
  <c r="I28" i="30"/>
  <c r="H28" i="30"/>
  <c r="G28" i="30"/>
  <c r="F28" i="30"/>
  <c r="E28" i="30"/>
  <c r="FI29" i="29"/>
  <c r="FI33" i="29"/>
  <c r="FI51" i="29"/>
  <c r="FI35" i="29"/>
  <c r="FI52" i="29"/>
  <c r="FI54" i="29"/>
  <c r="FI53" i="29"/>
  <c r="FI18" i="29"/>
  <c r="FI13" i="29"/>
  <c r="FI21" i="29"/>
  <c r="FI16" i="29"/>
  <c r="FI6" i="29"/>
  <c r="FI15" i="29"/>
  <c r="FI11" i="29"/>
  <c r="FI12" i="29"/>
  <c r="FI14" i="29"/>
  <c r="FI10" i="29"/>
  <c r="FI7" i="29"/>
  <c r="FI24" i="29"/>
  <c r="FI23" i="29"/>
  <c r="FI27" i="29"/>
  <c r="FI19" i="29"/>
  <c r="FI20" i="29"/>
  <c r="FI9" i="29"/>
  <c r="FI17" i="29"/>
  <c r="FI25" i="29"/>
  <c r="FI8" i="29"/>
  <c r="FI22" i="29"/>
  <c r="FI26" i="29"/>
  <c r="EP35" i="29"/>
  <c r="EP45" i="29"/>
  <c r="EP52" i="29"/>
  <c r="EP54" i="29"/>
  <c r="EP33" i="29"/>
  <c r="EP51" i="29"/>
  <c r="EP53" i="29"/>
  <c r="EP40" i="29"/>
  <c r="EP43" i="29"/>
  <c r="EP41" i="29"/>
  <c r="EP44" i="29"/>
  <c r="EP6" i="29"/>
  <c r="EP16" i="29"/>
  <c r="EP25" i="29"/>
  <c r="EP24" i="29"/>
  <c r="EP27" i="29"/>
  <c r="EP11" i="29"/>
  <c r="EP20" i="29"/>
  <c r="EP18" i="29"/>
  <c r="EP22" i="29"/>
  <c r="EP8" i="29"/>
  <c r="EP23" i="29"/>
  <c r="EP17" i="29"/>
  <c r="EP21" i="29"/>
  <c r="EP9" i="29"/>
  <c r="EP10" i="29"/>
  <c r="EP26" i="29"/>
  <c r="EP19" i="29"/>
  <c r="EP15" i="29"/>
  <c r="EP12" i="29"/>
  <c r="EP13" i="29"/>
  <c r="EP14" i="29"/>
  <c r="EP7" i="29"/>
  <c r="FH55" i="29"/>
  <c r="FI55" i="29" s="1"/>
  <c r="FI50" i="29"/>
  <c r="EP48" i="29"/>
  <c r="EP36" i="29"/>
  <c r="FG56" i="29"/>
  <c r="FI48" i="29"/>
  <c r="EP32" i="29"/>
  <c r="I128" i="30"/>
  <c r="E128" i="30"/>
  <c r="J128" i="30"/>
  <c r="F128" i="30"/>
  <c r="D128" i="30"/>
  <c r="K128" i="30"/>
  <c r="K31" i="30"/>
  <c r="L128" i="30"/>
  <c r="H128" i="30"/>
  <c r="G128" i="30"/>
  <c r="G44" i="30"/>
  <c r="I48" i="30"/>
  <c r="I49" i="30"/>
  <c r="I44" i="30"/>
  <c r="FI28" i="29"/>
  <c r="FI32" i="29"/>
  <c r="EP55" i="29"/>
  <c r="EP34" i="29"/>
  <c r="EP28" i="29"/>
  <c r="FH34" i="29"/>
  <c r="FI34" i="29" s="1"/>
  <c r="EP49" i="29"/>
  <c r="EP56" i="29"/>
  <c r="EP50" i="29"/>
  <c r="FI49" i="29"/>
  <c r="EP39" i="29"/>
  <c r="L48" i="30" l="1"/>
  <c r="J44" i="30"/>
  <c r="J49" i="30"/>
  <c r="J149" i="30" s="1"/>
  <c r="L44" i="30"/>
  <c r="D49" i="30"/>
  <c r="D149" i="30" s="1"/>
  <c r="F49" i="30"/>
  <c r="F53" i="30" s="1"/>
  <c r="D44" i="30"/>
  <c r="F44" i="30"/>
  <c r="H49" i="30"/>
  <c r="H149" i="30" s="1"/>
  <c r="H48" i="30"/>
  <c r="K44" i="30"/>
  <c r="E48" i="30"/>
  <c r="E49" i="30"/>
  <c r="E53" i="30" s="1"/>
  <c r="K48" i="30"/>
  <c r="G48" i="30"/>
  <c r="FH56" i="29"/>
  <c r="FI56" i="29" s="1"/>
  <c r="L149" i="30"/>
  <c r="L53" i="30"/>
  <c r="I53" i="30"/>
  <c r="I149" i="30"/>
  <c r="G53" i="30"/>
  <c r="G149" i="30"/>
  <c r="K34" i="30"/>
  <c r="L31" i="30"/>
  <c r="H53" i="30"/>
  <c r="K53" i="30"/>
  <c r="K149" i="30"/>
  <c r="FH36" i="29"/>
  <c r="FI36" i="29" s="1"/>
  <c r="EP29" i="29"/>
  <c r="J53" i="30" l="1"/>
  <c r="J60" i="30" s="1"/>
  <c r="D53" i="30"/>
  <c r="D54" i="30" s="1"/>
  <c r="F149" i="30"/>
  <c r="E149" i="30"/>
  <c r="K60" i="30"/>
  <c r="K54" i="30"/>
  <c r="G60" i="30"/>
  <c r="G54" i="30"/>
  <c r="L30" i="30"/>
  <c r="E43" i="30"/>
  <c r="I43" i="30"/>
  <c r="D43" i="30"/>
  <c r="J43" i="30"/>
  <c r="F43" i="30"/>
  <c r="H43" i="30"/>
  <c r="G43" i="30"/>
  <c r="K43" i="30"/>
  <c r="L43" i="30"/>
  <c r="H60" i="30"/>
  <c r="H54" i="30"/>
  <c r="I54" i="30"/>
  <c r="I60" i="30"/>
  <c r="L54" i="30"/>
  <c r="L60" i="30"/>
  <c r="E54" i="30"/>
  <c r="E60" i="30"/>
  <c r="F54" i="30"/>
  <c r="F60" i="30"/>
  <c r="J54" i="30" l="1"/>
  <c r="J61" i="30" s="1"/>
  <c r="J62" i="30" s="1"/>
  <c r="D60" i="30"/>
  <c r="E61" i="30"/>
  <c r="E62" i="30" s="1"/>
  <c r="K61" i="30"/>
  <c r="K62" i="30" s="1"/>
  <c r="G61" i="30"/>
  <c r="I61" i="30"/>
  <c r="I62" i="30" s="1"/>
  <c r="H61" i="30"/>
  <c r="H62" i="30" s="1"/>
  <c r="F61" i="30"/>
  <c r="F62" i="30" s="1"/>
  <c r="L61" i="30"/>
  <c r="D61" i="30"/>
  <c r="J66" i="30" l="1"/>
  <c r="J150" i="30"/>
  <c r="I66" i="30"/>
  <c r="I150" i="30"/>
  <c r="H66" i="30"/>
  <c r="H150" i="30"/>
  <c r="E66" i="30"/>
  <c r="E150" i="30"/>
  <c r="K66" i="30"/>
  <c r="K150" i="30"/>
  <c r="F150" i="30"/>
  <c r="F66" i="30"/>
  <c r="L62" i="30"/>
  <c r="D62" i="30"/>
  <c r="G62" i="30"/>
  <c r="K73" i="30" l="1"/>
  <c r="K67" i="30"/>
  <c r="E67" i="30"/>
  <c r="E73" i="30"/>
  <c r="I73" i="30"/>
  <c r="I67" i="30"/>
  <c r="L150" i="30"/>
  <c r="L66" i="30"/>
  <c r="G150" i="30"/>
  <c r="G66" i="30"/>
  <c r="D150" i="30"/>
  <c r="D66" i="30"/>
  <c r="F67" i="30"/>
  <c r="F73" i="30"/>
  <c r="H73" i="30"/>
  <c r="H67" i="30"/>
  <c r="J67" i="30"/>
  <c r="J73" i="30"/>
  <c r="L73" i="30" l="1"/>
  <c r="L67" i="30"/>
  <c r="D73" i="30"/>
  <c r="D67" i="30"/>
  <c r="E74" i="30"/>
  <c r="E75" i="30" s="1"/>
  <c r="J74" i="30"/>
  <c r="J75" i="30" s="1"/>
  <c r="F74" i="30"/>
  <c r="F75" i="30" s="1"/>
  <c r="H74" i="30"/>
  <c r="H75" i="30" s="1"/>
  <c r="G73" i="30"/>
  <c r="G67" i="30"/>
  <c r="I74" i="30"/>
  <c r="K74" i="30"/>
  <c r="K75" i="30" s="1"/>
  <c r="H79" i="30" l="1"/>
  <c r="H151" i="30"/>
  <c r="E79" i="30"/>
  <c r="E151" i="30"/>
  <c r="I75" i="30"/>
  <c r="G74" i="30"/>
  <c r="L74" i="30"/>
  <c r="L75" i="30" s="1"/>
  <c r="K151" i="30"/>
  <c r="K79" i="30"/>
  <c r="F79" i="30"/>
  <c r="F151" i="30"/>
  <c r="J79" i="30"/>
  <c r="J151" i="30"/>
  <c r="G75" i="30"/>
  <c r="D74" i="30"/>
  <c r="D75" i="30" s="1"/>
  <c r="D79" i="30" l="1"/>
  <c r="D151" i="30"/>
  <c r="K80" i="30"/>
  <c r="K86" i="30"/>
  <c r="J86" i="30"/>
  <c r="J80" i="30"/>
  <c r="I79" i="30"/>
  <c r="I151" i="30"/>
  <c r="E86" i="30"/>
  <c r="E80" i="30"/>
  <c r="L79" i="30"/>
  <c r="L151" i="30"/>
  <c r="G151" i="30"/>
  <c r="G79" i="30"/>
  <c r="F80" i="30"/>
  <c r="F86" i="30"/>
  <c r="H86" i="30"/>
  <c r="H80" i="30"/>
  <c r="L86" i="30" l="1"/>
  <c r="L80" i="30"/>
  <c r="E87" i="30"/>
  <c r="E88" i="30" s="1"/>
  <c r="J87" i="30"/>
  <c r="J88" i="30" s="1"/>
  <c r="K87" i="30"/>
  <c r="K88" i="30" s="1"/>
  <c r="I86" i="30"/>
  <c r="I80" i="30"/>
  <c r="F87" i="30"/>
  <c r="F88" i="30" s="1"/>
  <c r="H87" i="30"/>
  <c r="G80" i="30"/>
  <c r="G86" i="30"/>
  <c r="D86" i="30"/>
  <c r="D80" i="30"/>
  <c r="F92" i="30" l="1"/>
  <c r="F152" i="30"/>
  <c r="K92" i="30"/>
  <c r="K152" i="30"/>
  <c r="G87" i="30"/>
  <c r="G88" i="30" s="1"/>
  <c r="I87" i="30"/>
  <c r="J92" i="30"/>
  <c r="J152" i="30"/>
  <c r="D87" i="30"/>
  <c r="D88" i="30" s="1"/>
  <c r="E92" i="30"/>
  <c r="E152" i="30"/>
  <c r="L87" i="30"/>
  <c r="L88" i="30" s="1"/>
  <c r="H88" i="30"/>
  <c r="G92" i="30" l="1"/>
  <c r="G152" i="30"/>
  <c r="D92" i="30"/>
  <c r="D152" i="30"/>
  <c r="E99" i="30"/>
  <c r="E93" i="30"/>
  <c r="K99" i="30"/>
  <c r="K93" i="30"/>
  <c r="J99" i="30"/>
  <c r="J93" i="30"/>
  <c r="L92" i="30"/>
  <c r="L152" i="30"/>
  <c r="H92" i="30"/>
  <c r="H152" i="30"/>
  <c r="I88" i="30"/>
  <c r="F99" i="30"/>
  <c r="F93" i="30"/>
  <c r="H93" i="30" l="1"/>
  <c r="H99" i="30"/>
  <c r="K100" i="30"/>
  <c r="K101" i="30" s="1"/>
  <c r="J100" i="30"/>
  <c r="J101" i="30" s="1"/>
  <c r="D99" i="30"/>
  <c r="D93" i="30"/>
  <c r="I152" i="30"/>
  <c r="I92" i="30"/>
  <c r="L93" i="30"/>
  <c r="L99" i="30"/>
  <c r="E100" i="30"/>
  <c r="E101" i="30" s="1"/>
  <c r="F100" i="30"/>
  <c r="G93" i="30"/>
  <c r="G99" i="30"/>
  <c r="K105" i="30" l="1"/>
  <c r="K153" i="30"/>
  <c r="J153" i="30"/>
  <c r="J105" i="30"/>
  <c r="E153" i="30"/>
  <c r="E105" i="30"/>
  <c r="F101" i="30"/>
  <c r="I99" i="30"/>
  <c r="I93" i="30"/>
  <c r="G100" i="30"/>
  <c r="L100" i="30"/>
  <c r="L101" i="30" s="1"/>
  <c r="D100" i="30"/>
  <c r="H100" i="30"/>
  <c r="E106" i="30" l="1"/>
  <c r="E112" i="30"/>
  <c r="I100" i="30"/>
  <c r="F105" i="30"/>
  <c r="F153" i="30"/>
  <c r="D101" i="30"/>
  <c r="J112" i="30"/>
  <c r="J106" i="30"/>
  <c r="L105" i="30"/>
  <c r="L153" i="30"/>
  <c r="H101" i="30"/>
  <c r="G101" i="30"/>
  <c r="K112" i="30"/>
  <c r="K106" i="30"/>
  <c r="J113" i="30" l="1"/>
  <c r="J114" i="30" s="1"/>
  <c r="K113" i="30"/>
  <c r="K114" i="30" s="1"/>
  <c r="F112" i="30"/>
  <c r="F106" i="30"/>
  <c r="G105" i="30"/>
  <c r="G153" i="30"/>
  <c r="E113" i="30"/>
  <c r="E114" i="30" s="1"/>
  <c r="H105" i="30"/>
  <c r="H153" i="30"/>
  <c r="L106" i="30"/>
  <c r="L112" i="30"/>
  <c r="D153" i="30"/>
  <c r="D105" i="30"/>
  <c r="I101" i="30"/>
  <c r="L113" i="30" l="1"/>
  <c r="L114" i="30" s="1"/>
  <c r="F113" i="30"/>
  <c r="F114" i="30" s="1"/>
  <c r="J118" i="30"/>
  <c r="J154" i="30"/>
  <c r="J156" i="30" s="1"/>
  <c r="E154" i="30"/>
  <c r="E156" i="30" s="1"/>
  <c r="E118" i="30"/>
  <c r="D112" i="30"/>
  <c r="D106" i="30"/>
  <c r="I153" i="30"/>
  <c r="I105" i="30"/>
  <c r="H112" i="30"/>
  <c r="H106" i="30"/>
  <c r="K118" i="30"/>
  <c r="K154" i="30"/>
  <c r="K156" i="30" s="1"/>
  <c r="G112" i="30"/>
  <c r="G106" i="30"/>
  <c r="K119" i="30" l="1"/>
  <c r="K125" i="30"/>
  <c r="D113" i="30"/>
  <c r="D114" i="30" s="1"/>
  <c r="J125" i="30"/>
  <c r="J119" i="30"/>
  <c r="G113" i="30"/>
  <c r="H113" i="30"/>
  <c r="H114" i="30" s="1"/>
  <c r="L154" i="30"/>
  <c r="L156" i="30" s="1"/>
  <c r="L118" i="30"/>
  <c r="E125" i="30"/>
  <c r="E119" i="30"/>
  <c r="I106" i="30"/>
  <c r="I112" i="30"/>
  <c r="F118" i="30"/>
  <c r="F154" i="30"/>
  <c r="F156" i="30" s="1"/>
  <c r="D118" i="30" l="1"/>
  <c r="D154" i="30"/>
  <c r="D156" i="30" s="1"/>
  <c r="E131" i="30"/>
  <c r="E127" i="30"/>
  <c r="J127" i="30"/>
  <c r="J131" i="30"/>
  <c r="L119" i="30"/>
  <c r="L125" i="30"/>
  <c r="I113" i="30"/>
  <c r="I114" i="30" s="1"/>
  <c r="H154" i="30"/>
  <c r="H156" i="30" s="1"/>
  <c r="H118" i="30"/>
  <c r="K127" i="30"/>
  <c r="K131" i="30"/>
  <c r="K129" i="30"/>
  <c r="K130" i="30" s="1"/>
  <c r="K126" i="30"/>
  <c r="F125" i="30"/>
  <c r="F119" i="30"/>
  <c r="E129" i="30"/>
  <c r="E130" i="30" s="1"/>
  <c r="E126" i="30"/>
  <c r="J129" i="30"/>
  <c r="J130" i="30" s="1"/>
  <c r="J126" i="30"/>
  <c r="G114" i="30"/>
  <c r="I118" i="30" l="1"/>
  <c r="I154" i="30"/>
  <c r="I156" i="30" s="1"/>
  <c r="J133" i="30"/>
  <c r="E133" i="30"/>
  <c r="G118" i="30"/>
  <c r="G154" i="30"/>
  <c r="G156" i="30" s="1"/>
  <c r="F129" i="30"/>
  <c r="F130" i="30" s="1"/>
  <c r="F126" i="30"/>
  <c r="H119" i="30"/>
  <c r="H125" i="30"/>
  <c r="F127" i="30"/>
  <c r="F131" i="30"/>
  <c r="L131" i="30"/>
  <c r="L127" i="30"/>
  <c r="K133" i="30"/>
  <c r="L129" i="30"/>
  <c r="L130" i="30" s="1"/>
  <c r="L126" i="30"/>
  <c r="D125" i="30"/>
  <c r="D119" i="30"/>
  <c r="L133" i="30" l="1"/>
  <c r="L121" i="30" s="1"/>
  <c r="L144" i="30" s="1"/>
  <c r="H129" i="30"/>
  <c r="H130" i="30" s="1"/>
  <c r="H126" i="30"/>
  <c r="K132" i="30"/>
  <c r="K297" i="30"/>
  <c r="K56" i="30"/>
  <c r="K69" i="30"/>
  <c r="K82" i="30"/>
  <c r="K95" i="30"/>
  <c r="K108" i="30"/>
  <c r="K121" i="30"/>
  <c r="E132" i="30"/>
  <c r="E297" i="30"/>
  <c r="E56" i="30"/>
  <c r="E69" i="30"/>
  <c r="E82" i="30"/>
  <c r="E95" i="30"/>
  <c r="E108" i="30"/>
  <c r="E121" i="30"/>
  <c r="H131" i="30"/>
  <c r="H127" i="30"/>
  <c r="J132" i="30"/>
  <c r="J297" i="30"/>
  <c r="J56" i="30"/>
  <c r="J69" i="30"/>
  <c r="J82" i="30"/>
  <c r="J95" i="30"/>
  <c r="J108" i="30"/>
  <c r="J121" i="30"/>
  <c r="D129" i="30"/>
  <c r="D130" i="30" s="1"/>
  <c r="D126" i="30"/>
  <c r="D131" i="30"/>
  <c r="D127" i="30"/>
  <c r="F133" i="30"/>
  <c r="G119" i="30"/>
  <c r="G125" i="30"/>
  <c r="I125" i="30"/>
  <c r="I119" i="30"/>
  <c r="L56" i="30" l="1"/>
  <c r="L139" i="30" s="1"/>
  <c r="L108" i="30"/>
  <c r="L143" i="30" s="1"/>
  <c r="L297" i="30"/>
  <c r="L95" i="30"/>
  <c r="L142" i="30" s="1"/>
  <c r="L69" i="30"/>
  <c r="L82" i="30"/>
  <c r="L141" i="30" s="1"/>
  <c r="L132" i="30"/>
  <c r="L145" i="30" s="1"/>
  <c r="L122" i="30"/>
  <c r="H133" i="30"/>
  <c r="H121" i="30" s="1"/>
  <c r="H144" i="30" s="1"/>
  <c r="E143" i="30"/>
  <c r="E109" i="30"/>
  <c r="E139" i="30"/>
  <c r="E57" i="30"/>
  <c r="K109" i="30"/>
  <c r="K143" i="30"/>
  <c r="K57" i="30"/>
  <c r="K139" i="30"/>
  <c r="J142" i="30"/>
  <c r="J96" i="30"/>
  <c r="I131" i="30"/>
  <c r="I127" i="30"/>
  <c r="J141" i="30"/>
  <c r="J83" i="30"/>
  <c r="J145" i="30"/>
  <c r="J135" i="30"/>
  <c r="J136" i="30" s="1"/>
  <c r="E96" i="30"/>
  <c r="E142" i="30"/>
  <c r="K96" i="30"/>
  <c r="K142" i="30"/>
  <c r="I129" i="30"/>
  <c r="I130" i="30" s="1"/>
  <c r="I126" i="30"/>
  <c r="G127" i="30"/>
  <c r="G131" i="30"/>
  <c r="D133" i="30"/>
  <c r="J122" i="30"/>
  <c r="J144" i="30"/>
  <c r="J70" i="30"/>
  <c r="J140" i="30"/>
  <c r="E141" i="30"/>
  <c r="E83" i="30"/>
  <c r="E145" i="30"/>
  <c r="E135" i="30"/>
  <c r="E136" i="30" s="1"/>
  <c r="K141" i="30"/>
  <c r="K83" i="30"/>
  <c r="K135" i="30"/>
  <c r="K136" i="30" s="1"/>
  <c r="K145" i="30"/>
  <c r="F132" i="30"/>
  <c r="F297" i="30"/>
  <c r="F56" i="30"/>
  <c r="F69" i="30"/>
  <c r="F82" i="30"/>
  <c r="F95" i="30"/>
  <c r="F108" i="30"/>
  <c r="F121" i="30"/>
  <c r="G129" i="30"/>
  <c r="G130" i="30" s="1"/>
  <c r="G126" i="30"/>
  <c r="J143" i="30"/>
  <c r="J109" i="30"/>
  <c r="J139" i="30"/>
  <c r="J57" i="30"/>
  <c r="E144" i="30"/>
  <c r="E122" i="30"/>
  <c r="E70" i="30"/>
  <c r="E140" i="30"/>
  <c r="K144" i="30"/>
  <c r="K122" i="30"/>
  <c r="K70" i="30"/>
  <c r="K140" i="30"/>
  <c r="L109" i="30" l="1"/>
  <c r="J146" i="30"/>
  <c r="K146" i="30"/>
  <c r="E146" i="30"/>
  <c r="L96" i="30"/>
  <c r="L83" i="30"/>
  <c r="L57" i="30"/>
  <c r="L135" i="30"/>
  <c r="L136" i="30" s="1"/>
  <c r="L70" i="30"/>
  <c r="L140" i="30"/>
  <c r="L146" i="30" s="1"/>
  <c r="H56" i="30"/>
  <c r="H139" i="30" s="1"/>
  <c r="H108" i="30"/>
  <c r="H109" i="30" s="1"/>
  <c r="H95" i="30"/>
  <c r="H142" i="30" s="1"/>
  <c r="H297" i="30"/>
  <c r="H82" i="30"/>
  <c r="H141" i="30" s="1"/>
  <c r="H132" i="30"/>
  <c r="H145" i="30" s="1"/>
  <c r="H69" i="30"/>
  <c r="H140" i="30" s="1"/>
  <c r="H122" i="30"/>
  <c r="F142" i="30"/>
  <c r="F96" i="30"/>
  <c r="J163" i="30"/>
  <c r="J165" i="30"/>
  <c r="J167" i="30"/>
  <c r="J161" i="30"/>
  <c r="J162" i="30"/>
  <c r="J166" i="30"/>
  <c r="J164" i="30"/>
  <c r="J168" i="30"/>
  <c r="J293" i="30"/>
  <c r="J284" i="30"/>
  <c r="J294" i="30"/>
  <c r="J290" i="30"/>
  <c r="J295" i="30"/>
  <c r="J280" i="30"/>
  <c r="J283" i="30"/>
  <c r="J282" i="30"/>
  <c r="J296" i="30"/>
  <c r="J292" i="30"/>
  <c r="J276" i="30"/>
  <c r="J281" i="30"/>
  <c r="J289" i="30"/>
  <c r="J285" i="30"/>
  <c r="J277" i="30"/>
  <c r="J287" i="30"/>
  <c r="J288" i="30"/>
  <c r="J286" i="30"/>
  <c r="J291" i="30"/>
  <c r="J278" i="30"/>
  <c r="J279" i="30"/>
  <c r="F141" i="30"/>
  <c r="F83" i="30"/>
  <c r="F145" i="30"/>
  <c r="F135" i="30"/>
  <c r="F136" i="30" s="1"/>
  <c r="F122" i="30"/>
  <c r="F144" i="30"/>
  <c r="F70" i="30"/>
  <c r="F140" i="30"/>
  <c r="D132" i="30"/>
  <c r="D297" i="30"/>
  <c r="D56" i="30"/>
  <c r="D69" i="30"/>
  <c r="D82" i="30"/>
  <c r="D95" i="30"/>
  <c r="D108" i="30"/>
  <c r="D121" i="30"/>
  <c r="E161" i="30"/>
  <c r="E162" i="30"/>
  <c r="E164" i="30"/>
  <c r="E166" i="30"/>
  <c r="E168" i="30"/>
  <c r="E163" i="30"/>
  <c r="E167" i="30"/>
  <c r="E165" i="30"/>
  <c r="E292" i="30"/>
  <c r="E276" i="30"/>
  <c r="E291" i="30"/>
  <c r="E288" i="30"/>
  <c r="E289" i="30"/>
  <c r="E283" i="30"/>
  <c r="E287" i="30"/>
  <c r="E280" i="30"/>
  <c r="E284" i="30"/>
  <c r="E278" i="30"/>
  <c r="E279" i="30"/>
  <c r="E285" i="30"/>
  <c r="E286" i="30"/>
  <c r="E277" i="30"/>
  <c r="E282" i="30"/>
  <c r="E296" i="30"/>
  <c r="E294" i="30"/>
  <c r="E281" i="30"/>
  <c r="E295" i="30"/>
  <c r="E293" i="30"/>
  <c r="E290" i="30"/>
  <c r="F109" i="30"/>
  <c r="F143" i="30"/>
  <c r="F139" i="30"/>
  <c r="F57" i="30"/>
  <c r="G133" i="30"/>
  <c r="I133" i="30"/>
  <c r="K162" i="30"/>
  <c r="K164" i="30"/>
  <c r="K166" i="30"/>
  <c r="K168" i="30"/>
  <c r="K161" i="30"/>
  <c r="K165" i="30"/>
  <c r="K163" i="30"/>
  <c r="K167" i="30"/>
  <c r="K278" i="30"/>
  <c r="K279" i="30"/>
  <c r="K283" i="30"/>
  <c r="K286" i="30"/>
  <c r="K282" i="30"/>
  <c r="K296" i="30"/>
  <c r="K295" i="30"/>
  <c r="K277" i="30"/>
  <c r="K287" i="30"/>
  <c r="K291" i="30"/>
  <c r="K293" i="30"/>
  <c r="K284" i="30"/>
  <c r="K294" i="30"/>
  <c r="K290" i="30"/>
  <c r="K292" i="30"/>
  <c r="K276" i="30"/>
  <c r="K281" i="30"/>
  <c r="K288" i="30"/>
  <c r="K280" i="30"/>
  <c r="K289" i="30"/>
  <c r="K285" i="30"/>
  <c r="K299" i="30" l="1"/>
  <c r="K300" i="30" s="1"/>
  <c r="F146" i="30"/>
  <c r="E299" i="30"/>
  <c r="E300" i="30" s="1"/>
  <c r="J299" i="30"/>
  <c r="J300" i="30" s="1"/>
  <c r="L164" i="30"/>
  <c r="L190" i="30" s="1"/>
  <c r="L286" i="30"/>
  <c r="H57" i="30"/>
  <c r="L163" i="30"/>
  <c r="L189" i="30" s="1"/>
  <c r="L280" i="30"/>
  <c r="L292" i="30"/>
  <c r="L277" i="30"/>
  <c r="L284" i="30"/>
  <c r="L166" i="30"/>
  <c r="L204" i="30" s="1"/>
  <c r="L293" i="30"/>
  <c r="L288" i="30"/>
  <c r="L290" i="30"/>
  <c r="L296" i="30"/>
  <c r="L278" i="30"/>
  <c r="L291" i="30"/>
  <c r="L285" i="30"/>
  <c r="L161" i="30"/>
  <c r="L187" i="30" s="1"/>
  <c r="L165" i="30"/>
  <c r="L191" i="30" s="1"/>
  <c r="L295" i="30"/>
  <c r="L279" i="30"/>
  <c r="L283" i="30"/>
  <c r="L162" i="30"/>
  <c r="L200" i="30" s="1"/>
  <c r="L167" i="30"/>
  <c r="L205" i="30" s="1"/>
  <c r="H96" i="30"/>
  <c r="L281" i="30"/>
  <c r="L294" i="30"/>
  <c r="L282" i="30"/>
  <c r="L276" i="30"/>
  <c r="L287" i="30"/>
  <c r="L289" i="30"/>
  <c r="L168" i="30"/>
  <c r="L206" i="30" s="1"/>
  <c r="H143" i="30"/>
  <c r="H146" i="30" s="1"/>
  <c r="H135" i="30"/>
  <c r="H136" i="30" s="1"/>
  <c r="H70" i="30"/>
  <c r="H83" i="30"/>
  <c r="K193" i="30"/>
  <c r="K205" i="30"/>
  <c r="I132" i="30"/>
  <c r="I297" i="30"/>
  <c r="I56" i="30"/>
  <c r="I69" i="30"/>
  <c r="I82" i="30"/>
  <c r="I95" i="30"/>
  <c r="I108" i="30"/>
  <c r="I121" i="30"/>
  <c r="E191" i="30"/>
  <c r="E203" i="30"/>
  <c r="E192" i="30"/>
  <c r="E204" i="30"/>
  <c r="D144" i="30"/>
  <c r="D122" i="30"/>
  <c r="D140" i="30"/>
  <c r="D70" i="30"/>
  <c r="J190" i="30"/>
  <c r="J202" i="30"/>
  <c r="J193" i="30"/>
  <c r="J205" i="30"/>
  <c r="K187" i="30"/>
  <c r="K199" i="30"/>
  <c r="K169" i="30"/>
  <c r="K180" i="30" s="1"/>
  <c r="D141" i="30"/>
  <c r="D83" i="30"/>
  <c r="J169" i="30"/>
  <c r="J178" i="30" s="1"/>
  <c r="J187" i="30"/>
  <c r="J199" i="30"/>
  <c r="K189" i="30"/>
  <c r="K201" i="30"/>
  <c r="E193" i="30"/>
  <c r="E205" i="30"/>
  <c r="E190" i="30"/>
  <c r="E202" i="30"/>
  <c r="D109" i="30"/>
  <c r="D143" i="30"/>
  <c r="D139" i="30"/>
  <c r="D57" i="30"/>
  <c r="J192" i="30"/>
  <c r="J204" i="30"/>
  <c r="J203" i="30"/>
  <c r="J191" i="30"/>
  <c r="K188" i="30"/>
  <c r="K200" i="30"/>
  <c r="E206" i="30"/>
  <c r="E169" i="30"/>
  <c r="E174" i="30" s="1"/>
  <c r="E187" i="30"/>
  <c r="E199" i="30"/>
  <c r="D135" i="30"/>
  <c r="D136" i="30" s="1"/>
  <c r="D12" i="30" s="1"/>
  <c r="D145" i="30"/>
  <c r="J206" i="30"/>
  <c r="K206" i="30"/>
  <c r="K192" i="30"/>
  <c r="K204" i="30"/>
  <c r="G132" i="30"/>
  <c r="G297" i="30"/>
  <c r="G56" i="30"/>
  <c r="G69" i="30"/>
  <c r="G82" i="30"/>
  <c r="G95" i="30"/>
  <c r="G108" i="30"/>
  <c r="G121" i="30"/>
  <c r="K191" i="30"/>
  <c r="K203" i="30"/>
  <c r="K190" i="30"/>
  <c r="K202" i="30"/>
  <c r="F163" i="30"/>
  <c r="F165" i="30"/>
  <c r="F167" i="30"/>
  <c r="F161" i="30"/>
  <c r="F162" i="30"/>
  <c r="F166" i="30"/>
  <c r="F164" i="30"/>
  <c r="F168" i="30"/>
  <c r="F293" i="30"/>
  <c r="F284" i="30"/>
  <c r="F294" i="30"/>
  <c r="F281" i="30"/>
  <c r="F290" i="30"/>
  <c r="F295" i="30"/>
  <c r="F280" i="30"/>
  <c r="F286" i="30"/>
  <c r="F277" i="30"/>
  <c r="F296" i="30"/>
  <c r="F292" i="30"/>
  <c r="F276" i="30"/>
  <c r="F283" i="30"/>
  <c r="F291" i="30"/>
  <c r="F289" i="30"/>
  <c r="F287" i="30"/>
  <c r="F288" i="30"/>
  <c r="F278" i="30"/>
  <c r="F279" i="30"/>
  <c r="F285" i="30"/>
  <c r="F282" i="30"/>
  <c r="E189" i="30"/>
  <c r="E201" i="30"/>
  <c r="E188" i="30"/>
  <c r="E200" i="30"/>
  <c r="D142" i="30"/>
  <c r="D96" i="30"/>
  <c r="J188" i="30"/>
  <c r="J200" i="30"/>
  <c r="J189" i="30"/>
  <c r="J201" i="30"/>
  <c r="J179" i="30" l="1"/>
  <c r="L203" i="30"/>
  <c r="L193" i="30"/>
  <c r="L188" i="30"/>
  <c r="L299" i="30"/>
  <c r="L300" i="30" s="1"/>
  <c r="F299" i="30"/>
  <c r="F300" i="30" s="1"/>
  <c r="D146" i="30"/>
  <c r="L202" i="30"/>
  <c r="L201" i="30"/>
  <c r="E176" i="30"/>
  <c r="J175" i="30"/>
  <c r="J181" i="30"/>
  <c r="L192" i="30"/>
  <c r="L169" i="30"/>
  <c r="L175" i="30" s="1"/>
  <c r="H284" i="30"/>
  <c r="L199" i="30"/>
  <c r="H163" i="30"/>
  <c r="H201" i="30" s="1"/>
  <c r="H161" i="30"/>
  <c r="H187" i="30" s="1"/>
  <c r="E175" i="30"/>
  <c r="H279" i="30"/>
  <c r="H165" i="30"/>
  <c r="H191" i="30" s="1"/>
  <c r="H167" i="30"/>
  <c r="H193" i="30" s="1"/>
  <c r="H280" i="30"/>
  <c r="H291" i="30"/>
  <c r="H285" i="30"/>
  <c r="H276" i="30"/>
  <c r="H293" i="30"/>
  <c r="H288" i="30"/>
  <c r="H168" i="30"/>
  <c r="H206" i="30" s="1"/>
  <c r="H292" i="30"/>
  <c r="H294" i="30"/>
  <c r="H282" i="30"/>
  <c r="H281" i="30"/>
  <c r="H287" i="30"/>
  <c r="H166" i="30"/>
  <c r="H192" i="30" s="1"/>
  <c r="H164" i="30"/>
  <c r="H190" i="30" s="1"/>
  <c r="H290" i="30"/>
  <c r="H278" i="30"/>
  <c r="H289" i="30"/>
  <c r="H295" i="30"/>
  <c r="H283" i="30"/>
  <c r="H286" i="30"/>
  <c r="H296" i="30"/>
  <c r="H277" i="30"/>
  <c r="H162" i="30"/>
  <c r="H188" i="30" s="1"/>
  <c r="J174" i="30"/>
  <c r="J176" i="30"/>
  <c r="K178" i="30"/>
  <c r="E181" i="30"/>
  <c r="K179" i="30"/>
  <c r="J180" i="30"/>
  <c r="K177" i="30"/>
  <c r="K181" i="30"/>
  <c r="E178" i="30"/>
  <c r="F206" i="30"/>
  <c r="G96" i="30"/>
  <c r="G142" i="30"/>
  <c r="I141" i="30"/>
  <c r="I83" i="30"/>
  <c r="F190" i="30"/>
  <c r="F202" i="30"/>
  <c r="F193" i="30"/>
  <c r="F205" i="30"/>
  <c r="G141" i="30"/>
  <c r="G83" i="30"/>
  <c r="G135" i="30"/>
  <c r="G136" i="30" s="1"/>
  <c r="G145" i="30"/>
  <c r="K174" i="30"/>
  <c r="I144" i="30"/>
  <c r="I122" i="30"/>
  <c r="I140" i="30"/>
  <c r="I70" i="30"/>
  <c r="D163" i="30"/>
  <c r="D165" i="30"/>
  <c r="D167" i="30"/>
  <c r="D164" i="30"/>
  <c r="D168" i="30"/>
  <c r="D161" i="30"/>
  <c r="D162" i="30"/>
  <c r="D166" i="30"/>
  <c r="D289" i="30"/>
  <c r="D283" i="30"/>
  <c r="D287" i="30"/>
  <c r="D288" i="30"/>
  <c r="D280" i="30"/>
  <c r="D278" i="30"/>
  <c r="D279" i="30"/>
  <c r="D285" i="30"/>
  <c r="D286" i="30"/>
  <c r="D277" i="30"/>
  <c r="D282" i="30"/>
  <c r="D296" i="30"/>
  <c r="D293" i="30"/>
  <c r="D284" i="30"/>
  <c r="D294" i="30"/>
  <c r="D281" i="30"/>
  <c r="D290" i="30"/>
  <c r="D295" i="30"/>
  <c r="D276" i="30"/>
  <c r="D291" i="30"/>
  <c r="D292" i="30"/>
  <c r="F191" i="30"/>
  <c r="F203" i="30"/>
  <c r="G144" i="30"/>
  <c r="G122" i="30"/>
  <c r="G70" i="30"/>
  <c r="G140" i="30"/>
  <c r="E182" i="30"/>
  <c r="E194" i="30"/>
  <c r="E207" i="30"/>
  <c r="E177" i="30"/>
  <c r="K207" i="30"/>
  <c r="K182" i="30"/>
  <c r="K194" i="30"/>
  <c r="I143" i="30"/>
  <c r="I109" i="30"/>
  <c r="I57" i="30"/>
  <c r="I139" i="30"/>
  <c r="F199" i="30"/>
  <c r="F169" i="30"/>
  <c r="F175" i="30" s="1"/>
  <c r="F187" i="30"/>
  <c r="I145" i="30"/>
  <c r="I135" i="30"/>
  <c r="I136" i="30" s="1"/>
  <c r="F192" i="30"/>
  <c r="F204" i="30"/>
  <c r="F188" i="30"/>
  <c r="F200" i="30"/>
  <c r="F189" i="30"/>
  <c r="F201" i="30"/>
  <c r="G109" i="30"/>
  <c r="G143" i="30"/>
  <c r="G57" i="30"/>
  <c r="G139" i="30"/>
  <c r="K175" i="30"/>
  <c r="E180" i="30"/>
  <c r="K176" i="30"/>
  <c r="J182" i="30"/>
  <c r="J194" i="30"/>
  <c r="J207" i="30"/>
  <c r="J177" i="30"/>
  <c r="E179" i="30"/>
  <c r="I96" i="30"/>
  <c r="I142" i="30"/>
  <c r="H189" i="30" l="1"/>
  <c r="D299" i="30"/>
  <c r="D300" i="30" s="1"/>
  <c r="I146" i="30"/>
  <c r="G146" i="30"/>
  <c r="H299" i="30"/>
  <c r="H300" i="30" s="1"/>
  <c r="L179" i="30"/>
  <c r="L181" i="30"/>
  <c r="L194" i="30"/>
  <c r="L177" i="30"/>
  <c r="L207" i="30"/>
  <c r="L180" i="30"/>
  <c r="L178" i="30"/>
  <c r="L182" i="30"/>
  <c r="L174" i="30"/>
  <c r="L176" i="30"/>
  <c r="H169" i="30"/>
  <c r="H180" i="30" s="1"/>
  <c r="H205" i="30"/>
  <c r="H204" i="30"/>
  <c r="H199" i="30"/>
  <c r="H203" i="30"/>
  <c r="H202" i="30"/>
  <c r="H200" i="30"/>
  <c r="F207" i="30"/>
  <c r="F182" i="30"/>
  <c r="F194" i="30"/>
  <c r="D188" i="30"/>
  <c r="D200" i="30"/>
  <c r="D193" i="30"/>
  <c r="D205" i="30"/>
  <c r="F177" i="30"/>
  <c r="F178" i="30"/>
  <c r="D169" i="30"/>
  <c r="D174" i="30" s="1"/>
  <c r="D187" i="30"/>
  <c r="D199" i="30"/>
  <c r="D191" i="30"/>
  <c r="D203" i="30"/>
  <c r="G162" i="30"/>
  <c r="G164" i="30"/>
  <c r="G166" i="30"/>
  <c r="G168" i="30"/>
  <c r="G165" i="30"/>
  <c r="G161" i="30"/>
  <c r="G163" i="30"/>
  <c r="G167" i="30"/>
  <c r="G278" i="30"/>
  <c r="G279" i="30"/>
  <c r="G285" i="30"/>
  <c r="G286" i="30"/>
  <c r="G277" i="30"/>
  <c r="G282" i="30"/>
  <c r="G296" i="30"/>
  <c r="G288" i="30"/>
  <c r="G293" i="30"/>
  <c r="G284" i="30"/>
  <c r="G294" i="30"/>
  <c r="G281" i="30"/>
  <c r="G290" i="30"/>
  <c r="G291" i="30"/>
  <c r="G295" i="30"/>
  <c r="G292" i="30"/>
  <c r="G276" i="30"/>
  <c r="G283" i="30"/>
  <c r="G287" i="30"/>
  <c r="G280" i="30"/>
  <c r="G289" i="30"/>
  <c r="D206" i="30"/>
  <c r="D189" i="30"/>
  <c r="D201" i="30"/>
  <c r="F176" i="30"/>
  <c r="F179" i="30"/>
  <c r="F174" i="30"/>
  <c r="I161" i="30"/>
  <c r="I162" i="30"/>
  <c r="I164" i="30"/>
  <c r="I166" i="30"/>
  <c r="I168" i="30"/>
  <c r="I163" i="30"/>
  <c r="I167" i="30"/>
  <c r="I165" i="30"/>
  <c r="I292" i="30"/>
  <c r="I276" i="30"/>
  <c r="I281" i="30"/>
  <c r="I280" i="30"/>
  <c r="I284" i="30"/>
  <c r="I290" i="30"/>
  <c r="I295" i="30"/>
  <c r="I289" i="30"/>
  <c r="I285" i="30"/>
  <c r="I277" i="30"/>
  <c r="I287" i="30"/>
  <c r="I288" i="30"/>
  <c r="I294" i="30"/>
  <c r="I278" i="30"/>
  <c r="I279" i="30"/>
  <c r="I286" i="30"/>
  <c r="I282" i="30"/>
  <c r="I291" i="30"/>
  <c r="I296" i="30"/>
  <c r="I283" i="30"/>
  <c r="I293" i="30"/>
  <c r="D192" i="30"/>
  <c r="D204" i="30"/>
  <c r="D190" i="30"/>
  <c r="D202" i="30"/>
  <c r="F180" i="30"/>
  <c r="F181" i="30"/>
  <c r="I299" i="30" l="1"/>
  <c r="I300" i="30" s="1"/>
  <c r="G299" i="30"/>
  <c r="G300" i="30" s="1"/>
  <c r="D181" i="30"/>
  <c r="H194" i="30"/>
  <c r="H179" i="30"/>
  <c r="H176" i="30"/>
  <c r="H177" i="30"/>
  <c r="H181" i="30"/>
  <c r="H207" i="30"/>
  <c r="H178" i="30"/>
  <c r="H175" i="30"/>
  <c r="H182" i="30"/>
  <c r="H174" i="30"/>
  <c r="D179" i="30"/>
  <c r="D177" i="30"/>
  <c r="D176" i="30"/>
  <c r="D175" i="30"/>
  <c r="D178" i="30"/>
  <c r="I193" i="30"/>
  <c r="I205" i="30"/>
  <c r="I189" i="30"/>
  <c r="I201" i="30"/>
  <c r="I188" i="30"/>
  <c r="I200" i="30"/>
  <c r="G189" i="30"/>
  <c r="G201" i="30"/>
  <c r="G192" i="30"/>
  <c r="G204" i="30"/>
  <c r="D180" i="30"/>
  <c r="G206" i="30"/>
  <c r="I206" i="30"/>
  <c r="I169" i="30"/>
  <c r="I180" i="30" s="1"/>
  <c r="I187" i="30"/>
  <c r="I199" i="30"/>
  <c r="G187" i="30"/>
  <c r="G199" i="30"/>
  <c r="G169" i="30"/>
  <c r="G175" i="30" s="1"/>
  <c r="G190" i="30"/>
  <c r="G202" i="30"/>
  <c r="I190" i="30"/>
  <c r="I202" i="30"/>
  <c r="G193" i="30"/>
  <c r="G205" i="30"/>
  <c r="I191" i="30"/>
  <c r="I203" i="30"/>
  <c r="I192" i="30"/>
  <c r="I204" i="30"/>
  <c r="G191" i="30"/>
  <c r="G203" i="30"/>
  <c r="G188" i="30"/>
  <c r="G200" i="30"/>
  <c r="D182" i="30"/>
  <c r="D194" i="30"/>
  <c r="D207" i="30"/>
  <c r="I176" i="30" l="1"/>
  <c r="I178" i="30"/>
  <c r="I181" i="30"/>
  <c r="I179" i="30"/>
  <c r="I177" i="30"/>
  <c r="I174" i="30"/>
  <c r="I175" i="30"/>
  <c r="G207" i="30"/>
  <c r="G194" i="30"/>
  <c r="G182" i="30"/>
  <c r="G176" i="30"/>
  <c r="G178" i="30"/>
  <c r="G180" i="30"/>
  <c r="G177" i="30"/>
  <c r="G174" i="30"/>
  <c r="I182" i="30"/>
  <c r="I194" i="30"/>
  <c r="I207" i="30"/>
  <c r="G181" i="30"/>
  <c r="G179" i="30"/>
</calcChain>
</file>

<file path=xl/sharedStrings.xml><?xml version="1.0" encoding="utf-8"?>
<sst xmlns="http://schemas.openxmlformats.org/spreadsheetml/2006/main" count="2785" uniqueCount="706">
  <si>
    <t>Total Common</t>
  </si>
  <si>
    <t>Co-Founder 1</t>
  </si>
  <si>
    <t>"Round" could be Seed, Friends and Family, etc. This is only used for labeling, it doesn't automatically change variables in the model.</t>
  </si>
  <si>
    <t>This sample cap table is created for entrepreneurs, not investors (investors, if you want a full portfolio prediction model, check out http://foresight.is/venture-fund-model )</t>
  </si>
  <si>
    <t>Therefore, I took a couple simplifying assumptions in terms of how each round is allocated among investors, because for the purposes of the math behind this sample model, it doesn't matter.</t>
  </si>
  <si>
    <t>If you want to create a cap table that accurately projects the ownership of all your investors and their varying potential pro-ratas, ownership, etc., there's a couple options:</t>
  </si>
  <si>
    <t>a) Extend this model by creating new lines in the cap table to create spaces for each of your investors</t>
  </si>
  <si>
    <t>As a reminder, this model is created to be a sample cap table to help you understand how a cap table works, and how ownership is impacted by investment rounds and valuations.</t>
  </si>
  <si>
    <t>b) Use a cap table management software to keep accurate details of your cap table. For suggestions, see next question.</t>
  </si>
  <si>
    <t>Should I use this to manage my cap table?</t>
  </si>
  <si>
    <t>How do I get started?</t>
  </si>
  <si>
    <t>- Capshare (http://www.capshare.com)</t>
  </si>
  <si>
    <t>The model accounts for a number of "rounds". You could choose for this to be multiple notes (with different caps), or for just a simple set of rounds.</t>
  </si>
  <si>
    <t>by Foresight</t>
  </si>
  <si>
    <t>Options - Granted</t>
  </si>
  <si>
    <t>% Discount Rate</t>
  </si>
  <si>
    <t>NEED HELP?</t>
  </si>
  <si>
    <t>A couple simplifying assumptions are built into the model.</t>
  </si>
  <si>
    <t>- Captable (https://captable.io/ )</t>
  </si>
  <si>
    <t>Price per Share</t>
  </si>
  <si>
    <t>Total</t>
  </si>
  <si>
    <t>Common</t>
  </si>
  <si>
    <t>Options</t>
  </si>
  <si>
    <t>Total Proceeds</t>
  </si>
  <si>
    <t>Why do you not break out all potential investors?</t>
  </si>
  <si>
    <t>Founding</t>
  </si>
  <si>
    <t>Seed</t>
  </si>
  <si>
    <t>na</t>
  </si>
  <si>
    <t>Liquidation Preferences</t>
  </si>
  <si>
    <t>Option Pool</t>
  </si>
  <si>
    <t>CHANGELOG</t>
  </si>
  <si>
    <t>New version! Completely rebuilt from the ground-up to accomplish a couple key goals:</t>
  </si>
  <si>
    <t>Preferred</t>
  </si>
  <si>
    <t>A</t>
  </si>
  <si>
    <t>B</t>
  </si>
  <si>
    <t>C</t>
  </si>
  <si>
    <t>D</t>
  </si>
  <si>
    <t>E</t>
  </si>
  <si>
    <t>Share</t>
  </si>
  <si>
    <t>% Ownership</t>
  </si>
  <si>
    <t>Date</t>
  </si>
  <si>
    <t>hello@foresight.is / @foresighthq / @tdavidson</t>
  </si>
  <si>
    <t>Questions, comments, ideas, email hello@foresight.is</t>
  </si>
  <si>
    <t>GOAL</t>
  </si>
  <si>
    <t>UPDATES</t>
  </si>
  <si>
    <t>DOCUMENTATION</t>
  </si>
  <si>
    <t>HOW TO USE</t>
  </si>
  <si>
    <t>4) All assumptions are illustrative ONLY, do not assume they are market data or standard unless specifically noted</t>
  </si>
  <si>
    <t>For support questions, email hello@foresight.is anytime. For assistance in leveraging the models for individualized, personalized models to fit your business questions, details at https://foresight.is/services</t>
  </si>
  <si>
    <t>Purchase, download, or use of this model signifies acceptance of terms specified at https://foresight.is/terms</t>
  </si>
  <si>
    <t>%</t>
  </si>
  <si>
    <t>Option Pool - Available, Ungranted</t>
  </si>
  <si>
    <t>Term for the Primary Instrument</t>
  </si>
  <si>
    <t>Example: First Issuance of an Equity Round</t>
  </si>
  <si>
    <t>What to pay attention to:</t>
  </si>
  <si>
    <t>Shareholder</t>
  </si>
  <si>
    <t>When more detail is required and investors request full cap tables, and the deal is evolved enough where it makes sense, then I usually share a more detailed cap table that shows individual shareholders and their positions.</t>
  </si>
  <si>
    <t>Co-Founder</t>
  </si>
  <si>
    <t>This is an simplified example cap table, provided to help explain the mechanics involved in particular types of transactions.</t>
  </si>
  <si>
    <t>Employee</t>
  </si>
  <si>
    <t>Seed Investor</t>
  </si>
  <si>
    <t>$ Investment Amount</t>
  </si>
  <si>
    <t>$ Share Price</t>
  </si>
  <si>
    <t>$ Ownership Value</t>
  </si>
  <si>
    <t>Seed Investor 2</t>
  </si>
  <si>
    <t>Seed Round</t>
  </si>
  <si>
    <t>$ Premoney Valuation</t>
  </si>
  <si>
    <t>$ Total Invested</t>
  </si>
  <si>
    <t>General structure notes:</t>
  </si>
  <si>
    <t>As noted in the README, the standard methodology for all Foresight models is for inputs - numbers that can be input into the model - are blue text and grey background, and numbers that are the result of formulas are in black.</t>
  </si>
  <si>
    <t>You can change the numbers in the inputs without worrying about the model working: change or overwrite numbers in black only if you know what you are doing.</t>
  </si>
  <si>
    <t>I don't usually round numbers off in models, although often in financing documents share prices are rounded off to a number of significant digits, often 5.</t>
  </si>
  <si>
    <t>I use the IFERROR formula simply to remove the DIV/0 errors and others that result from certain things not being used. Nothing special, just something that makes things look nicer.</t>
  </si>
  <si>
    <t>[1] The initial setup is for the share register before the round of investment. For simplicity's sake, I'm assuming that only common stock is issued so far (no options, no warrants, no notes, etc.).</t>
  </si>
  <si>
    <t>[2] The shares represent fully-diluted shares: not the shares authorized, but the shares that are issued or are contractually obligated to issue. I.e. options count toward fully-diluted shares, authorized but unissued shares to not.</t>
  </si>
  <si>
    <t>[3] The share price is calculated by dividing the premoney valuation by the number of fully-diluted shares outstanding to date. This sets the price for the shares to be issued, which are then issued and sold to the new investor.</t>
  </si>
  <si>
    <t>[4] Issuing the new shares dilutes the existing shareholders (their % ownership goes down), but the math can still result in the shareholder's gaining more overall value if the share prices are going up.</t>
  </si>
  <si>
    <t>General note about creating and sharing cap tables:</t>
  </si>
  <si>
    <t>[1]</t>
  </si>
  <si>
    <t>[5]</t>
  </si>
  <si>
    <t>[4]</t>
  </si>
  <si>
    <t>[3]</t>
  </si>
  <si>
    <t>[2]</t>
  </si>
  <si>
    <t>[6]</t>
  </si>
  <si>
    <t>[5] The premoney valuation is the value of the company before the investment goes into the company; the postmoney valuation is the value of the company after the investment. Usually, the postmoney = the premoney + the amount invested, noting that conversions of notes and other instruments alters that.</t>
  </si>
  <si>
    <t>[6] The total ownership value after the financing should equal the postmoney valuation.</t>
  </si>
  <si>
    <t>[7] When creating cap tables for financial models that are shared with people, I generally do not show the exact share ownership of every single investor, but choose to group them together (founders, employees, Seed investors, etc.)</t>
  </si>
  <si>
    <t>[7]</t>
  </si>
  <si>
    <t>GUIDE TO THE MODEL</t>
  </si>
  <si>
    <t>A Round</t>
  </si>
  <si>
    <t>[2] The share price calculation - and issuance of new shares - does not include any protections around down rounds or ratchets for the investors, so just know that it would be different if the valuation for the second round is down from the first round.</t>
  </si>
  <si>
    <t>A Investor</t>
  </si>
  <si>
    <t>[1] This example builds on the first equity issuance to show what happens with a second round of equity. This assumes through the inputs that one of the original investors participate in the next round, have prorata rights to maintain their ownership %, and utilize their full prorata rights to invest in the second round.</t>
  </si>
  <si>
    <t>[3] This model doesn't care if the investors are issued preferred or common shares - and it doesn't matter for ownership % - but does have many other impacts on control of the company.</t>
  </si>
  <si>
    <t>% of Company sold</t>
  </si>
  <si>
    <t>Example: Second Issuance of an Equity Round</t>
  </si>
  <si>
    <t>$ Valuation Cap</t>
  </si>
  <si>
    <t>Example: First Issuance of a Convertible Note or SAFE</t>
  </si>
  <si>
    <t>[1] Notice the difference with the issuance of a convertible note or SAFE. The investment comes in, but no shares are issued yet. So there is no premoney valuation, not postmoney valuation, and the cap table remains unchanged.</t>
  </si>
  <si>
    <t>[2] This structure allows for different investors to have different terms - discount rate, valuation caps, and interest rates - so structurally, you can combine all unconverted notes in between rounds on one round.</t>
  </si>
  <si>
    <t>$ Converted</t>
  </si>
  <si>
    <t>$ Interest</t>
  </si>
  <si>
    <t>Total $ Converted</t>
  </si>
  <si>
    <t>$ Postmoney Valuation</t>
  </si>
  <si>
    <t>A better instructional tool.</t>
  </si>
  <si>
    <t>The previous cap table was a good tool to use, but not a great tool if you wanted to understand how everything worked so you could build your own. With this model, I've tried to build this so that it would be a much better instructional tool, and I've done that by building in a number of additional sheets that show specific examples so that you can unpack the formulas and the methdologies in each situation.</t>
  </si>
  <si>
    <t>More flexible and easier to edit.</t>
  </si>
  <si>
    <t>The core tool - the Cap Table sheet - is analogous to the Cap Table in the original Cap Table model, in that it aims to allow users to specify a number of specifics about each round and fully model all (or almost all) situations. This tool adds in more flexibility with a structure that makes it easier to add in lines for additional shareholders, makes it easy to add in convertible instruments in any round (the previous tool only allowed for convertibles in the first fundraising round), and is all around easier to understand.</t>
  </si>
  <si>
    <t>More flexible conversion of convertible instruments.</t>
  </si>
  <si>
    <t>The previous cap table had a fundamental assumption - noted but perhaps not clear - that the note or SAFE conversions were done using the premoney method. In real life, there are multiple methods for converting a note, and this new version builds in the options for convertibles to be converted using the percentage ownership and dollars invested methods. Simply select the method in the dropdown, and the calculations - as well as the cells labeled as inputs - will change.</t>
  </si>
  <si>
    <t>A much clearer waterfall detail.</t>
  </si>
  <si>
    <t>The previous cap table had a formula that was the most complex I have ever built, which I'm both proud and disgusted by, simply because it was also the most incomprehensible formula I have ever built, and it is completely impossible for anyone to really unpack and understand how it works. In this version, that formula is gone, replaced with several lines and columns that unpack the formula and also provide more transparency into how the waterfall is calculated.</t>
  </si>
  <si>
    <t>Example: First Issuance of an Equity Round, with a Premoney Option Pool</t>
  </si>
  <si>
    <t>$ Effective Premoney Valuation</t>
  </si>
  <si>
    <t>Options Issued</t>
  </si>
  <si>
    <t>Option Pool, created in Premoney</t>
  </si>
  <si>
    <t>Option Pool, created in Postmoney</t>
  </si>
  <si>
    <t># Shares Issued</t>
  </si>
  <si>
    <t>[2] This methodology essentially forces all the dilution that results from creating the option pool onto the existing shareholders, and the new investors do not get diluted by the creation of the option pool.</t>
  </si>
  <si>
    <t>[1] The option pool is generally calculated as the % of the value of the company that is allocated to options. So to calculate the option pool, you assume the %, multiple by the postmoney valuation, and then in this case, subtract that value from the premoney valuation to calculate the effective premoney valuation.</t>
  </si>
  <si>
    <t>[3] By reducing the premoney valuation by the value of the option pool, the share price is reduced compared to a financing without an option pool created in the premoney.</t>
  </si>
  <si>
    <t>[4] When negotiating a valuation, it's valuable for investors and entrepreneurs to know how they are treating things like option pool creation so that they can compare valuations with terms like this that may have a less than obvious effect on valuation, dilution, and ownership.</t>
  </si>
  <si>
    <t>[5] The # of options issued is then calculated by the option value divided by the share price.</t>
  </si>
  <si>
    <t>[6] Option pools are created so that companies have options to be able to give to prospective hires or current employees as compensation. Over time, as options are granted, the pool declines, and may need to be increased in the future if additional options are necessary for significant hires.</t>
  </si>
  <si>
    <t>[1] Compare the postmoney option pool scenario to the premoney scenario. Since the pool is created in the postmoney, no change to the premoney valuation. Same share price.</t>
  </si>
  <si>
    <t>[2] In this scenario, both existing shareholders and new investors get diluted. Compare the ownership positions of the new investors in this case with the premoney option pool scenario and the first equity issuance scenario.</t>
  </si>
  <si>
    <t>[7] As a general note, in a lot of labels I use the term shares but the data may include options as well as shares. It's just a simplification, pardon for my shorthand.</t>
  </si>
  <si>
    <t>[3] The new terms - discount rate, valuation cap, interest rate - would not be listed on a cap table. Technically, the convertible note investors wouldn't even be listed on the cap table since they don't own shares yet, but would just be a note. I'm detailing the noteholders and the terms of their notes here simply because this format does a better job of showing the math and it's more scalable for adding new investors.</t>
  </si>
  <si>
    <t>% Annual Interest Rate</t>
  </si>
  <si>
    <t xml:space="preserve">[1] Since we are going to calculate the accumulated interest, and add it to the value of the convertible before conversion, I need the date so that I can calculate the total interest. In this scenario, I'm assuming an annual interest rate, compounded annually. </t>
  </si>
  <si>
    <t>[2] And I'm assuming that the interest is converted rather than paid back before conversion, which is a scenario used in many term sheets.</t>
  </si>
  <si>
    <t>[3] Just for simplicity sake, I set the date of the conversion to TODAY(), and the original issuance of the note to TODAY() less 18 months. Change the dates to whatever you want.</t>
  </si>
  <si>
    <t>[4] The formula I'm using to convert the note is Excel's FV formula. Just click on formula help to understand the terms, but it's pretty simple. The DATEDIF formula is used to calculate the number of years, months, days, etc. between 2 dates, and in this scenario with an annual interest rate, compounded annually, the number of periods is the number of years in between the two dates.</t>
  </si>
  <si>
    <t>Example: Conversion of a Convertible Note or SAFE with the issuance of a qualified Equity financing, using Premoney conversion method</t>
  </si>
  <si>
    <t>[1] [3]</t>
  </si>
  <si>
    <t>[2] [4]</t>
  </si>
  <si>
    <t>[5] This scenario uses the premoney method of converting the note. This method holds the premoney valuation constant, and the value of the conversion is added to the postmoney valuation.</t>
  </si>
  <si>
    <t>[6] The share price used in this conversion is the lessor of:</t>
  </si>
  <si>
    <t>- the share price for the new investment * (1 - the discount rate)</t>
  </si>
  <si>
    <t>Note, if there is an exit of the company before a qualified financing, the term sheet will describe exactly how the note is handled. Often it is not converted, but is paid off by a formula set in the term sheet that is negotiated by the investor and the entrepreneur.</t>
  </si>
  <si>
    <t>- the share price calculated by the valuation cap on the note divided by the fully-diluted shares outstanding prior to the note conversion</t>
  </si>
  <si>
    <t>[7] Convertible instruments will often include terms using a discount rate, a valuation cap, or both, and the term sheet will describe how to calculate the share price to use for the conversion. Always read the term sheet.</t>
  </si>
  <si>
    <t>[8] Most term sheets don't specify the discount rate, instead they will cite the inverse. Just note that if you are thinking it's a 20% discount rate, you'll likely see language in the term sheet referring to a calculation that uses 80%.</t>
  </si>
  <si>
    <t>$ Share Price, Investment</t>
  </si>
  <si>
    <t>$ Share Price, Converted</t>
  </si>
  <si>
    <t>[6] [7] [8] [9]</t>
  </si>
  <si>
    <t>[10]</t>
  </si>
  <si>
    <t>[10] The share price used for the new financing is unchanged compared to the equity issuance without a conversion event.</t>
  </si>
  <si>
    <t>$ Value Converted</t>
  </si>
  <si>
    <t>Example: Conversion of a Convertible Note or SAFE with the issuance of a qualified Equity financing, using Percentage Ownership conversion method</t>
  </si>
  <si>
    <t>[11] This would not appear on a cap table, but what I'm showing here is how the conversion impacts the effective postmoney valuation because of the conversion of the $ at a discount.</t>
  </si>
  <si>
    <t>[11]</t>
  </si>
  <si>
    <t>$ Effective Postmoney Valuation</t>
  </si>
  <si>
    <t>[1] In the case of converting the note using the percentage ownership method, the goal of the conversion is to force all of the dilution from the note conversion onto the existing shareholders (and not the new investors). This means the new investors, after the conversion and their investment, own the same % of the company that was negotiated with the premoney and postmoney valuation.</t>
  </si>
  <si>
    <t>[2] In effect, this is holding the postmoney valuation constant and subtracting the investment and the value of the conversion to calculate the premoney valuation, and thus the new share price for the investment and all the conversions.</t>
  </si>
  <si>
    <t>[3] Note that the new equity investor still owns the 20% of the company that they originally intended to purchase. Compare the ownership %s of this scenario with the premoney method.</t>
  </si>
  <si>
    <t>$</t>
  </si>
  <si>
    <t>[1] With the Dollars Invested method, the postmoney valuation is fixed as the agreed premoney valuation plus the dollars invested plus the dollars converted (the principal and the interest).</t>
  </si>
  <si>
    <t>[2] Then the effective premoney - the premoney valuation used to calculate the share prices - is calculated by subtracting out the value of the shares that the noteholders are receiving from the conversion discount. I.e., the difference between the "value converted" and the "converted", which is the value of the conversion discount, is subtracted from the premoney.</t>
  </si>
  <si>
    <t>[3] In this scenario, the new investors and existing shareholders both share in the dilution effect of the note conversion, with the relative distribution of the dilution depending on the degree of the discount that the noteholders are receiving.</t>
  </si>
  <si>
    <t>[2] [3]</t>
  </si>
  <si>
    <r>
      <rPr>
        <b/>
        <sz val="12"/>
        <color theme="1"/>
        <rFont val="Avenir Book"/>
        <family val="2"/>
      </rPr>
      <t>1 - Equity Issuance Round 2</t>
    </r>
    <r>
      <rPr>
        <sz val="12"/>
        <color theme="1"/>
        <rFont val="Avenir Book"/>
        <family val="2"/>
      </rPr>
      <t xml:space="preserve"> is an example cap table that builds on the first issuance to show what happens with a second round of equity</t>
    </r>
  </si>
  <si>
    <t>More waterfall returns analysis.</t>
  </si>
  <si>
    <t>Waterfall Analysis</t>
  </si>
  <si>
    <t># Multiple on Invested Capital (Exit price / Invested Capital)</t>
  </si>
  <si>
    <t>Exit Date</t>
  </si>
  <si>
    <t>Exit Valuation</t>
  </si>
  <si>
    <t>Optional: Is this a Participating Preferred Instrument, and if so, what kind?</t>
  </si>
  <si>
    <t>Optional: If there is a cap, what is the cap?</t>
  </si>
  <si>
    <t>What currency should be used in the model?</t>
  </si>
  <si>
    <t>#</t>
  </si>
  <si>
    <t>[3] For the postmoney, I've structured it so that the inputs creates a 20% option pool in the postmoney, so the # of options issued has to reflect the dilution from the option pool itself, to get to the 20% target. That's why there is that extra (1-% input) in the formula, to account for that dilution.</t>
  </si>
  <si>
    <t>[3] [4]</t>
  </si>
  <si>
    <t>[4] Obviously this extra dilution to the formula is unnecessary for the premoney since the act of creating the option pool forces all the dilution to the existing shareholders. But by creatingin the postmoney, all shareholders are diluted.</t>
  </si>
  <si>
    <t>[1] In this example I created the structure so you can input the option pool in the premoney or the postmoney, and then see how the pools interact with future grants.</t>
  </si>
  <si>
    <t>Example: First Issuance of an Equity Round, with a Postmoney Option Pool</t>
  </si>
  <si>
    <t>Example: Two Equity Round Issuances, with options for Premoney and Postmoney Option Pool, showing how Granted Options impact the cap table</t>
  </si>
  <si>
    <t>% of Option Pool Granted, since last round</t>
  </si>
  <si>
    <t># Fully-Diluted Shares</t>
  </si>
  <si>
    <t>[3] This is also important to track because at exit, the ungranted options are cancelled and thus taken off the final share register used for proceeds distribution.</t>
  </si>
  <si>
    <t>This is an example waterfall distribution, primarily created to show how different preference structures impacts distribution of proceeds</t>
  </si>
  <si>
    <t>Example: Waterfall distribution of Proceeds, using Option Pool, 2nd Round final cap table</t>
  </si>
  <si>
    <t xml:space="preserve">[4] </t>
  </si>
  <si>
    <t>[4] The date is not used for these calculations, only for the exit waterfall. This cap table is the base for the waterfall because it has the most share classes and rounds of the example cap tables, and I wanted to show more different options in the waterfall.</t>
  </si>
  <si>
    <t>Investors</t>
  </si>
  <si>
    <t>Share Price per Round</t>
  </si>
  <si>
    <t>[5] Investors can buy common also, and sometimes they will buy (or be issued) preferred and common in the same round. I just threw this one in here to show it as an example, and to also provide one extra wrinkle for the example waterfall.</t>
  </si>
  <si>
    <t>[6] This extra preferred investment by Seed Investor in the A round is to show how an investor holds their prorata by investing more money. It's optional, not all investors will do this, just wanted to show an example.</t>
  </si>
  <si>
    <t>Pre-Distribution Cap Table</t>
  </si>
  <si>
    <t>Total Fully-Diluted Shares</t>
  </si>
  <si>
    <t>Options Granted and Exercised</t>
  </si>
  <si>
    <t>Invested Capital</t>
  </si>
  <si>
    <t>Preferred - Seed</t>
  </si>
  <si>
    <t>Preferred - A</t>
  </si>
  <si>
    <t>% of Fully-Diluted Shares</t>
  </si>
  <si>
    <t>Exit Waterfall, showing distribution to shares</t>
  </si>
  <si>
    <t>Liquidation Preference</t>
  </si>
  <si>
    <t>Implied Proceeds if Convert to Common</t>
  </si>
  <si>
    <t>Cap on Participation</t>
  </si>
  <si>
    <t>Residual Amount</t>
  </si>
  <si>
    <t>Participation</t>
  </si>
  <si>
    <t>Amount Post Participation</t>
  </si>
  <si>
    <t>Shares Convert to Common</t>
  </si>
  <si>
    <t>Convert to common?</t>
  </si>
  <si>
    <t>Remaining Shares, all Investors</t>
  </si>
  <si>
    <t>Common Shares</t>
  </si>
  <si>
    <t>Exit Waterfall, showing returns to shareholders</t>
  </si>
  <si>
    <t>Exit Waterfall, showing ROI to shareholders</t>
  </si>
  <si>
    <t>Summary - Proceeds</t>
  </si>
  <si>
    <t>Preferred Converted to Common</t>
  </si>
  <si>
    <t>Use iterations / resolve circulars?</t>
  </si>
  <si>
    <t>no</t>
  </si>
  <si>
    <t>[4]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but you can also select to use iterations - and turn on limit iterations under Excel &gt; Preferences &gt; Calculation - and the formulas will use the valuation cap, if necessary.</t>
  </si>
  <si>
    <t>Total Proceeds, all shareholders</t>
  </si>
  <si>
    <t>CAP TABLE AND EXIT WATERFALL TOOL</t>
  </si>
  <si>
    <t>If you purchased or downloaded this through https://foresight.is, updates are distributed automatically through my transaction provider (as long as you do not unsubscribe.) If you purchase through any other website, updates to the model require registration with Foresight; email Taylor at hello@foresight.is with details on where you downloaded the model to register, or simply download it again through https://foresight.is/cap-table</t>
  </si>
  <si>
    <t>1) Each sheet is independent of each other, except for 4 - Waterfall Distribution and 2 - Option Pool, 2nd Round, where the waterfall uses the cap table from that scenario</t>
  </si>
  <si>
    <t>2) Any number in blue with grey shaded background is an input (i.e. an assumption or data point that can be changed), anything in black is the result of a formula. Change blue at will, change anything in black with caution (know what you are doing)</t>
  </si>
  <si>
    <t>3) All cells and formulas are unlocked - as in all Foresight models - so that you can make edits as needed and completely understand what is going on.</t>
  </si>
  <si>
    <t>5) There are some situations that are not covered by the models: see the "Changelog" sheet for details.</t>
  </si>
  <si>
    <r>
      <t xml:space="preserve">The </t>
    </r>
    <r>
      <rPr>
        <b/>
        <sz val="12"/>
        <color theme="1"/>
        <rFont val="Avenir Book"/>
        <family val="2"/>
      </rPr>
      <t>Exit Waterfall</t>
    </r>
    <r>
      <rPr>
        <sz val="12"/>
        <color theme="1"/>
        <rFont val="Avenir Book"/>
        <family val="2"/>
      </rPr>
      <t xml:space="preserve"> sheet uses the Cap Table to show how the different share classes on the cap table earn proceeds at different exit valuations.</t>
    </r>
  </si>
  <si>
    <t>THE CAP TABLE</t>
  </si>
  <si>
    <t>The Cap Table sheet is the defauly, working cap table that you can use for your business, and is baked into the Standard Model - https://foresight.is/standard-financial-model</t>
  </si>
  <si>
    <t>Start by inputting the total # of shares to start. This is not an important assumption, because cap tables work reagardless of the number of shares.</t>
  </si>
  <si>
    <t>Note, SAFE or Equity? Select Convertible Note, SAFE, or Equity as the funding instrument, and the model will adjust automatically. The appropriate assumptions below are used. This only works for the seed round, but can be adjusted and can group together multiple seed rounds or closes by putting all of them in the first funding round section.</t>
  </si>
  <si>
    <t>1) Prorata for existing investors into future rounds is an input, not calculated</t>
  </si>
  <si>
    <t>2) Down rounds or recapitalizations will require some restructuring for the appropriate recap round and any anti-dilution provisions.</t>
  </si>
  <si>
    <t>3) Waterfall analysis assumes that each stage of equity has seniority over earlier rounds.</t>
  </si>
  <si>
    <t>- Carta (formerly eShares) (https://carta.com/)</t>
  </si>
  <si>
    <r>
      <t xml:space="preserve">Once you're running a company, I </t>
    </r>
    <r>
      <rPr>
        <b/>
        <i/>
        <sz val="12"/>
        <color theme="1"/>
        <rFont val="Avenir Book"/>
        <family val="2"/>
      </rPr>
      <t>highly suggest</t>
    </r>
    <r>
      <rPr>
        <sz val="12"/>
        <color theme="1"/>
        <rFont val="Avenir Book"/>
        <family val="2"/>
      </rPr>
      <t xml:space="preserve"> using an online cap table management platform, such as:</t>
    </r>
  </si>
  <si>
    <r>
      <rPr>
        <b/>
        <sz val="12"/>
        <color theme="1"/>
        <rFont val="Avenir Book"/>
        <family val="2"/>
      </rPr>
      <t>3 - Conversion, $ Invested</t>
    </r>
    <r>
      <rPr>
        <sz val="12"/>
        <color theme="1"/>
        <rFont val="Avenir Book"/>
        <family val="2"/>
      </rPr>
      <t xml:space="preserve"> demonstrates converting a convertible instrument at the next round using the dollars-invested method</t>
    </r>
  </si>
  <si>
    <r>
      <rPr>
        <b/>
        <sz val="12"/>
        <color theme="1"/>
        <rFont val="Avenir Book"/>
        <family val="2"/>
      </rPr>
      <t>3 - Conversion, % Ownership</t>
    </r>
    <r>
      <rPr>
        <sz val="12"/>
        <color theme="1"/>
        <rFont val="Avenir Book"/>
        <family val="2"/>
      </rPr>
      <t xml:space="preserve"> demonstrates converting a convertible instrument at the next round using the percentage ownership method</t>
    </r>
  </si>
  <si>
    <r>
      <rPr>
        <b/>
        <sz val="12"/>
        <color theme="1"/>
        <rFont val="Avenir Book"/>
        <family val="2"/>
      </rPr>
      <t>3 - Conversion, Premoney</t>
    </r>
    <r>
      <rPr>
        <sz val="12"/>
        <color theme="1"/>
        <rFont val="Avenir Book"/>
        <family val="2"/>
      </rPr>
      <t xml:space="preserve"> demonstrates converting a convertible instrument at the next round using the premoney method (v1 of the Cap Table Tool only used this method)</t>
    </r>
  </si>
  <si>
    <r>
      <rPr>
        <b/>
        <sz val="12"/>
        <color theme="1"/>
        <rFont val="Avenir Book"/>
        <family val="2"/>
      </rPr>
      <t>3 - Convertible Issuance</t>
    </r>
    <r>
      <rPr>
        <sz val="12"/>
        <color theme="1"/>
        <rFont val="Avenir Book"/>
        <family val="2"/>
      </rPr>
      <t xml:space="preserve"> demonstrates issuing a new convertible note.</t>
    </r>
  </si>
  <si>
    <r>
      <rPr>
        <b/>
        <sz val="12"/>
        <color theme="1"/>
        <rFont val="Avenir Book"/>
        <family val="2"/>
      </rPr>
      <t>1 - Equity Issuance</t>
    </r>
    <r>
      <rPr>
        <sz val="12"/>
        <color theme="1"/>
        <rFont val="Avenir Book"/>
        <family val="2"/>
      </rPr>
      <t xml:space="preserve"> is an example cap table that demonstrates a simple issuance of a first round of equity</t>
    </r>
  </si>
  <si>
    <r>
      <rPr>
        <b/>
        <sz val="12"/>
        <color theme="1"/>
        <rFont val="Avenir Book"/>
        <family val="2"/>
      </rPr>
      <t>2 - Premoney Option Pool</t>
    </r>
    <r>
      <rPr>
        <sz val="12"/>
        <color theme="1"/>
        <rFont val="Avenir Book"/>
        <family val="2"/>
      </rPr>
      <t xml:space="preserve"> demonstrates creating an option pool in the premoney (explanation on the sheet)</t>
    </r>
  </si>
  <si>
    <r>
      <rPr>
        <b/>
        <sz val="12"/>
        <color theme="1"/>
        <rFont val="Avenir Book"/>
        <family val="2"/>
      </rPr>
      <t>2 - Postmoney Option Pool</t>
    </r>
    <r>
      <rPr>
        <sz val="12"/>
        <color theme="1"/>
        <rFont val="Avenir Book"/>
        <family val="2"/>
      </rPr>
      <t xml:space="preserve"> demonstrates creating an option pool in the postmoney (explanation on the sheet)</t>
    </r>
  </si>
  <si>
    <r>
      <rPr>
        <b/>
        <sz val="12"/>
        <color theme="1"/>
        <rFont val="Avenir Book"/>
        <family val="2"/>
      </rPr>
      <t>2 - Option Pool, 2nd Round</t>
    </r>
    <r>
      <rPr>
        <sz val="12"/>
        <color theme="1"/>
        <rFont val="Avenir Book"/>
        <family val="2"/>
      </rPr>
      <t xml:space="preserve"> demonstrates how an option pool is added to in a second round of financing, and is built to handle both premoney and postmoney option pools</t>
    </r>
  </si>
  <si>
    <t>7) Note: There are a couple "yes/no" dropdowns for turning on circular references in a couple sheets. Essentially, I build models to not require circulars, but some calculations on cap tables require iterative calculations (i.e. the calculation is based on something referring to the calculation), so to do this you must turn on iterative calculations in Excel / Google Sheets to handle the calcs. The formulas are written so that there is a non-iterative variation, but for some situations you will need to turn on circular references to get the exact calculation. By default, these flags are "no" so that you do not get a note about circular references in the model.</t>
  </si>
  <si>
    <t>There's a couple limitations in the models.</t>
  </si>
  <si>
    <t>c) Anti-dilution protections for down round scenarios are not built in.</t>
  </si>
  <si>
    <t>d) The waterfall assumes each round using preferred instruments are senior to the preferred instruments of the previous round. If there are multiple preferred share classes offered in a round, you would need to edit the waterfall.</t>
  </si>
  <si>
    <t>[9] The two IF tests in the formula: the first is just testing to see if there is a conversion, simply to make the conversion share price zero if there is no conversion (not needed, honestly, just a presentation thing) and the second IF test is simply to test for the case of an uncapped note, as the formula would fail if it thought the cap was zero.</t>
  </si>
  <si>
    <r>
      <rPr>
        <b/>
        <sz val="12"/>
        <color theme="1"/>
        <rFont val="Avenir Book"/>
        <family val="2"/>
      </rPr>
      <t xml:space="preserve">Cap Table </t>
    </r>
    <r>
      <rPr>
        <sz val="12"/>
        <color theme="1"/>
        <rFont val="Avenir Book"/>
        <family val="2"/>
      </rPr>
      <t>is the default, fully-featured Cap Table that has the full range of features explained in the instructional sheets 1 through 3 already built in. This is the model you can use to outline your cap table through a number of rounds and situations.</t>
    </r>
  </si>
  <si>
    <t>Premoney</t>
  </si>
  <si>
    <t>One of the major changes I made in v2 of the Cap Table tool was to improve on the instructional side of v1 - meaning, v1 worked, but it didn't really explain why the cap table worked that way. For v2, I wanted to show a lot more examples, particularly because for many people building your own cap table is the right way to do it - not to use a template, but to build your own cap table (and exit waterfall) specific to your situation. The default Exit Waterfall, in fact, can take editing to make it fit your situation depending on how you use the default Cap Table itself. It's complicated, and in real life we often have unique situations or corrections that are almost impossible to build into a useable spreadsheet template without an wide array of setup features that would be unused by the vast majority of people. So, you may need to build your own cap table and exit waterfall from scratch - and thus, that's why I built the instructional sheets to help you build your own.</t>
  </si>
  <si>
    <t>Detail - Liquidation Preferences</t>
  </si>
  <si>
    <t>A check to make sure total proceeds distributed = total proceeds from exit. Zero means they are equal.</t>
  </si>
  <si>
    <t>Check: Proceeds = Exit Value?</t>
  </si>
  <si>
    <t>Does proceeds distributed = total proceeds?</t>
  </si>
  <si>
    <t>[1] Base assumption, used to create the midpoint of the range of exit valuations below. Change as you wish.</t>
  </si>
  <si>
    <t>[2] Assumed 2 years in future from today (which will also be two years from the last investment round on the cap table if the dates are unchanged). Change as you wish.</t>
  </si>
  <si>
    <t>[3] Increase and decrease of enterprise values examined in waterfall, per step</t>
  </si>
  <si>
    <t xml:space="preserve"> [4] If the capital structure involves rounds with a mixture of full participating and participating preferred with a cap option, the methods necessary to calculate this accurately require iterative calculations. If you select "no", the results are an approximation. For exact calcs, it is necessary to select "yes" and turn on iterations in Excel, under Preferences &gt; Calculation&gt; Limit Iterations</t>
  </si>
  <si>
    <t xml:space="preserve"> [5] Do the total proceeds distributed equal the total proceeds from the exit? If this is "No", then you have to turn iterations / circulars on to resolve the differences, it's not possible to calculate accurately without circulars.</t>
  </si>
  <si>
    <t>[4]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 which does not require an iterative calculation, but you can also select to use iterations - select "yes" in the dropdown and turn on limit iterations under Excel &gt; Preferences &gt; Calculation - and the formulas will use the valuation cap, if necessary.</t>
  </si>
  <si>
    <t>[6] This isn't always part of an exit waterfall, but it's nice to be clear in how the different investors have ownership in different share classes.</t>
  </si>
  <si>
    <t>[7] This case is included to show how investors can own multiple share classes</t>
  </si>
  <si>
    <t>[8] This one is included just to show how investors can own preferred and common.</t>
  </si>
  <si>
    <t>[9] Assuming all granted options are exercised.</t>
  </si>
  <si>
    <t>[10] Note that the ungranted and unexercised options are cancelled, and not included in the fully-diluted shares at exit.</t>
  </si>
  <si>
    <t>[11] This detail is important and gets used in defining the liquidation preferences</t>
  </si>
  <si>
    <t>[12] The model assumes a standard 1x invested capital liquidation preference for all preferred shareholders. The lines below refer to specifics around if the preferred has participation rights.</t>
  </si>
  <si>
    <t xml:space="preserve"> [14] The dropdowns here for the preferred outline three scenarios for the preferred: non participating, full participation, and participating with a cap. They refer to three different ways in which a preferred share class could have participation rights. Details, check out https://capgenius.com/2011/03/31/participatingpfd/</t>
  </si>
  <si>
    <t>[15] Only applies if "participating preferred with a cap" is selected in the dropdown above. See the link in the previous note to understand what this means.</t>
  </si>
  <si>
    <t xml:space="preserve"> [16] Here I've created a range of valuations to show how the waterfall changes - how different shareholders earn more / less - based on different exits. You don't necessarily need to do a lot of different exit valuations, but it can be useful to understand.</t>
  </si>
  <si>
    <t>[17] Equals the fully-diluted shares above</t>
  </si>
  <si>
    <t>[18] Calculated the overall MOIC, not necessary, just to show.</t>
  </si>
  <si>
    <t>[19] On average. But you'll see below that in many cases the distribution can cause this to be wildly different for different share classes.</t>
  </si>
  <si>
    <t>[20] Meaning, the amount left over after the liquidation preferences are paid to the share class more senior to this one.</t>
  </si>
  <si>
    <t>[21] Meaning, the number of shares that have not been paid - yet - before this share class is taken care of.</t>
  </si>
  <si>
    <t>[23] What the liquidation preference would be, if it was taken. Ignores any accumulated interest and adding it to preference, assumes 1x liquidation preference</t>
  </si>
  <si>
    <t xml:space="preserve"> [24] What the cap on the participation would be, if it applies. Assumes 1x liquidation preference, so invested capital  = liquidation preference. This tests to see if there is a cap on the participation. "na" means it's not applicable (i.e. the preferred doesn't have participation rights, "0" means there is no cap, a number means there is a cap, and it calculates the cap on participation. Note this is in addition to the liquidation preference above.</t>
  </si>
  <si>
    <t>[25] Shares in this share class.</t>
  </si>
  <si>
    <t>[26] This tests multiple conditions to see what earns the investor more: convert to common, or take the terms of their preferred? This flag helps tell the other formulas what to do.</t>
  </si>
  <si>
    <t xml:space="preserve"> [27] So, remember that it is gnerally the choice of preferred shareholders to take the distribution under the terms of the rights of their preferred shares, or convert their shares to common. We are assming a 1:1 conversion ratio, although that may not always be the case.</t>
  </si>
  <si>
    <t>[28] This is all pretty straightforward, except the participation is a little tricky. Generally this can cause issues with circular references in Excel. But essentially it's just testing to see if there is any participation.</t>
  </si>
  <si>
    <t>[29] So, what does the shareholder get? Either convert to common * common share price, or liquidation preference (maximum the amount available to distribute to this share class), or liquidation preference + participation with the common.</t>
  </si>
  <si>
    <t>[30] The price per share that they receive. This may vary from the average price per share for *all* shareholders.</t>
  </si>
  <si>
    <t>[31] Meaning, the amount left over after the liquidation preferences are paid to the share class more senior to this one. This assumes that the preferred - A is senior to the preferred - Seed.</t>
  </si>
  <si>
    <t>[32] A summary, to make sure the per-share class numbers add up to the exit valuation.</t>
  </si>
  <si>
    <t>[33] A summary, to make sure the per-share class numbers add up to the exit valuation.</t>
  </si>
  <si>
    <t>[34] This detail helps understand what preferences are used; it is also used for the estimates in the "non-circulars" calculations.</t>
  </si>
  <si>
    <t>[35] Pretty simple, just showing what each shareholder gets in each scenario, taking into account the different share classes they own.</t>
  </si>
  <si>
    <t>[36] You may need to adjust these if you change the setup of shareholders above.</t>
  </si>
  <si>
    <t>[37] The formula calculates the return (proceeds - invested capital) divided by the invested capital. The formula is a bit long because I don't calculate the invested capital elsewhere, but you could do that and simplify these calcs.</t>
  </si>
  <si>
    <t>[38] Slight adjustment for this shareholder to account for the common they purchased in the A round.</t>
  </si>
  <si>
    <t>[39] "na" means it's not applicable, for example for shareholders that didn't invest any capital, thus there is no "invested capital" in the denominator of the formula.</t>
  </si>
  <si>
    <t>[40] A chart that shows the % of proceeds distributed to each investor. Helpful as a quick visualization</t>
  </si>
  <si>
    <t>[2] The new thing here is adding in how options are granted. The reason I do this is to show how you can track options that are granted compared to options that are ungranted. The option pool will count as fully-diluted shares on a cap table, but the pool - ungranted options, by definition - will go down as options are granted, and thus will often need to be "refreshed" in subsequent rounds of financing.</t>
  </si>
  <si>
    <t>Questions about some of the details - nonparticipating preferred, conversion methods, etc. - consult  https://capgenius.com/2011/03/31/participatingpfd/  or https://foresight.is/learn</t>
  </si>
  <si>
    <t xml:space="preserve"> [13] This is a reference calculation that I use when calculating the participation for the full participating and participating with a cap options, if iterative calculations are turned off. All preference calcs here assume they are 1x liquidation preferences.</t>
  </si>
  <si>
    <r>
      <rPr>
        <b/>
        <sz val="12"/>
        <color theme="1"/>
        <rFont val="Avenir Book"/>
        <family val="2"/>
      </rPr>
      <t>Summary</t>
    </r>
    <r>
      <rPr>
        <sz val="12"/>
        <color theme="1"/>
        <rFont val="Avenir Book"/>
        <family val="2"/>
      </rPr>
      <t xml:space="preserve"> is a print-ready, summary of the fully-diluted cap table that you can easily edit to show the round(s) of your choosing. It pulls data from the Cap Table based on your selections.</t>
    </r>
  </si>
  <si>
    <t>All</t>
  </si>
  <si>
    <t>Last Updated</t>
  </si>
  <si>
    <r>
      <t xml:space="preserve">Display Round </t>
    </r>
    <r>
      <rPr>
        <sz val="9"/>
        <color theme="1"/>
        <rFont val="Avenir Book"/>
        <family val="2"/>
      </rPr>
      <t>&gt;</t>
    </r>
  </si>
  <si>
    <r>
      <t xml:space="preserve">Compare to Round </t>
    </r>
    <r>
      <rPr>
        <sz val="9"/>
        <color theme="1"/>
        <rFont val="Avenir Book"/>
        <family val="2"/>
      </rPr>
      <t>&gt;</t>
    </r>
  </si>
  <si>
    <t>Notes:</t>
  </si>
  <si>
    <t xml:space="preserve">    How? Excel Menu &gt; Insert &gt; Photo &gt; Picture from File</t>
  </si>
  <si>
    <t xml:space="preserve">                Insert Logo or delete these rows    </t>
  </si>
  <si>
    <t>-</t>
  </si>
  <si>
    <t>Any numbers in blue font with grey background in the model are illustrative, not as benchmarks.</t>
  </si>
  <si>
    <t>Copyright 2018 Unstructured Ventures, LLC</t>
  </si>
  <si>
    <t>Options [1]</t>
  </si>
  <si>
    <t>Fully-Diluted [2]</t>
  </si>
  <si>
    <t>[3] The model will automatically update the summary table based on your selections in the input cells. For the "Display Round &gt;" selection, select the round you want to display from the dropdown</t>
  </si>
  <si>
    <t>[4] For the "Compare to Round &gt;"selection, this is optional, but if you want to display another block of results from another round - perhaps showing the change from one round to another - simply select that round in the dropdown.</t>
  </si>
  <si>
    <t>[5] If you select "Compare to Round &gt;" as "na", then that section will disappear. This gives you some flexibility in display.</t>
  </si>
  <si>
    <t>[7] Of course, you can always create your own summary table similar to this, or simply write over the formulas pulling the shares, options, and investors, to display the data in any way you want.</t>
  </si>
  <si>
    <t>[1] Issued and Outstanding. See https://www.cooleygo.com/glossary/outstanding-shares/</t>
  </si>
  <si>
    <t>[2] Fully-Diluted, converting all outstanding convertibles at the latest terms associated with each instrument. See https://www.cooleygo.com/glossary/fully-diluted-shares/ and https://startuplawyer.com/venture-capital/what-is-a-fully-diluted-basis</t>
  </si>
  <si>
    <t>[41] A chart that shows the total proceeds distributed to each investor. Helpful as a quick visualization</t>
  </si>
  <si>
    <r>
      <t xml:space="preserve">[6] For the various investors, you can select to show any investors from the Cap Table sheet. </t>
    </r>
    <r>
      <rPr>
        <b/>
        <sz val="12"/>
        <color theme="1"/>
        <rFont val="Avenir Book"/>
        <family val="2"/>
      </rPr>
      <t>You do need to make sure and change the investors shown based on the rounds displayed.</t>
    </r>
  </si>
  <si>
    <t>I also wanted to create a waterfall that showed the distribution to investors over a range of sales prices, rather than just one single exit value. Done. Coming soon I expect to add on IRRs for each investor.</t>
  </si>
  <si>
    <t>a) Implictly assumes that any unconverted notes or SAFE instruments convert in the next round that is an equity round, essentially assuming that it is a qualified financing. This can be changed by overwriting the conversion amount in any round.</t>
  </si>
  <si>
    <t>b) If a unique shareholder holds multiple types of stock (common, preferred) then they are better entered as two separate lines, one for each respective class of stock.</t>
  </si>
  <si>
    <t>Multiple of new invested capital</t>
  </si>
  <si>
    <t># months between rounds</t>
  </si>
  <si>
    <t>Total Investment in Round</t>
  </si>
  <si>
    <t>Postmoney</t>
  </si>
  <si>
    <t># of Shares, Beginning of Round</t>
  </si>
  <si>
    <t># Shares purchased in Round</t>
  </si>
  <si>
    <t># of Shares purchased by Investors, Total</t>
  </si>
  <si>
    <t>Exit Value</t>
  </si>
  <si>
    <t>Exit Share Price</t>
  </si>
  <si>
    <t>Example: Venture Capital Valuation [1]</t>
  </si>
  <si>
    <t>[1] This is not the VC Method - a solid set of instructional tools on how to do that is at http://vcmethod.com/ - but conceptually similar, showing if an investment is made and the company raises more rounds from investors, what is a given investment worth in the future at a given exit price.</t>
  </si>
  <si>
    <t>[1] The VC Method is used to estimate a necessary ownership position and valuation necessary for a given size round today, given expected future dilution and exit value, and is a great way to ground expectations around valuation. These calcs work the opposite way, by saying "hey, if this is the deal today, and I think these are the future deals, then this is what it's worth", and my intention is for these to be more of an instructional tool than a valuation method.</t>
  </si>
  <si>
    <t>[2] Only used for labeling in this structure, no data is determinant of it. This sheet is independent of other sheets and the rounds forecasted in other sheets.</t>
  </si>
  <si>
    <t>[3] This is included to provide a structure to think of expected values based on probabilities. This helps ground expectations on future deals and exits by introducing the idea of how many companies that raise rounds raise next rounds (and exit)</t>
  </si>
  <si>
    <t>[4] Please, set your own probabilies using your expectation in the market. I set these using public data, but feel free to edit to your situation.</t>
  </si>
  <si>
    <t>% of Companies that raised the previous round, that raise this round</t>
  </si>
  <si>
    <t>Multiple of stepup in valuation (premoney)</t>
  </si>
  <si>
    <t>[5] This is a major assumption that you'll want to ground using benchmark data for your industry, focus, geographic region.</t>
  </si>
  <si>
    <t>[6] This is a major assumption that you'll want to ground using benchmark data for your industry, focus, geographic region.</t>
  </si>
  <si>
    <t>[7] This is a major assumption that you'll want to ground using benchmark data for your industry, focus, geographic region.</t>
  </si>
  <si>
    <t>[8] this is only used or IRR calcs</t>
  </si>
  <si>
    <t>[9] This is for *all* investors in each round.</t>
  </si>
  <si>
    <t>[10] Calculated using the stepup multiple per round</t>
  </si>
  <si>
    <t>[11] Convertible instruments make this harder, so essentially assuming this is all equity deals, no convertibles.</t>
  </si>
  <si>
    <t>[12] the # in the first round is an input, but it doesn't impact returns, only the absolute share prices</t>
  </si>
  <si>
    <t>% Option Pool maintained, postmoney</t>
  </si>
  <si>
    <t>[13] Purchased in each round.</t>
  </si>
  <si>
    <t># of Options created in round to expand Option Pool</t>
  </si>
  <si>
    <t>[16] This maintains an option pool of the % option pool assumed. If it goes to zero, that means that either you aren't creating a pool, or that to keep a pool at that level, you do not need to create more options.</t>
  </si>
  <si>
    <t># of Shares and options, End of Round</t>
  </si>
  <si>
    <t>[17] Total issued and outstanding, end of round. Since there are no convertibles in this structure, this would also equal fully-diluted.</t>
  </si>
  <si>
    <t>[18] New share price, price for shares purchased and issued in round</t>
  </si>
  <si>
    <t>[19] Total, over time</t>
  </si>
  <si>
    <t>[20] If the option pool is continually kept up, and since this assumes that the option pool is created postmoney, this could go down over time.</t>
  </si>
  <si>
    <t>Exits</t>
  </si>
  <si>
    <t>Fundraising</t>
  </si>
  <si>
    <t>[21] This is a major assumption; it's calculated from the assumption in [3], so assumes all companies either raise rounds or exit, and I'm categorizing a zero (folding, going out of business) as an exit</t>
  </si>
  <si>
    <t>[22] Of the companies that raised the first round, how many exit at each stage</t>
  </si>
  <si>
    <t>Average gross multiple on share price, exit after raising this round</t>
  </si>
  <si>
    <t># months from investment to exit, after raising this round</t>
  </si>
  <si>
    <t>% of Outstanding, owned by Investors, End of Round</t>
  </si>
  <si>
    <t>Name of Round</t>
  </si>
  <si>
    <t>[14] Assuming that an option pool of x% is maintained. Note: this assumes that all options are granted and exercised, so the pool needs updating to stay at the same level. I created a formula to decrease the pool over time to reflect decreasing need for options for hiring, but feel free to change this.</t>
  </si>
  <si>
    <t>v 2.0 - 21 May 2018</t>
  </si>
  <si>
    <t>This is an instructional tool to help think about how future rounds impact returns to investors.</t>
  </si>
  <si>
    <t>The investments and proceeds are calculated for all investors, for 1 investor, and done on an absolute and probability-weighted basis.</t>
  </si>
  <si>
    <t>Investor: Investment</t>
  </si>
  <si>
    <t>Invested, as % of Investment Round</t>
  </si>
  <si>
    <t>Investor: % ownership, postmoney</t>
  </si>
  <si>
    <t>Investor: Shares Purchased in Round</t>
  </si>
  <si>
    <t>Investor, Total Shares Owned</t>
  </si>
  <si>
    <t>Proceeds to all Investors (if Exit after this Round)</t>
  </si>
  <si>
    <t>Investor, Proceeds (if Exit after this Round)</t>
  </si>
  <si>
    <t>IRR</t>
  </si>
  <si>
    <t>Gross Multiple (if Exit after this Round)</t>
  </si>
  <si>
    <t>ROI (if Exit after this Round)</t>
  </si>
  <si>
    <t>Investor, (Investments) Proceeds (if Exit after this Round)</t>
  </si>
  <si>
    <t>IRR (if Exit after this Round)</t>
  </si>
  <si>
    <t>$6) Notes on what's changed in versions of the template are on the "Changelog" sheet.</t>
  </si>
  <si>
    <t>IRR, if invested through round (down) and held until Exit after this Round (to the right)</t>
  </si>
  <si>
    <t>Returns, All Investors or Single Investor</t>
  </si>
  <si>
    <t>Proceeds, if invested through round (down) and held until Exit after this Round (to the right)</t>
  </si>
  <si>
    <t>Extra IRR calcs per combination of investing and exit</t>
  </si>
  <si>
    <t>Returns, All Investors or Single Investor, Alternate Investment Strategies</t>
  </si>
  <si>
    <t>Returns, All Investors or Single Investor, Probability-weighted</t>
  </si>
  <si>
    <t>Gross Multiple, if invested through round (down) and held until Exit after this Round (to the right)</t>
  </si>
  <si>
    <t>Extra information for analysis. They take the forecasted multiples, ROI and IRRs and apply probability weighting based on the estimate of how many companies raise or exit at each round.</t>
  </si>
  <si>
    <t>Extra information for analysis. They provide insight into what proceeds, gross multiple, and IRRs would have been for each investment stage if they had - and had not - invested in future rounds.</t>
  </si>
  <si>
    <t>The dark green are the best outcomes, the lighter white and yellows are the worse outcomes, so at a glance, this helps indicate the best strategies given your assumptions.</t>
  </si>
  <si>
    <t>% of Companies that raised this round, fail or exit after this round (without raising the next round)</t>
  </si>
  <si>
    <t>[23] Of the companies that failed or exited in [21], what % of them were fails?</t>
  </si>
  <si>
    <t>[25] this impacts IRRs. I'm assuming this isn't necessarily the same as the time to next round, as the assumption above in [7]</t>
  </si>
  <si>
    <t>[24] average of companies that exit after raising each round. Must ground this data relevant to your stage, geography, and investment strategy</t>
  </si>
  <si>
    <t>[26] Calculated using the average exit multiple in [23]</t>
  </si>
  <si>
    <t>[27] Exit share price, used to caluculate proceeds to shareholders</t>
  </si>
  <si>
    <t>[28] Assuming all converts to common, no liquidation preferences that distributes proceeds between preferred and common non-prorata to share ownership. That's a major simplifying assumption.</t>
  </si>
  <si>
    <t>Fundraising &amp; Exits</t>
  </si>
  <si>
    <t>[30] If you type in 100%, then these returns wil reflect all investors. If you modify the %s to denote the % that this investor took of each round, then it would reflect a single investor and their returns</t>
  </si>
  <si>
    <t>[31] Either a single investor or all investors, depending on how you use [28]</t>
  </si>
  <si>
    <t>[32] Proceeds / total invested, calculated to show what it would be if the company exited in this round</t>
  </si>
  <si>
    <t>[33] Calculated as (Proceeds - Investments) / Investments</t>
  </si>
  <si>
    <t>[34] Calculated below.</t>
  </si>
  <si>
    <t>[35] What's this? This is the expected proceeds, if an investor had follow-on through the investment strategy as detailed in [29], and invested in each round going down, and exited in each round (columns to the right). It basically creates a table of expected proceeds if you follow-on / not follow-on in each round in the strategy you define, given the scope of the deal outlined in the per-round expectations</t>
  </si>
  <si>
    <t>[36] What's this? This is the expected IRRs given the proceeds analysis in [35]</t>
  </si>
  <si>
    <t>[37] Are these negative for you? What they reflect is the most-likely scenario, given the likelihood of each exit.</t>
  </si>
  <si>
    <t>[38] As a note, this reflects the probability-weighted IRR to all investors in a company, given the assumptions above, at the time the first investment round is made. The probabilities would change for investments made in future rounds. If I was an investor and my first investment was in a B round, for example, I would set the first round as the B, then use the columns for each subsequent round.</t>
  </si>
  <si>
    <t>[39] The methods used for calculating IRRs across multiple scenarios are a little tedious, thus they are carried out down here just to make things a little clearner visually. Personal preference.</t>
  </si>
  <si>
    <t>[29] the "0% raise for the last round is necessary to make the model work, if you want to extend to more rounds just add in another column and extend</t>
  </si>
  <si>
    <t>For each round…</t>
  </si>
  <si>
    <t>Amount raised</t>
  </si>
  <si>
    <t>at a premoney valuation</t>
  </si>
  <si>
    <t>% that raise next round</t>
  </si>
  <si>
    <t>% that fail</t>
  </si>
  <si>
    <t>% that sell</t>
  </si>
  <si>
    <t>IF($E$34="full participating preferred",MIN(H59,$E33),IF($E$34="participating preferred with a cap",IF(AND(H67=0,H61&gt;H62),0,MIN(H59,$E33)),IF(H61&gt;H62,0,MIN(H59,$E33))))</t>
  </si>
  <si>
    <t>IF($D$34="full participating preferred",MIN(H46,$D33),IF($D$34="participating preferred with a cap",IF(AND(H54=0,H48&gt;H49),0,MIN(H46,$D33)),IF(H48&gt;H49,0,MIN(H46,$D33))))</t>
  </si>
  <si>
    <t>[22] The "implied" is important here, because the actual may be different. The formula does an odd-looking IF statement, and this is only done to try and make it easier to not use circulars in the model.</t>
  </si>
  <si>
    <t># Issued and Outstanding</t>
  </si>
  <si>
    <t>Example: Conversion of a Convertible Note or SAFE with the issuance of a qualified Equity financing, using $ Invested conversion method</t>
  </si>
  <si>
    <t>v 2.1 - 6 September 2018</t>
  </si>
  <si>
    <t>3 - Conversion, All: Edited Y18 on Conversion, Premoney, Conversion, % Invested, and Conversion, $ Invested, to sum all the % ownerships in that column. Previously it missed the ownership of the last row in those columns. No impact to $ calcs, just the presentation of that %.</t>
  </si>
  <si>
    <t>v 2.2 - 11 October 2018</t>
  </si>
  <si>
    <t>4 - Exit Waterfall Distribution and Exit Waterfall: Fixed the test for "Convert to Common?" for all classes of shareholders to adjust the participating preferred with a cap option. Previously, at lower exit valuations, it was not allocating participation above the liquidation preference, replaced the test conditions with a new test; instead of testing to see if the implied proceeds if convert to common is &gt; the liquidation preference, it tests to see if there is leftover residual to allocate, by testing for the leftover residual at this stage after liquidation preferences from all shareholder classes. That's a long explanation, but I provide it just for context, it's a fairly simple edit to the formula, just change it for each "Convert to Common?" line on both of those sheets.</t>
  </si>
  <si>
    <t>y/n</t>
  </si>
  <si>
    <t>Notes</t>
  </si>
  <si>
    <t>Company</t>
  </si>
  <si>
    <t>What is the name of your company?</t>
  </si>
  <si>
    <t>Non Participating Preferred</t>
  </si>
  <si>
    <r>
      <rPr>
        <b/>
        <sz val="12"/>
        <color theme="1"/>
        <rFont val="Avenir Book"/>
        <family val="2"/>
      </rPr>
      <t>5 - Exit Waterfall Distribution</t>
    </r>
    <r>
      <rPr>
        <sz val="12"/>
        <color theme="1"/>
        <rFont val="Avenir Book"/>
        <family val="2"/>
      </rPr>
      <t xml:space="preserve"> uses the Option Pool, 2nd Round cap table to show how the shareholders earn proceeds at different valuations based on a variety of assumptions about the terms of their shareclasses. This is the most detailed and most complex part of the instructional sheets.</t>
    </r>
  </si>
  <si>
    <t>Exit Waterfall: both Exit Waterfall sheets were edited to remove the circular references introduced in v2.2. No changes to the calcs, just changed the structure so that everyone doesn't have to see the circular references until they are actually needed based on the inputs and options used.</t>
  </si>
  <si>
    <t>Participating Preferred with a Cap</t>
  </si>
  <si>
    <t>Insert Logo or reformat these cells</t>
  </si>
  <si>
    <t>OVERALL</t>
  </si>
  <si>
    <t>AFTER ROUND</t>
  </si>
  <si>
    <t>First Round Invested [35]</t>
  </si>
  <si>
    <t>Investment Date [2]</t>
  </si>
  <si>
    <t>Type [37]</t>
  </si>
  <si>
    <t># Options</t>
  </si>
  <si>
    <t>Issued and Outstanding</t>
  </si>
  <si>
    <t>Fully-Diluted Shares [1]</t>
  </si>
  <si>
    <t>Type</t>
  </si>
  <si>
    <t>Investment Amount</t>
  </si>
  <si>
    <t>Converted Amount</t>
  </si>
  <si>
    <t>Discount Rate</t>
  </si>
  <si>
    <t>Valuation Cap</t>
  </si>
  <si>
    <t>Annual Interest Rate</t>
  </si>
  <si>
    <t>Converted in Round</t>
  </si>
  <si>
    <t>Effective Conversion</t>
  </si>
  <si>
    <t>Total Invested in Round</t>
  </si>
  <si>
    <t>Total # Options</t>
  </si>
  <si>
    <t>Total Value</t>
  </si>
  <si>
    <t>Equity</t>
  </si>
  <si>
    <t>Note</t>
  </si>
  <si>
    <t xml:space="preserve"> na </t>
  </si>
  <si>
    <t>SAFE</t>
  </si>
  <si>
    <t>Warrants</t>
  </si>
  <si>
    <t>Round</t>
  </si>
  <si>
    <t>Terminology Settings</t>
  </si>
  <si>
    <t>$ Price per Share</t>
  </si>
  <si>
    <t>Invested and Converted</t>
  </si>
  <si>
    <t>[8]</t>
  </si>
  <si>
    <t>[9]</t>
  </si>
  <si>
    <t>Valuation</t>
  </si>
  <si>
    <t>[12]</t>
  </si>
  <si>
    <t>[13]</t>
  </si>
  <si>
    <t>[14]</t>
  </si>
  <si>
    <t>[15]</t>
  </si>
  <si>
    <t>[16]</t>
  </si>
  <si>
    <t>Convertible Instrument (Note or SAFE) Conversion Method</t>
  </si>
  <si>
    <t>Which conversion method will be used?</t>
  </si>
  <si>
    <t>[17]</t>
  </si>
  <si>
    <t>[18]</t>
  </si>
  <si>
    <t>% New Premoney Option Pool</t>
  </si>
  <si>
    <t>[19]</t>
  </si>
  <si>
    <t>% New Postmoney Option Pool</t>
  </si>
  <si>
    <t>[20]</t>
  </si>
  <si>
    <t>[21]</t>
  </si>
  <si>
    <t>[22]</t>
  </si>
  <si>
    <t>% of Available Options granted, since last round</t>
  </si>
  <si>
    <t>[23]</t>
  </si>
  <si>
    <t>% Available Option Pool, end of round</t>
  </si>
  <si>
    <t>[24]</t>
  </si>
  <si>
    <t>[25]</t>
  </si>
  <si>
    <t>Liquidation Preference, as multiple of invested capital</t>
  </si>
  <si>
    <t>[26]</t>
  </si>
  <si>
    <t>[27]</t>
  </si>
  <si>
    <t>[28]</t>
  </si>
  <si>
    <t>Optional: When converts to common, how many shares of common per share of preferred?</t>
  </si>
  <si>
    <t>[29]</t>
  </si>
  <si>
    <t>[30]</t>
  </si>
  <si>
    <t># Options created in round</t>
  </si>
  <si>
    <t>[31]</t>
  </si>
  <si>
    <t>[32]</t>
  </si>
  <si>
    <t>[33]</t>
  </si>
  <si>
    <t>[34]</t>
  </si>
  <si>
    <t>[0] Couple notes on how to use this effectively:</t>
  </si>
  <si>
    <t xml:space="preserve">    a) It's not necessarily necessary to put each individual shareholder on their own line. You could group together shareholders (all "A Round Investors", for example), or detail individual investors, it depends on the level of detail you want to show.</t>
  </si>
  <si>
    <t xml:space="preserve">     b) For investors investing in equity across rounds - meaning, the type of investment is always equity for them - you can use one line per investor. For notes or SAFEs, which require conversions, it's important to put them on different rows from equity investments. Meaning, if an investor made an invesment in the Seed using a note, and then that note converted in the A to equity and they also made a new investment in equity in the A, then you will want to make those two rows, for clarity in the conversion process.</t>
  </si>
  <si>
    <t xml:space="preserve">     c) You can edit this to as many rows as you wish. Don't delete rows where the shareholder row is not an input - i.e. the Options rows - but otherwise, add or delete rows. If you insert a row, insert the row, then copy down the row to preserve all the formulas from all the rounds.</t>
  </si>
  <si>
    <t xml:space="preserve"> [2] By default, the dates all draw from the same date for the round specified in the per-round assumptions, but these can vary on a per-investor basis if necessary.The formula tests to see if this investment was a note (meaning, investment was made earlier), and in that case will use the original investment date - to calculate interest correctly - but you can always input the dates for this investment.  For example, you may close a few convertible notes on different dates (and perhaps caps and terms) but want to group them together as a single "round", so you can enter each note separately here, group them together as a round, but any interest calculations will use the date for each note.</t>
  </si>
  <si>
    <t>[3] Feel free to change the names of the rounds to whatever you wish. Note, per the notes above, that you can also group together unconverted notes into rounds and enter them in the same "round" space in the template.</t>
  </si>
  <si>
    <t>[4] This is the input for the date for the round. Only used for IRR calcs on the waterfall, and for the accumulated interest calculations (per [2] above), if applicable.</t>
  </si>
  <si>
    <t>[5] Issued and Outstanding prior to the round. Note, this will not include shares from investments from notes that have not yet converted, those will only show up in fully-diluted until they convert into shares.</t>
  </si>
  <si>
    <t>[7] Amount invested by all investors in the round, all share classes.</t>
  </si>
  <si>
    <t>[8] Amount added to investment through conversion of notes or SAFEs invested in previous rounds, converting to equity in this round</t>
  </si>
  <si>
    <t>[9] total conversion amount, includes invested capital and converted capital</t>
  </si>
  <si>
    <t>[10] This is used when notes are converted, and it helps calculate the effective premoney or postmoney</t>
  </si>
  <si>
    <t>[11] This is used when new options are issued</t>
  </si>
  <si>
    <t>[13] Valuation of the company after the investment (premoney + investment). ! note: if you select to use percentage ownership method, this becomes an input. In that case, ignore the formula, and type in the postmoney you want to use.</t>
  </si>
  <si>
    <t>[14] Effective refers to the valuation accounting for the impact of convertible notes and/or option pools, if applicable</t>
  </si>
  <si>
    <t>[15] Effective refers to the valuation accounting for the impact of convertible notes and/or option pools, if applicable</t>
  </si>
  <si>
    <t>[16] Pulled from the cap table; this will deviate from the above if there are convertible instruments converting in the round</t>
  </si>
  <si>
    <t xml:space="preserve"> [17] The model can handle three different methods for calculating the share price of convertible instruments. Select the method you want to use in the dropdown. Premoney is the simplest method and does not require circular references to work, so best to start with that method if unknown. Background reference: https://www.cooleygo.com/calculating-share-price-outstanding-convertible-notes/</t>
  </si>
  <si>
    <t xml:space="preserve"> [18] What is this for?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but you can also select to use iterations - and turn on limit iterations under Excel &gt; Preferences &gt; Calculation - and the formulas will use the valuation cap, if necessary.</t>
  </si>
  <si>
    <t>[19] Creates a pool equal to this % of fully-diluted shares, after round</t>
  </si>
  <si>
    <t>[20] Creates a pool equal to this % of fully-diluted shares, after round</t>
  </si>
  <si>
    <t>[21] The # of options created to create the pool of the above %</t>
  </si>
  <si>
    <t>[22] The # of options created to create the pool of the above %</t>
  </si>
  <si>
    <t>[23] Use this to grant options out of the pool in between each round, this shows how the pool can decrease over time.</t>
  </si>
  <si>
    <t>[24] Ungranted options divided by fully-diluted shares</t>
  </si>
  <si>
    <t>[25] create the share classes in the terminology settings below</t>
  </si>
  <si>
    <t>[26] The liquidation preference input is a mutliple of the invested capital; 1x is a common assumption here, but deals can vary. Consult an experienced venture lawyer for questions or norms for your situation.</t>
  </si>
  <si>
    <t>[27] Optional. Only used for participating preferred liquidation preferences. Reference: https://capgenius.com/2011/03/31/participatingpfd/</t>
  </si>
  <si>
    <t>[28] Optional. Only used if there is a cap to the participation in participating preferred.</t>
  </si>
  <si>
    <t>[29] Optional. Some deals may have preset arrangements for how preferred shares convert to common, and it may not be a 1:1 ratio. Edit here if you have a different conversion ratio.</t>
  </si>
  <si>
    <t>[30] Calculated from the cap table</t>
  </si>
  <si>
    <t>[31] Calculated from the cap table</t>
  </si>
  <si>
    <t>[32] Calculated from the cap table</t>
  </si>
  <si>
    <t>[33] Uses the assumptions above - the % of available options granted, since last round - to decrease this over time as the options in the option pool are granted.</t>
  </si>
  <si>
    <t>[34] This is used exit waterfall scenarios when ungranted options are cancelled prior to the share price calculation. Assumes all granted options are exercised.</t>
  </si>
  <si>
    <t>[35] This is for informational purposes. It shows how different investors invest and follow-on over time.</t>
  </si>
  <si>
    <t>does this work in situations where different terms? Like if a C caps out, should their "leftover" participation go to the E (which could be full)</t>
  </si>
  <si>
    <t>is this why a full waterfall has to track back through each class of shares, and show on a per-share basis?</t>
  </si>
  <si>
    <t>look at leadspace example supplied by other investors</t>
  </si>
  <si>
    <t>so need to track the participation using the # of shares, and cancel out shares when they reach the cap.</t>
  </si>
  <si>
    <t>WATERFALL DISTRIBUTION OF PROCEEDS</t>
  </si>
  <si>
    <t>This waterfall uses the base cap table and builds out a waterfall distribution of proceeds to different share classes, and shows how the distributions change at different exit valuations.</t>
  </si>
  <si>
    <t>This may require edits if you add rounds outside the scope of the default round setup.</t>
  </si>
  <si>
    <t>assumed 2 years in future from today (which will also be two years from the last investment round on the cap table if the dates are unchanged). Change as you wish.</t>
  </si>
  <si>
    <t>increase and decrease of enterprise values examined in waterfall, per step. Feel free to edit the exit valuations directly in the row to crate whatever ranges you want to evaluate.</t>
  </si>
  <si>
    <t xml:space="preserve"> If any of the rounds use instruments with the participating preferred with a cap option, the methods necessary to calculate this accurately requires iterative calculations. If you select "no", the results are an approximation. For exact calcs, it is necessary to select "yes" and turn on iterations in Excel, under Preferences &gt; Calculation&gt; Limit Iterations</t>
  </si>
  <si>
    <t xml:space="preserve"> Do the total proceeds distributed equal the total proceeds from the exit? If this is "No", then you have to turn iterations / circulars on to resolve the differences, it's not possible to calculate accurately without circulars.</t>
  </si>
  <si>
    <t xml:space="preserve"> [1] Note that this register looks at classes of shareholders, not the investors in those share classes, and looks only at what investors in that round purchased. It does not combine A investors that also purchased B shares. To adjust this to match your situation, feel free to edit so that it shows how the original investors in a round purchased different classes of shares in different rounds.</t>
  </si>
  <si>
    <t>Common Holders</t>
  </si>
  <si>
    <t>[2] Assuming all granted options are exercised.</t>
  </si>
  <si>
    <t>[3] Note that the ungranted and unexercised options are cancelled, and not included in the fully-diluted shares at exit.</t>
  </si>
  <si>
    <t>[6] This detail is important and gets used in defining the liquidation preferences</t>
  </si>
  <si>
    <t>[7] The model assumes a standard 1x invested capital liquidation preference for all preferred shareholders. The lines below refer to specifics around if the preferred has participation rights.</t>
  </si>
  <si>
    <t>Feel free to edit these lines if the terms of the actual preferences deviate from what is calculated here.</t>
  </si>
  <si>
    <t xml:space="preserve"> [8] The dropdowns here for the preferred outline three scenarios for the preferred: non participating, full participation, and participating with a cap. They refer to three different ways in which a preferred share class could have participation rights. Details, check out https://capgenius.com/2011/03/31/participatingpfd/</t>
  </si>
  <si>
    <t>[9] Only applies if "participating preferred with a cap" is selected in the dropdown above. See the link in the previous note to understand what this means.</t>
  </si>
  <si>
    <t xml:space="preserve"> [10] Here I've created a range of valuations to show how the waterfall changes - how different shareholders earn more / less - based on different exits. You don't necessarily need to do a lot of different exit valuations, but it can be useful to understand.</t>
  </si>
  <si>
    <t>[11] Equals the fully-diluted shares above</t>
  </si>
  <si>
    <t>[12] Calculated the overall MOIC, not necessary, just to show.</t>
  </si>
  <si>
    <t>[13] On average. But you'll see below that in many cases the distribution can cause this to be wildly different for different share classes.</t>
  </si>
  <si>
    <t>[14] Meaning, the amount left over after the liquidation preferences are paid to the share class more senior to this one.</t>
  </si>
  <si>
    <t>[15] Meaning, the number of shares that have not been paid - yet - before this share class is taken care of.</t>
  </si>
  <si>
    <t>[16] The "implied" is important here, because the actual may be different.</t>
  </si>
  <si>
    <t>[17] - What the liquidation preference would be, if it was taken. Ignores any accumulated interest and adding it to preference, assumes 1x liquidation preference</t>
  </si>
  <si>
    <t>Cap of Proceeds / Invested Capital</t>
  </si>
  <si>
    <t xml:space="preserve"> [18] What the cap on the participation would be, if it applies. Assumes 1x liquidation preference, so invested capital  = liquidation preference. This tests to see if there is a cap on the participation. "na" means it's not applicable (i.e. the preferred doesn't have participation rights, "0" means there is no cap, a number means there is a cap, and it calculates the cap on participation. Note this is in addition to the liquidation preference above.</t>
  </si>
  <si>
    <t>[19] Shares in this share class.</t>
  </si>
  <si>
    <t>[18] This tests multiple conditions to see what earns the investor more: convert to common, or take the terms of their preferred? This flag helps tell the other formulas what to do.</t>
  </si>
  <si>
    <t xml:space="preserve"> [19] So, remember that it is generally the choice of preferred shareholders to take the distribution under the terms of the rights of their preferred shares, or convert their shares to common. We are assming a 1:1 conversion ratio, although that may not always be the case.</t>
  </si>
  <si>
    <t>[20] This is all pretty straightforward, except the participation is a little tricky. Generally this can cause issues with circular references in Excel. But essentially it's just testing to see if there is any participation.</t>
  </si>
  <si>
    <t>[21] So, what does the shareholder get? Either convert to common * common share price, or liquidation preference (maximum the amount available to distribute to this share class), or liquidation preference + participation with the common.</t>
  </si>
  <si>
    <t>[22] The price per share that they receive. This may vary from the average price per share for *all* shareholders.</t>
  </si>
  <si>
    <t>[23] Meaning, the amount left over after the liquidation preferences are paid to the share class more senior to this one. This assumes that the preferred - A is senior to the preferred - Seed.</t>
  </si>
  <si>
    <t>[24] A summary, to make sure the per-share class numbers add up to the exit valuation.</t>
  </si>
  <si>
    <t>Check - does proceeds to all shareholders = exit valuation?</t>
  </si>
  <si>
    <t xml:space="preserve"> [25] A check to make sure the distribution of proceeds is working correctly. If this is zero, all is good. If not, first try turning on iterations, both in the dropdown at the top of this sheet and turning on iterative calculations in Excel under Preferences &gt; Calculation &gt; Limit iterations (check the box)</t>
  </si>
  <si>
    <t xml:space="preserve"> [6] This is a reference calculation that I use when calculating the participation for the full participating and participating with a cap options, if iterative calculations are turned off. It doesn't work in all situations - for some things, circulars are necessary - but it's helpful in most situations and it means we don't always have to have iterative calculations (for circular)s turned on.</t>
  </si>
  <si>
    <t>Exit Waterfall, showing proceeds to investors by shareholder class</t>
  </si>
  <si>
    <t>Exit Waterfall, showing % of the overall returns to investors by shareholder class</t>
  </si>
  <si>
    <t>Exit Waterfall, showing ROI to investors by shareholder class</t>
  </si>
  <si>
    <t>[26] You may need to adjust these if you change the setup of shareholders above.</t>
  </si>
  <si>
    <t>[27] The formula calculates the return (proceeds - invested capital) divided by the invested capital. The formula is a bit long because I don't calculate the invested capital elsewhere, but you could do that and simplify these calcs.</t>
  </si>
  <si>
    <t>[28] Slight adjustment for this shareholder to account for the common they purchased in the A round.</t>
  </si>
  <si>
    <t>[29] "na" means it's not applicable, for example for shareholders that didn't invest any capital, thus there is no "invested capital" in the denominator of the formula.</t>
  </si>
  <si>
    <t>Exit Waterfall, showing Gross Multiple to each class of shareholders</t>
  </si>
  <si>
    <t>Exit Waterfall, showing proceeds to individual investors</t>
  </si>
  <si>
    <t>[42] A waterfall that shows the returns to individual investors, across multiple classes of shares</t>
  </si>
  <si>
    <t xml:space="preserve"> [43] Since the base Cap Table works best if you keep the rows to single classes of shares, if you issue common and preferred to a single investor, they will show up on multiple rows here. In that case, simply add the two for the total proceeds to that investor</t>
  </si>
  <si>
    <t>DISCLAIMER</t>
  </si>
  <si>
    <t>Investments in the Company, if offered, will only be offered to a selected number of accredited investors, and only on the basis of a private offering memorandum for the Company. There are significant risks that are not presented and disclosed in this Investor Presentation.  These risks could have a significant negative impact on the performance of the Company.</t>
  </si>
  <si>
    <t>This Investor Presentation contains forward-looking statements regarding our business plans and prospects and financial conditions, all statements, other than statements of historical fact, in this Investor Presentation, and the attached exhibits, including, among other things, statements regarding our competitive strengths, business strategy, financial projections and plans and objectives of management are forward-looking statements. Although we believe that the expectations reflected in such forward-looking statements are reasonable, there can be no assurance that such expectations will prove to be correct.  Forward-looking statements are inherently subject to risks and uncertainties, many of which cannot be predicted with accuracy and some of which might not even be anticipated.  Future events and actual results, financial or otherwise, could differ materially from those set forth in, or contemplated by, the forward-looking statements in this Investor Presentation, and, as such, the forward-looking statements contained herein should not be relied upon when making your investment decision.  We undertake no obligation to update or revise any forward-looking statements.</t>
  </si>
  <si>
    <t>The financial projections in this Investor Presentation present, to the best of management’s knowledge and belief, the Company’s expected financial position, results of operations, and cash flows for the forecast period.  Accordingly, the financial projections reflect its judgment, as of the date of these financial projections, of the expected conditions and its expected course of action following the sale of securities by the Company.  The assumptions disclosed herein are those that management believes are significant to the financial projections.  There will usually be differences between the projected and actual results, because events and circumstances frequently do not occur as expected, and those differences may be material.  Since the projections are based upon assumptions about circumstances and events that have not yet taken place regarding costs, income, expenses and federal tax matters, which are subject to variations and economic events as future operations actually occur, they do not necessarily reflect the results that will be achieved and should not be relied upon. In all cases, the targeted returns are not predictions or projections that the results in the pro forma financials will be achieved nor of the performance of any investment, and are expressly subject to all assumptions embedded in the pro forma financials and the risk factors disclosed herein. This investment has a high degree of risk, and there can be no assurances that all or any of the assumptions will be true or that an investment’s actual performance will bear any relation to these hypothetical illustrations.</t>
  </si>
  <si>
    <t xml:space="preserve">This information contained in this Investor Presentation includes proprietary information, is strictly confidential, and is not to be used or distributed to others without the express written consent of the Company. </t>
  </si>
  <si>
    <t>This document has been prepared solely for information purposes and is being furnished solely for use by prospective purchasers in considering their interest in obtaining additional information and making their own evaluation of the Company and does not contain all of the information that a prospective purchaser may desire.  This information reflects various assumptions by the Company concerning anticipated results, which assumptions may or may not prove to be correct, and the Company has no obligation to update such information.  The only information that will have any legal effect will be that specifically contained in definitive documentation. This Investor Presentation has been submitted confidentially to a limited number of investors so that they can consider their interest in obtaining additional information and making their own evaluation of the Company.  No offers to purchase the securities of the Company will be accepted prior to (1) the receipt by recipient of a complete private offering memorandum and (2) determination by the Company that the recipient is an appropriate purchaser in light of standards contained in U.S. Securities laws after a full evaluation of recipient by the Company.  The Company has not authorized its use for any other purpose.  This Investor Presentation may not be copied or reproduced in whole or in part.  By accepting a copy of this Investor Presentation, the recipient agrees that neither it nor any of its representatives, agents or employees shall use it for any other purpose or divulge to any party any confidential information about the Company.</t>
  </si>
  <si>
    <t>Support</t>
  </si>
  <si>
    <t>Details: https://foresight.is/learn/support</t>
  </si>
  <si>
    <t>hello@foresight.is</t>
  </si>
  <si>
    <t>Contact me by email (hello@foresight.is), livechat (on website), phone, WhatsApp or text (all 646.770.0052) - I’m happy to help. I do my best to respond promptly and advise on how to use the templates for your usecase, and I’m happy to take a look at your model to make sure you are using it correctly for your situation.</t>
  </si>
  <si>
    <t>Guides &amp; Tutorials</t>
  </si>
  <si>
    <t>General: https://foresight.is/learn</t>
  </si>
  <si>
    <t>I've written many guides and tutorials on how to use the models on the web, visit the links above for more on this specific product and general guides on finance, accounting, and financial modeling.</t>
  </si>
  <si>
    <t>Services - Get Started, Customization, and more</t>
  </si>
  <si>
    <t>All services: https://foresight.is/services</t>
  </si>
  <si>
    <t>I offer a range of services to help you get started with the model (Get Started), build a custom model (Custom), prepare for fundraising (Fundraising Preparation), and transaction advisory support, primarily around cap tables and valuation. Learn more at the link above.</t>
  </si>
  <si>
    <t>[38] This is used in the Legal Disclaimer sheet, which is purely optional, but something many people choose to include in their projections when they provide them to potential investors</t>
  </si>
  <si>
    <t>[38]</t>
  </si>
  <si>
    <t xml:space="preserve">Goal of this model is to show how to build a cap table and an exit waterfall, for a variety of situations, plus provide a working capital table to use for (almost) all situations. The "Cap Table" sheet is the working capital table to use for your business (and "Exit Waterfall" sheet is an analysis of the exit distribution from this cap table, respectively), the rest of the sheets are instructional tools. </t>
  </si>
  <si>
    <t>See more models at https://foresight.is</t>
  </si>
  <si>
    <t>License</t>
  </si>
  <si>
    <t>Please support independent entrepreneurs: here's more about me: https://taylordavidson.com/hello</t>
  </si>
  <si>
    <t>This model is available for download at at https://foresight.is/cap-table</t>
  </si>
  <si>
    <t>LEGAL &amp; COPYRIGHT</t>
  </si>
  <si>
    <t>Summary of terms of use and warranties are below, full Terms of Use and Warranties are located at https://foresight.is/terms</t>
  </si>
  <si>
    <t>Privacy Policy and how we use your data is at https://foresight.is/privacy</t>
  </si>
  <si>
    <t>TERMS OF USE</t>
  </si>
  <si>
    <t>The product is a template for you to modify for your business</t>
  </si>
  <si>
    <t>The financial models and educational courses ("Products") have been designed for your use to estimate and project your financials for your business idea. They include some benchmark data and structure to help you create your projections, but you will need to modify the assumptions and structure to fit your business. We do not accept any liability for damages in using the financial models.</t>
  </si>
  <si>
    <t>We are not financial advisors</t>
  </si>
  <si>
    <t>We provide information designed to educate and inform entrepreneurs. We and our Products, our advice, guides, tutorials, and consulting services ("Services") are not intended to provide legal, tax or financial advice. We are not financial planners, brokers or tax advisors. The Products and Services are intended only to assist you in the organization of your finances and decision-making and is broad in scope. Your financial situation is unique, and any information and advice obtained through the Products and Services may not be appropriate for your situation. Accordingly, before making any final decisions or implementing any financial strategy, you should consider obtaining additional information and advice from your accountant or other financial advisers who are fully aware of your individual situation.</t>
  </si>
  <si>
    <t>Subject to your compliance with these Terms, you are hereby granted a non-exclusive, limited, non-transferable, revocable license to use the Product as we intend for them to be used. This license applies to a single individual or company, and may not be distributed for reuse outside of yourself or your company. You are licensed to keep, for your own personal records, electronic or physical copies of documents you have created from the Product. You may not copy the content of the models for use or sale. Any rights not expressly granted in these Terms are reserved by us.</t>
  </si>
  <si>
    <t>Resale or unauthorized distribution of materials downloaded from the website is strictly prohibited. Use of these materials is for your personal or business use. Any resale or redistribution of our materials requires express written consent from us.</t>
  </si>
  <si>
    <t>Intellectual Property Rights</t>
  </si>
  <si>
    <t>We retain all right, title and interest in and to the products, including, without limitation, software, images, text, graphics, illustrations, logos, service marks, copyrights, photographs, videos, music, spreadsheet methods, and all related intellectual property rights. Except as otherwise provided in this agreement, you may not, and may not permit others to: (i) reproduce, modify, translate, enhance, decompile, disassemble, reverse engineer or create derivative works of any of our Product; (ii) sell, license, sublicense, rent, lease, distribute, copy, publicly display, publish, adapt or edit any of our Product; or (iii) circumvent or disable any security or technological features of our Product.</t>
  </si>
  <si>
    <t>The design, text, graphics, selection and arrangement thereof and services and the legal forms, documents, guidance and all other content found on our website are the copyright © of us. All rights reserved.</t>
  </si>
  <si>
    <t>Disclaimer</t>
  </si>
  <si>
    <t>We are always seeking to deliver an excellent Product to you. However, from time to time, some of the information, software, products, and services made available through the website may include inaccuracies or typographical errors. Thus information received from us should not be relied upon for personal, medical, legal, or financial decisions. You should consult an appropriate professional for specific advice tailored to your situation. In short, your use of our Product and Services is at your own risk.</t>
  </si>
  <si>
    <t>TO THE FULLEST EXTENT PERMITTED BY LAW, WE AND OUR AFFILIATES, SUPPLIERS AND DISTRIBUTORS MAKE NO WARRANTIES, EITHER EXPRESS OR IMPLIED, ABOUT THE PRODUCTS AND SERVICES. THE PRODUCTS AND SERVICES ARE PROVIDED “AS IS.” WE ALSO DISCLAIM ANY WARRANTIES OF MERCHANTABILITY, FITNESS FOR A PARTICULAR PURPOSE AND NON-INFRINGEMENT. INFORMATION AND OPINIONS RECEIVED VIA THE PRODUCTS AND THE WEBSITE SHOULD NOT BE RELIED UPON FOR PERSONAL, MEDICAL, LEGAL OR FINANCIAL DECISIONS AND YOU SHOULD CONSULT AN APPROPRIATE PROFESSIONAL FOR SPECIFIC ADVICE TAILORED TO YOUR SITUATION.</t>
  </si>
  <si>
    <t>TO THE FULLEST EXTENT PERMITTED BY LAW, IN NO EVENT WILL WE, OUR AFFILIATES, SUPPLIERS OR DISTRIBUTORS BE LIABLE FOR ANY INDIRECT, SPECIAL, INCIDENTAL, PUNITIVE, EXEMPLARY OR CONSEQUENTIAL DAMAGES OR ANY LOSS OF USE, DATA, BUSINESS, OR PROFITS, REGARDLESS OF LEGAL THEORY, WHETHER OR NOT WE HAVE BEEN WARNED OF THE POSSIBILITY OF SUCH DAMAGES, AND EVEN IF A REMEDY FAILS OF ITS ESSENTIAL PURPOSE.</t>
  </si>
  <si>
    <t>OUR AGGREGATE LIABILITY FOR ALL CLAIMS RELATING TO THE PRODUCTS AND SERVICES SHALL IN NO EVENT EXCEED THE GREATER OF $500 OR THE AMOUNT PAID BY YOU TO US FOR THE 12 MONTHS PRECEEDING THE PRODUCTS AND SERVICES IN QUESTION.</t>
  </si>
  <si>
    <t>Indemnification</t>
  </si>
  <si>
    <t>You shall defend, indemnify and hold us and our officers, directors, shareholders, and employees, harmless from and against all claims, suits, proceedings, losses, liabilities, and expenses, whether in tort, contract, or otherwise, that arise out of or relate, including but not limited to attorneys fees, in whole or in part arising out of or attributable to any breach of this Agreement or any activity by you in relation to the Sites or your use of the Products and Services.</t>
  </si>
  <si>
    <t>Third Party Websites</t>
  </si>
  <si>
    <t>We may provide links on our website to the websites of other companies, whether affiliated with us or not. We cannot give any undertaking, that products you purchase from companies to whose website we have provided a link on our website, will be fit for purpose or of satisfactory quality, and any such warranties are DISCLAIMED by us absolutely. This DISCLAIMER does not affect your statutory rights against the third party seller.</t>
  </si>
  <si>
    <t>Privacy</t>
  </si>
  <si>
    <t>Your privacy is important to us - please see our full privacy policy at foresight.is/privacy to understand how we protect your personal information.</t>
  </si>
  <si>
    <t>Notices and Complaints</t>
  </si>
  <si>
    <t>All notices given by you to us (including any complaints that you may have) should be sent to Unstructured Ventures, LLC</t>
  </si>
  <si>
    <t>By e-mail to: hello@foresight.is</t>
  </si>
  <si>
    <t>By post to: Unstructured Ventures, LLC, PO Box 5226, Pittsburgh, PA 15206 USA</t>
  </si>
  <si>
    <t>We may give notice to you at either the e-mail or postal address you provide to us when placing an order. Notice will be deemed received and properly served immediately when posted on our Website, 24 hours after an e-mail is sent, or two days after the date of posting of any letter. In proving the service of any notice, it will be sufficient to prove, in the case of a letter, that such letter was properly addressed, stamped and placed in the post and, in the case of an e-mail, that such e-mail was sent to the specified e-mail address of the addressee.</t>
  </si>
  <si>
    <t>Jurisdiction</t>
  </si>
  <si>
    <t>These terms and conditions shall be governed by, and construed in accordance with, the laws of the Commonwealth of Pennsylvania in the United States of America. Disputes arising here from shall be exclusively subject to the jurisdiction of US courts.</t>
  </si>
  <si>
    <t>Entire Agreement</t>
  </si>
  <si>
    <t>The entire agreement is at https://foresight.is/terms</t>
  </si>
  <si>
    <t>These terms and conditions, our privacy policy and any document expressly referred to in them represent the entire agreement between us in relation to the subject matter of any contract and supersede any prior agreement, understanding or arrangement between you and us, whether oral or in writing.</t>
  </si>
  <si>
    <t>You and we acknowledge that, in entering into a contract, you have not and we have not relied on any representation, undertaking or promise given by the other or be implied from anything said or written in negotiations between you and us prior to such contract except as expressly stated in these terms and conditions.</t>
  </si>
  <si>
    <t>License terms are summarized below and at https://foresight.is/terms</t>
  </si>
  <si>
    <t>Visit https://foresight.is/learn/cap-table-overview to get more instructions and videos on how to use the model, including details on each sheet and key components.</t>
  </si>
  <si>
    <t>Cap Table Tool: https://foresight.is/learn/cap-table-overview</t>
  </si>
  <si>
    <t>[12] Fully-diluted reflects the number of shares that would be issued for all outstanding convertibles, if they were converted. Without more info, it is assumed that they convert at their valuation cap.</t>
  </si>
  <si>
    <t># Fully Diluted Shares [12]</t>
  </si>
  <si>
    <t># Fully Diluted Shares [13]</t>
  </si>
  <si>
    <t>[13] Structurally, this example assumes all convertibles convert in this round, so there are no unconverted investments, and thus issued and outstanding = fully diluted</t>
  </si>
  <si>
    <t># Fully Diluted Shares [4]</t>
  </si>
  <si>
    <t>[4] Fully-diluted reflects the number of shares that would be issued for all outstanding convertibles, if they were converted. Without more info, it is assumed that they convert at their valuation cap.</t>
  </si>
  <si>
    <t>Instructional Sheets: Little edits throughout, more notes. Added "Fully Diluted" to all the Convertible instructional sheets to match the main cap table, and because it's important to show fully-diluted. Added a sheet to show the combination of an option pool and convertible issuance (and conversion).</t>
  </si>
  <si>
    <t>Cap Table: Reorganized the assumptions layout to bring them in line with the Cap Table, deleting the Assumptions sheet and bringing them into the Cap Table sheet.. Why? I think in practice it is better - in this case - to bring the assumptions closer to the cap table. The cap table always involved a bit of manual inputs around the investments per investor, and previously it took a bit of back and forth between the sheets to adjust the inputs.This also makes it the same, structurally, as the instructional sheets, which I always like using as my base when I build custom cap tables. Reorganizing the inputs makes it a little less "plug and play", but I don't think cap tables are ever plug and play, so removing the sheen makes this a bit more usable, in my opinion.</t>
  </si>
  <si>
    <t>Cap Table: Just a note: Previously, this tool was the same cap table used in the Standard Model. However, going forward, the Standard Model will use a simplified structure for its cap table. The reason is that I don't always advocate for including a detailed cap table in the Standard Model, and it created an additional layer of compleity that was not always necessary in a forecast model. The simplified structure in the Standard Model can be used with this more detailed Cap Table model if desired, contact hello@foresight.is with any questions.</t>
  </si>
  <si>
    <t># Fully Diluted Shares [5]</t>
  </si>
  <si>
    <t># Fully Diluted Shares [6]</t>
  </si>
  <si>
    <t>[5] Fully-diluted reflects the number of shares that would be issued for all outstanding convertibles, if they were converted. Without more info, it is assumed that they convert at their valuation cap.</t>
  </si>
  <si>
    <t>[6] Structurally, this example assumes all convertibles convert in this round, so there are no unconverted investments, and thus issued and outstanding = fully diluted</t>
  </si>
  <si>
    <t>[7] Fully-diluted reflects the number of shares that would be issued for all outstanding convertibles, if they were converted. Without more info, it is assumed that they convert at their valuation cap.</t>
  </si>
  <si>
    <t>[8] Structurally, this example assumes all convertibles convert in this round, so there are no unconverted investments, and thus issued and outstanding = fully diluted</t>
  </si>
  <si>
    <t># Fully Diluted Shares [7]</t>
  </si>
  <si>
    <t># Fully Diluted Shares [8]</t>
  </si>
  <si>
    <t>[9] The formula is a little over-complicated in this scenario; the IFERROR is testing to see if it can calculated the options using the share price and the round, if not, it uses the % using the # of shares (issued and outstanding) to calculate. This is for the scenario when an option pool is issued with a convertible issuance, thus there is no valuation to use for the share price.</t>
  </si>
  <si>
    <t>Example: Conversion of a convertible instrument into an equity round, with options for Premoney and Postmoney Option Pool, showing how Granted Options and a note issuance and conversion impact the cap table</t>
  </si>
  <si>
    <t>% Ownership, Fully-Diluted</t>
  </si>
  <si>
    <t>% Ownership, Issued and Outstanding</t>
  </si>
  <si>
    <t>Method for note conversion</t>
  </si>
  <si>
    <t>[10] In this example ,you can select with conversion method to use, simply by using the dropdown. See each instructional sheet for more details on each method. % ownership and $ invested will require you to turn on iterations for the calculations to work correctly.</t>
  </si>
  <si>
    <t>[11]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 which does not require an iterative calculation, but you can also select to use iterations - select "yes" in the dropdown and turn on limit iterations under Excel &gt; Preferences &gt; Calculation - and the formulas will use the valuation cap, if necessary.</t>
  </si>
  <si>
    <t>Iterations required?</t>
  </si>
  <si>
    <t>Valuation Check</t>
  </si>
  <si>
    <t>[12] This checks to make sure the effective postmoney valuation calculated in the round equals the cap table. If this is not equal to zero, check your settings. Most likely, you need to turn on iterations by selecting "yes" in the dropdown in [11], and turning on Iterations in Excel under Preferences &gt; Calculation &gt; Limit Iterations (check the box)</t>
  </si>
  <si>
    <t xml:space="preserve"> [12] Valuation of the company before the investment goes in. note: if this is a convertible note or SAFE-only round, there is no premoney valuation to input, leave as zero. Any numbers in the default template are just placeholders, please change for your situation.</t>
  </si>
  <si>
    <r>
      <rPr>
        <b/>
        <sz val="12"/>
        <color theme="1"/>
        <rFont val="Avenir Book"/>
        <family val="2"/>
      </rPr>
      <t>6 - VC Valuation</t>
    </r>
    <r>
      <rPr>
        <sz val="12"/>
        <color theme="1"/>
        <rFont val="Avenir Book"/>
        <family val="2"/>
      </rPr>
      <t xml:space="preserve"> is a separate tool, not connected to the other instructional sheets, that creates a valuation and returns (proceeds, ROI, IRR) forecast for a given investment. Optionally, this can create probability-weighted values.</t>
    </r>
  </si>
  <si>
    <t>[37] The instrument used to make the original investment. If the instrument converts, you can leave the type as the form of the original investment and convert to equity in the appropriate round.</t>
  </si>
  <si>
    <t>v 2.3 - 17 January 2019</t>
  </si>
  <si>
    <t>v 2.4 - 4 February 2019</t>
  </si>
  <si>
    <t>4 - Option Pool + Convention: Edits to the Fully-diluted shares calculations, each round in this sheet was incorrectly calculating fully-diluted shares. This calc is situational specific, so you may need to change the formula if you are using this sheet for other rounds, not converting the notes in the second round, or other scenarios. Check the results to make sure they make sense to you.</t>
  </si>
  <si>
    <t>v 2.5 - 18 March 2019</t>
  </si>
  <si>
    <t>Cap Table: R73 (postmoney valuation, first funding round) drew it's calcs from the incorrect column. Thank you George for finding this simple error.</t>
  </si>
  <si>
    <t>Cap Table: Edited a couple # shares calcs for line 7 in all rounds, fixing a stray "0" that should have had a calculation in those cells</t>
  </si>
  <si>
    <t xml:space="preserve"> [1] Fully-Diluted Shares account for unconverted Convertible Notes, SAFEs, and Warrants, to show what ownership would be if all convertible instruments converted. It handles conversion similar to conversion at maturity, by calculating the share price based on the instrument's cap / # of total issued and outstanding shares and options, and calculates the total amount to be converted using the invested amount and adding in any accumulated interest to be converted. You can select to have this calculated based on a premoney or postmoney basis (for YC Postmoney SAFEs, for example). If your methodology is different, feel free to change it.</t>
  </si>
  <si>
    <t>Cap Table and all 3 - Conversion sheets and 4 - Option Pool and Conversion: Switched the "Converted in Round" calcs for all rounds to use monthly interest rate instead of annual, as it would fail to pick up interest earned on conversions that happen less than a year from issuance of the convertible, and undercalculate accrued interest for periods that do not match annual intervals.</t>
  </si>
  <si>
    <t>Example: Conversion of a Convertible Note or SAFE with the issuance of a qualified Equity financing, specifically for the Y Combinator Postmoney SAFE</t>
  </si>
  <si>
    <t>New sheet, 3 - Conversion, Postmoney, and edits to 4 - Option Pool: Added a new sheet to clearly show how to use the new Y Combinator Postmoney SAFE. The core Cap Table sheet already supports it, but now the instructional sheets provide a better guide on how to set it up with the core Cap Table sheet. Also made one small edit on Cap Table to optionally calculate fully-diluted shares on a premoney or postmoney basis. Yes, I know this edit is done on a global basis, which reflects an assumption that all SAFEs are either premoney or postmoney. If this assumption turns out to be an issue it can be edited to be more granular, and if it is requested I will change this.</t>
  </si>
  <si>
    <t>SAFE Investor</t>
  </si>
  <si>
    <t>Equity Investor</t>
  </si>
  <si>
    <t>[5] Fully-diluted reflects the number of shares that would be issued for all outstanding convertibles, if they were converted. Without more info, it is assumed that they convert at their valuation cap. For the Postmoney SAFE, the fully-diluted fully-diluted calc is slightly different to reflect the % ownership post-conversion.</t>
  </si>
  <si>
    <t>Copyright 2019 Unstructured Ventures, LLC</t>
  </si>
  <si>
    <t>postmoney</t>
  </si>
  <si>
    <t>See more about the Y Combinator Postmoney SAFE at https://www.ycombinator.com/documents/ and the Safe User Guide https://www.ycombinator.com/docs/Post%20Money%20Safe%20User%20Guide.pdf</t>
  </si>
  <si>
    <t>[7] This sheet is setup to show the difference between premoney and postmoney conversions. Select "postmoney" to show the calculations using the postmoney method for converting the postmoney SAFE; you will have to turn on iterations / circulars for calculations to be accurate if there is a discount rate or interest converted as part of the note. The model assumes all SAFEs are postmoney SAFEs, to model postmoney SAFEs and premoney SAFEs, use the core Cap Table model and break the different types of SAFEs into separate rounds.</t>
  </si>
  <si>
    <t>Total Note or SAFE dilution</t>
  </si>
  <si>
    <t>Convert SAFE (or Note) on premoney or postmoney</t>
  </si>
  <si>
    <t>Note: Total Note or SAFE dilution</t>
  </si>
  <si>
    <t xml:space="preserve">[2] In effect, this is holding the postmoney valuation constant and subtracting the investment and the value of the conversion to calculate the premoney valuation, and thus the new share price for the investment and all the conversions. </t>
  </si>
  <si>
    <t>Cap Table and relevant instructional sheets with option pools: Added condition for calculation of postmoney option pool # of shares to test to see if there is a valuation, and if not, to calculate the # of shares based on the issued and outstanding prior to the round. This corrects for the zero shares that would have been estimated in the case of a zero valuation.</t>
  </si>
  <si>
    <t>Postmoney SAFE</t>
  </si>
  <si>
    <t>[13] This sheet is setup to show the difference between premoney and postmoney conversions. Select "postmoney" to show the calculations using the postmoney method for converting the postmoney SAFE; you will have to turn on iterations / circulars for calculations to be accurate if there is a discount rate or interest converted as part of the note. If there is a postmoney SAFE in a round, the model assumes all convertibles are postmoney SAFEs. To model postmoney SAFEs and premoney SAFEs and/or convertible notes together, use the core Cap Table model and break the different types of SAFEs into separate rounds.</t>
  </si>
  <si>
    <t>Cap Table: Added new columns to optionally calculate total dilution from postmoney SAFEs per round in order to calculate fully-diluted; changed $ converted in round to pick up SAFEs, and changed share price to handle postmoney SAFEs using previous round fully-diluted instead of issued and outstanding to calculate price per share.</t>
  </si>
  <si>
    <r>
      <rPr>
        <b/>
        <sz val="12"/>
        <color theme="1"/>
        <rFont val="Avenir Book"/>
        <family val="2"/>
      </rPr>
      <t xml:space="preserve">3 - Conversion, Postmoney </t>
    </r>
    <r>
      <rPr>
        <sz val="12"/>
        <color theme="1"/>
        <rFont val="Avenir Book"/>
        <family val="2"/>
      </rPr>
      <t>demonstrates converting a postmoney SAFE using the method for calculating the share price under these documents</t>
    </r>
  </si>
  <si>
    <r>
      <rPr>
        <b/>
        <sz val="12"/>
        <color theme="1"/>
        <rFont val="Avenir Book"/>
        <family val="2"/>
      </rPr>
      <t xml:space="preserve">4 - Option Pool &amp; Conversion </t>
    </r>
    <r>
      <rPr>
        <sz val="12"/>
        <color theme="1"/>
        <rFont val="Avenir Book"/>
        <family val="2"/>
      </rPr>
      <t>demonstrates issuing an option pool (in premoney and/or postmoney) and note issuance and conversions, with options for all four note/SAFE conversion methods</t>
    </r>
  </si>
  <si>
    <t xml:space="preserve"> [36] For informational purposes, can set a couple different share classes and see how groups of share ownership changes over time. If the instrument is a note, SAFE, or warrants, and no shares are issued in that round, select the type of shareclass that the instrument converts into.</t>
  </si>
  <si>
    <t>% Dilution, Postmoney SAFE [39]</t>
  </si>
  <si>
    <t>[39] New in 2.51, this is used for Y Combinator Postmoney SAFEs. Used only to calculate the total dilution from postmoney SAFEs to calculate fully-diluted for unconverted SAFEs in that round</t>
  </si>
  <si>
    <t>[6] Price per share for the new investment in this round. The IF statement covers the Postmoney SAFE, if a Postmoney SAFE is converted in the round</t>
  </si>
  <si>
    <t>v 2.5.1 - 17 June 2019</t>
  </si>
  <si>
    <t>v 2.5.2 - 18 June 2019</t>
  </si>
  <si>
    <t>Cap Table: Edited the summary columns - at the very end of the sheet - to correctly pull in the shares, options, and fully-diluted per round, for the Summary and Exit Waterfall sheets.</t>
  </si>
  <si>
    <t>base assumption, used to create the midpoint of the range of exit valuations below. The initial assumption is just a starting point, please change as you wish. Input the amount distributed to shareholders after payment of any debt</t>
  </si>
  <si>
    <t>Exit Valuation (distributed to shareholders)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</si>
</sst>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0.00_);_(&quot;$&quot;* \(#,##0.00\);_(&quot;$&quot;* &quot;-&quot;??_);_(@_)"/>
    <numFmt numFmtId="43" formatCode="_(* #,##0.00_);_(* \(#,##0.00\);_(* &quot;-&quot;??_);_(@_)"/>
    <numFmt numFmtId="164" formatCode="_(* #,##0_);_(* \(#,##0\);_(* &quot;-&quot;??_);_(@_)"/>
    <numFmt numFmtId="165" formatCode="_(* #,##0.0_);_(* \(#,##0.0\);_(* &quot;-&quot;??_);_(@_)"/>
    <numFmt numFmtId="166" formatCode="_(* #,##0.00000_);_(* \(#,##0.00000\);_(* &quot;-&quot;??_);_(@_)"/>
    <numFmt numFmtId="167" formatCode="_-* #,##0_-;\-* #,##0_-;_-* &quot;-&quot;??_-;_-@_-"/>
    <numFmt numFmtId="168" formatCode="_-* #,##0.00_-;\-* #,##0.00_-;_-* &quot;-&quot;??_-;_-@_-"/>
    <numFmt numFmtId="169" formatCode="0.0%"/>
    <numFmt numFmtId="170" formatCode="0.00000"/>
    <numFmt numFmtId="171" formatCode="_(* #,##0.0000_);_(* \(#,##0.0000\);_(* &quot;-&quot;??_);_(@_)"/>
    <numFmt numFmtId="172" formatCode="0.00000%"/>
    <numFmt numFmtId="173" formatCode="_(* #,##0.0000000_);_(* \(#,##0.0000000\);_(* &quot;-&quot;??_);_(@_)"/>
    <numFmt numFmtId="174" formatCode="_(* #,##0.000_);_(* \(#,##0.000\);_(* &quot;-&quot;??_);_(@_)"/>
    <numFmt numFmtId="175" formatCode="0.000%"/>
    <numFmt numFmtId="176" formatCode="_(* #,##0.0\ \x_);_(* \(#,##0.0\ \x\);_(* &quot;-&quot;??_);_(@_)"/>
    <numFmt numFmtId="177" formatCode="_(* #,##0_);_(* \(#,##0\);_(* &quot;-&quot;?????_);_(@_)"/>
    <numFmt numFmtId="178" formatCode="_(* #,##0.00000_);_(* \(#,##0.00000\);_(* &quot;-&quot;?????_);_(@_)"/>
  </numFmts>
  <fonts count="37">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204"/>
      <scheme val="minor"/>
    </font>
    <font>
      <sz val="12"/>
      <color theme="1"/>
      <name val="Calibri"/>
      <family val="2"/>
      <scheme val="minor"/>
    </font>
    <font>
      <sz val="12"/>
      <color theme="1"/>
      <name val="Calibri"/>
      <family val="2"/>
      <scheme val="minor"/>
    </font>
    <font>
      <sz val="12"/>
      <color theme="1"/>
      <name val="Calibri"/>
      <family val="2"/>
      <charset val="238"/>
      <scheme val="minor"/>
    </font>
    <font>
      <sz val="12"/>
      <color theme="1"/>
      <name val="Calibri"/>
      <family val="2"/>
      <scheme val="minor"/>
    </font>
    <font>
      <sz val="12"/>
      <color theme="1"/>
      <name val="Calibri"/>
      <family val="2"/>
      <scheme val="minor"/>
    </font>
    <font>
      <sz val="12"/>
      <color theme="1"/>
      <name val="Calibri"/>
      <family val="2"/>
      <scheme val="minor"/>
    </font>
    <font>
      <sz val="8"/>
      <name val="Tahoma"/>
      <family val="2"/>
    </font>
    <font>
      <sz val="10"/>
      <name val="Arial"/>
      <family val="2"/>
    </font>
    <font>
      <b/>
      <sz val="8"/>
      <color indexed="9"/>
      <name val="Tahoma"/>
      <family val="2"/>
    </font>
    <font>
      <b/>
      <sz val="8"/>
      <color indexed="8"/>
      <name val="Tahoma"/>
      <family val="2"/>
    </font>
    <font>
      <sz val="10"/>
      <color rgb="FF000000"/>
      <name val="Arial"/>
      <family val="2"/>
    </font>
    <font>
      <u/>
      <sz val="12"/>
      <color theme="10"/>
      <name val="Calibri"/>
      <family val="2"/>
      <scheme val="minor"/>
    </font>
    <font>
      <u/>
      <sz val="12"/>
      <color theme="11"/>
      <name val="Calibri"/>
      <family val="2"/>
      <scheme val="minor"/>
    </font>
    <font>
      <sz val="12"/>
      <color theme="1"/>
      <name val="Avenir Book"/>
      <family val="2"/>
    </font>
    <font>
      <b/>
      <sz val="12"/>
      <color theme="1"/>
      <name val="Avenir Book"/>
      <family val="2"/>
    </font>
    <font>
      <sz val="12"/>
      <color rgb="FF0000FF"/>
      <name val="Avenir Book"/>
      <family val="2"/>
    </font>
    <font>
      <sz val="12"/>
      <color rgb="FF3366FF"/>
      <name val="Avenir Book"/>
      <family val="2"/>
    </font>
    <font>
      <sz val="12"/>
      <name val="Avenir Book"/>
      <family val="2"/>
    </font>
    <font>
      <i/>
      <sz val="12"/>
      <color theme="1"/>
      <name val="Avenir Book"/>
      <family val="2"/>
    </font>
    <font>
      <b/>
      <i/>
      <sz val="12"/>
      <color theme="1"/>
      <name val="Avenir Book"/>
      <family val="2"/>
    </font>
    <font>
      <sz val="12"/>
      <color theme="1"/>
      <name val="Arial Narrow"/>
      <family val="2"/>
    </font>
    <font>
      <sz val="11"/>
      <color indexed="8"/>
      <name val="Calibri"/>
      <family val="2"/>
      <scheme val="minor"/>
    </font>
    <font>
      <b/>
      <sz val="15"/>
      <color theme="3"/>
      <name val="Calibri"/>
      <family val="2"/>
      <charset val="238"/>
      <scheme val="minor"/>
    </font>
    <font>
      <b/>
      <sz val="14"/>
      <color theme="1"/>
      <name val="Avenir Book"/>
      <family val="2"/>
    </font>
    <font>
      <b/>
      <sz val="28"/>
      <color theme="1" tint="0.34998626667073579"/>
      <name val="Cambria"/>
      <family val="2"/>
      <scheme val="major"/>
    </font>
    <font>
      <sz val="8"/>
      <color theme="1" tint="0.24994659260841701"/>
      <name val="Calibri"/>
      <family val="2"/>
      <scheme val="minor"/>
    </font>
    <font>
      <b/>
      <u/>
      <sz val="12"/>
      <color theme="1"/>
      <name val="Avenir Book"/>
      <family val="2"/>
    </font>
    <font>
      <i/>
      <sz val="11"/>
      <color theme="1"/>
      <name val="Avenir Book"/>
      <family val="2"/>
    </font>
    <font>
      <sz val="9"/>
      <color theme="1"/>
      <name val="Avenir Book"/>
      <family val="2"/>
    </font>
    <font>
      <sz val="12"/>
      <color rgb="FF000000"/>
      <name val="Avenir Book"/>
      <family val="2"/>
    </font>
    <font>
      <b/>
      <sz val="16"/>
      <color theme="1"/>
      <name val="Avenir Book"/>
      <family val="2"/>
    </font>
    <font>
      <sz val="14"/>
      <color theme="1"/>
      <name val="Avenir Book"/>
      <family val="2"/>
    </font>
    <font>
      <b/>
      <sz val="12"/>
      <color rgb="FF000000"/>
      <name val="Avenir Book"/>
      <family val="2"/>
    </font>
  </fonts>
  <fills count="7">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9"/>
        <bgColor indexed="9"/>
      </patternFill>
    </fill>
    <fill>
      <patternFill patternType="solid">
        <fgColor theme="0" tint="-4.9989318521683403E-2"/>
        <bgColor indexed="64"/>
      </patternFill>
    </fill>
    <fill>
      <patternFill patternType="solid">
        <fgColor theme="9" tint="0.79998168889431442"/>
        <bgColor indexed="64"/>
      </patternFill>
    </fill>
  </fills>
  <borders count="15">
    <border>
      <left/>
      <right/>
      <top/>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top/>
      <bottom/>
      <diagonal/>
    </border>
    <border>
      <left/>
      <right/>
      <top style="medium">
        <color auto="1"/>
      </top>
      <bottom style="medium">
        <color auto="1"/>
      </bottom>
      <diagonal/>
    </border>
    <border>
      <left/>
      <right/>
      <top/>
      <bottom style="medium">
        <color auto="1"/>
      </bottom>
      <diagonal/>
    </border>
    <border>
      <left/>
      <right/>
      <top/>
      <bottom style="thick">
        <color theme="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927">
    <xf numFmtId="0" fontId="0" fillId="0" borderId="0"/>
    <xf numFmtId="43" fontId="9" fillId="0" borderId="0" applyFont="0" applyFill="0" applyBorder="0" applyAlignment="0" applyProtection="0"/>
    <xf numFmtId="9" fontId="9" fillId="0" borderId="0" applyFont="0" applyFill="0" applyBorder="0" applyAlignment="0" applyProtection="0"/>
    <xf numFmtId="37" fontId="10" fillId="2" borderId="3" applyBorder="0" applyProtection="0">
      <alignment vertical="center"/>
    </xf>
    <xf numFmtId="43" fontId="1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4" fontId="11" fillId="0" borderId="0" applyFont="0" applyFill="0" applyBorder="0" applyAlignment="0" applyProtection="0"/>
    <xf numFmtId="37" fontId="12" fillId="3" borderId="4" applyBorder="0">
      <alignment horizontal="left" vertical="center" indent="1"/>
    </xf>
    <xf numFmtId="37" fontId="13" fillId="0" borderId="5">
      <alignment vertical="center"/>
    </xf>
    <xf numFmtId="0" fontId="13" fillId="4" borderId="6" applyNumberFormat="0">
      <alignment horizontal="left" vertical="top" indent="1"/>
    </xf>
    <xf numFmtId="0" fontId="13" fillId="2" borderId="0" applyBorder="0">
      <alignment horizontal="left" vertical="center" indent="1"/>
    </xf>
    <xf numFmtId="0" fontId="13" fillId="0" borderId="6" applyNumberFormat="0" applyFill="0">
      <alignment horizontal="centerContinuous" vertical="top"/>
    </xf>
    <xf numFmtId="0" fontId="14" fillId="0" borderId="0"/>
    <xf numFmtId="9" fontId="9"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8" fontId="2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7" fillId="0" borderId="0"/>
    <xf numFmtId="0" fontId="7" fillId="0" borderId="0"/>
    <xf numFmtId="0" fontId="7" fillId="0" borderId="0"/>
    <xf numFmtId="0" fontId="7" fillId="0" borderId="0"/>
    <xf numFmtId="0" fontId="2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6" fillId="0" borderId="7" applyNumberFormat="0" applyFill="0" applyAlignment="0" applyProtection="0"/>
    <xf numFmtId="0" fontId="28" fillId="0" borderId="0" applyNumberFormat="0" applyFill="0" applyBorder="0" applyProtection="0">
      <alignment vertical="top"/>
    </xf>
    <xf numFmtId="0" fontId="6" fillId="0" borderId="0"/>
    <xf numFmtId="0" fontId="6" fillId="0" borderId="0"/>
    <xf numFmtId="0" fontId="29"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24" fillId="0" borderId="0"/>
    <xf numFmtId="0" fontId="5" fillId="0" borderId="0"/>
    <xf numFmtId="9" fontId="24"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8" fontId="24"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4" fillId="0" borderId="0"/>
    <xf numFmtId="0" fontId="1"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95">
    <xf numFmtId="0" fontId="0" fillId="0" borderId="0" xfId="0"/>
    <xf numFmtId="43" fontId="17" fillId="0" borderId="0" xfId="1" applyNumberFormat="1" applyFont="1"/>
    <xf numFmtId="0" fontId="17" fillId="0" borderId="0" xfId="0" applyFont="1"/>
    <xf numFmtId="166" fontId="17" fillId="0" borderId="0" xfId="1" applyNumberFormat="1" applyFont="1"/>
    <xf numFmtId="164" fontId="17" fillId="0" borderId="0" xfId="1" applyNumberFormat="1" applyFont="1"/>
    <xf numFmtId="9" fontId="17" fillId="0" borderId="0" xfId="2" applyFont="1"/>
    <xf numFmtId="164" fontId="17" fillId="0" borderId="0" xfId="0" applyNumberFormat="1" applyFont="1"/>
    <xf numFmtId="9" fontId="17" fillId="0" borderId="2" xfId="2" applyFont="1" applyBorder="1"/>
    <xf numFmtId="164" fontId="17" fillId="0" borderId="2" xfId="1" applyNumberFormat="1" applyFont="1" applyBorder="1"/>
    <xf numFmtId="43" fontId="22" fillId="0" borderId="0" xfId="1" applyFont="1"/>
    <xf numFmtId="43" fontId="17" fillId="0" borderId="0" xfId="1" applyFont="1"/>
    <xf numFmtId="0" fontId="17" fillId="0" borderId="0" xfId="0" applyFont="1" applyFill="1"/>
    <xf numFmtId="164" fontId="20" fillId="5" borderId="2" xfId="1" applyNumberFormat="1" applyFont="1" applyFill="1" applyBorder="1"/>
    <xf numFmtId="164" fontId="20" fillId="5" borderId="0" xfId="1" applyNumberFormat="1" applyFont="1" applyFill="1"/>
    <xf numFmtId="164" fontId="21" fillId="0" borderId="0" xfId="1" applyNumberFormat="1" applyFont="1" applyFill="1"/>
    <xf numFmtId="167" fontId="17" fillId="0" borderId="0" xfId="1332" applyNumberFormat="1" applyFont="1"/>
    <xf numFmtId="0" fontId="18" fillId="0" borderId="0" xfId="1332" applyNumberFormat="1" applyFont="1" applyAlignment="1">
      <alignment wrapText="1"/>
    </xf>
    <xf numFmtId="0" fontId="17" fillId="0" borderId="0" xfId="1332" applyNumberFormat="1" applyFont="1" applyAlignment="1">
      <alignment wrapText="1"/>
    </xf>
    <xf numFmtId="43" fontId="18" fillId="0" borderId="0" xfId="1" applyFont="1"/>
    <xf numFmtId="0" fontId="18" fillId="0" borderId="0" xfId="0" applyFont="1"/>
    <xf numFmtId="43" fontId="17" fillId="0" borderId="0" xfId="1" applyFont="1" applyAlignment="1">
      <alignment horizontal="center"/>
    </xf>
    <xf numFmtId="0" fontId="27" fillId="0" borderId="0" xfId="1524" applyFont="1"/>
    <xf numFmtId="0" fontId="17" fillId="0" borderId="0" xfId="1524" applyFont="1"/>
    <xf numFmtId="0" fontId="17" fillId="0" borderId="0" xfId="1524" applyFont="1" applyAlignment="1">
      <alignment wrapText="1"/>
    </xf>
    <xf numFmtId="0" fontId="18" fillId="0" borderId="0" xfId="1524" applyFont="1" applyAlignment="1">
      <alignment wrapText="1"/>
    </xf>
    <xf numFmtId="14" fontId="19" fillId="5" borderId="0" xfId="1" applyNumberFormat="1" applyFont="1" applyFill="1" applyAlignment="1">
      <alignment horizontal="right"/>
    </xf>
    <xf numFmtId="164" fontId="21" fillId="0" borderId="0" xfId="1" applyNumberFormat="1" applyFont="1" applyFill="1" applyAlignment="1">
      <alignment horizontal="right"/>
    </xf>
    <xf numFmtId="43" fontId="17" fillId="0" borderId="1" xfId="1" applyFont="1" applyBorder="1" applyAlignment="1">
      <alignment horizontal="center" wrapText="1"/>
    </xf>
    <xf numFmtId="43" fontId="17" fillId="0" borderId="1" xfId="1" applyFont="1" applyBorder="1" applyAlignment="1">
      <alignment horizontal="left" wrapText="1"/>
    </xf>
    <xf numFmtId="169" fontId="20" fillId="5" borderId="0" xfId="2" applyNumberFormat="1" applyFont="1" applyFill="1"/>
    <xf numFmtId="43" fontId="17" fillId="0" borderId="0" xfId="1" applyFont="1" applyAlignment="1">
      <alignment horizontal="left"/>
    </xf>
    <xf numFmtId="43" fontId="17" fillId="0" borderId="1" xfId="1" applyFont="1" applyBorder="1" applyAlignment="1">
      <alignment horizontal="center"/>
    </xf>
    <xf numFmtId="164" fontId="17" fillId="0" borderId="0" xfId="1" applyNumberFormat="1" applyFont="1" applyAlignment="1">
      <alignment horizontal="center"/>
    </xf>
    <xf numFmtId="0" fontId="30" fillId="0" borderId="0" xfId="0" applyFont="1"/>
    <xf numFmtId="0" fontId="22" fillId="0" borderId="0" xfId="0" applyFont="1"/>
    <xf numFmtId="169" fontId="17" fillId="0" borderId="0" xfId="2" applyNumberFormat="1" applyFont="1"/>
    <xf numFmtId="169" fontId="17" fillId="0" borderId="0" xfId="0" applyNumberFormat="1" applyFont="1"/>
    <xf numFmtId="170" fontId="17" fillId="0" borderId="0" xfId="0" applyNumberFormat="1" applyFont="1"/>
    <xf numFmtId="0" fontId="17" fillId="0" borderId="2" xfId="0" applyFont="1" applyBorder="1"/>
    <xf numFmtId="169" fontId="17" fillId="0" borderId="2" xfId="2" applyNumberFormat="1" applyFont="1" applyBorder="1"/>
    <xf numFmtId="9" fontId="20" fillId="5" borderId="0" xfId="2" applyNumberFormat="1" applyFont="1" applyFill="1"/>
    <xf numFmtId="9" fontId="17" fillId="0" borderId="0" xfId="0" applyNumberFormat="1" applyFont="1"/>
    <xf numFmtId="0" fontId="17" fillId="0" borderId="1" xfId="0" applyFont="1" applyBorder="1" applyAlignment="1">
      <alignment horizontal="center"/>
    </xf>
    <xf numFmtId="0" fontId="17" fillId="0" borderId="0" xfId="0" applyFont="1" applyAlignment="1">
      <alignment horizontal="center"/>
    </xf>
    <xf numFmtId="0" fontId="17" fillId="0" borderId="0" xfId="0" quotePrefix="1" applyFont="1"/>
    <xf numFmtId="0" fontId="17" fillId="0" borderId="2" xfId="0" applyFont="1" applyBorder="1" applyAlignment="1">
      <alignment horizontal="right"/>
    </xf>
    <xf numFmtId="0" fontId="17" fillId="0" borderId="0" xfId="0" applyFont="1" applyAlignment="1">
      <alignment horizontal="right"/>
    </xf>
    <xf numFmtId="0" fontId="23" fillId="0" borderId="0" xfId="0" applyFont="1"/>
    <xf numFmtId="164" fontId="17" fillId="0" borderId="2" xfId="1" applyNumberFormat="1" applyFont="1" applyBorder="1" applyAlignment="1">
      <alignment horizontal="center"/>
    </xf>
    <xf numFmtId="43" fontId="17" fillId="0" borderId="0" xfId="1" applyFont="1" applyAlignment="1">
      <alignment horizontal="right"/>
    </xf>
    <xf numFmtId="43" fontId="17" fillId="0" borderId="0" xfId="1" applyNumberFormat="1" applyFont="1" applyAlignment="1">
      <alignment horizontal="center"/>
    </xf>
    <xf numFmtId="43" fontId="17" fillId="0" borderId="1" xfId="1" applyFont="1" applyBorder="1" applyAlignment="1">
      <alignment horizontal="right"/>
    </xf>
    <xf numFmtId="9" fontId="17" fillId="0" borderId="0" xfId="2" applyFont="1" applyBorder="1" applyAlignment="1">
      <alignment horizontal="right"/>
    </xf>
    <xf numFmtId="172" fontId="17" fillId="0" borderId="0" xfId="0" applyNumberFormat="1" applyFont="1"/>
    <xf numFmtId="173" fontId="17" fillId="0" borderId="0" xfId="1" applyNumberFormat="1" applyFont="1"/>
    <xf numFmtId="164" fontId="19" fillId="5" borderId="0" xfId="1" applyNumberFormat="1" applyFont="1" applyFill="1" applyAlignment="1">
      <alignment horizontal="right"/>
    </xf>
    <xf numFmtId="164" fontId="21" fillId="0" borderId="0" xfId="1" applyNumberFormat="1" applyFont="1" applyFill="1" applyAlignment="1">
      <alignment horizontal="center"/>
    </xf>
    <xf numFmtId="43" fontId="17" fillId="0" borderId="0" xfId="1" applyFont="1" applyFill="1"/>
    <xf numFmtId="43" fontId="17" fillId="0" borderId="0" xfId="1" applyNumberFormat="1" applyFont="1" applyFill="1" applyAlignment="1">
      <alignment horizontal="center"/>
    </xf>
    <xf numFmtId="164" fontId="17" fillId="0" borderId="0" xfId="1" applyNumberFormat="1" applyFont="1" applyFill="1"/>
    <xf numFmtId="0" fontId="17" fillId="0" borderId="0" xfId="1" applyNumberFormat="1" applyFont="1" applyAlignment="1">
      <alignment horizontal="left"/>
    </xf>
    <xf numFmtId="0" fontId="17" fillId="0" borderId="0" xfId="0" applyFont="1" applyAlignment="1">
      <alignment horizontal="left"/>
    </xf>
    <xf numFmtId="0" fontId="17" fillId="0" borderId="0" xfId="0" applyFont="1" applyFill="1" applyAlignment="1">
      <alignment horizontal="left"/>
    </xf>
    <xf numFmtId="43" fontId="17" fillId="0" borderId="0" xfId="1" applyFont="1" applyFill="1" applyAlignment="1">
      <alignment horizontal="left"/>
    </xf>
    <xf numFmtId="43" fontId="23" fillId="0" borderId="0" xfId="1" applyFont="1"/>
    <xf numFmtId="0" fontId="23" fillId="0" borderId="0" xfId="1524" applyFont="1" applyAlignment="1">
      <alignment wrapText="1"/>
    </xf>
    <xf numFmtId="0" fontId="17" fillId="0" borderId="0" xfId="1524" quotePrefix="1" applyFont="1" applyAlignment="1">
      <alignment wrapText="1"/>
    </xf>
    <xf numFmtId="9" fontId="17" fillId="0" borderId="0" xfId="2" applyFont="1" applyFill="1"/>
    <xf numFmtId="164" fontId="17" fillId="0" borderId="0" xfId="0" applyNumberFormat="1" applyFont="1" applyFill="1"/>
    <xf numFmtId="43" fontId="17" fillId="0" borderId="0" xfId="1" applyFont="1" applyFill="1" applyAlignment="1">
      <alignment horizontal="center"/>
    </xf>
    <xf numFmtId="164" fontId="17" fillId="0" borderId="2" xfId="0" applyNumberFormat="1" applyFont="1" applyFill="1" applyBorder="1"/>
    <xf numFmtId="43" fontId="22" fillId="0" borderId="0" xfId="1" applyNumberFormat="1" applyFont="1" applyAlignment="1">
      <alignment horizontal="center"/>
    </xf>
    <xf numFmtId="0" fontId="17" fillId="0" borderId="0" xfId="1" applyNumberFormat="1" applyFont="1"/>
    <xf numFmtId="14" fontId="20" fillId="5" borderId="0" xfId="1" applyNumberFormat="1" applyFont="1" applyFill="1" applyAlignment="1">
      <alignment horizontal="right"/>
    </xf>
    <xf numFmtId="164" fontId="17" fillId="0" borderId="0" xfId="1" applyNumberFormat="1" applyFont="1" applyFill="1" applyBorder="1" applyAlignment="1">
      <alignment horizontal="center"/>
    </xf>
    <xf numFmtId="166" fontId="17" fillId="0" borderId="0" xfId="0" applyNumberFormat="1" applyFont="1" applyFill="1"/>
    <xf numFmtId="164" fontId="17" fillId="0" borderId="0" xfId="1" applyNumberFormat="1" applyFont="1" applyFill="1" applyAlignment="1">
      <alignment horizontal="right"/>
    </xf>
    <xf numFmtId="164" fontId="17" fillId="0" borderId="0" xfId="0" applyNumberFormat="1" applyFont="1" applyFill="1" applyAlignment="1">
      <alignment horizontal="right"/>
    </xf>
    <xf numFmtId="166" fontId="17" fillId="0" borderId="0" xfId="1" applyNumberFormat="1" applyFont="1" applyFill="1"/>
    <xf numFmtId="164" fontId="22" fillId="0" borderId="0" xfId="0" applyNumberFormat="1" applyFont="1" applyFill="1"/>
    <xf numFmtId="0" fontId="17" fillId="0" borderId="8" xfId="0" applyFont="1" applyBorder="1"/>
    <xf numFmtId="0" fontId="17" fillId="0" borderId="9" xfId="0" applyFont="1" applyBorder="1"/>
    <xf numFmtId="0" fontId="17" fillId="0" borderId="0" xfId="0" applyFont="1" applyBorder="1"/>
    <xf numFmtId="0" fontId="17" fillId="0" borderId="10" xfId="0" applyFont="1" applyBorder="1"/>
    <xf numFmtId="0" fontId="17" fillId="0" borderId="11" xfId="0" applyFont="1" applyBorder="1"/>
    <xf numFmtId="0" fontId="17" fillId="0" borderId="0" xfId="0" applyFont="1" applyBorder="1" applyAlignment="1">
      <alignment horizontal="left"/>
    </xf>
    <xf numFmtId="0" fontId="31" fillId="0" borderId="0" xfId="0" applyFont="1" applyBorder="1" applyAlignment="1">
      <alignment horizontal="left"/>
    </xf>
    <xf numFmtId="43" fontId="17" fillId="0" borderId="0" xfId="0" applyNumberFormat="1" applyFont="1"/>
    <xf numFmtId="164" fontId="17" fillId="0" borderId="2" xfId="0" applyNumberFormat="1" applyFont="1" applyBorder="1"/>
    <xf numFmtId="164" fontId="17" fillId="0" borderId="0" xfId="0" applyNumberFormat="1" applyFont="1" applyBorder="1"/>
    <xf numFmtId="0" fontId="17" fillId="0" borderId="12" xfId="0" applyFont="1" applyBorder="1"/>
    <xf numFmtId="0" fontId="18" fillId="0" borderId="12" xfId="0" applyFont="1" applyBorder="1" applyAlignment="1">
      <alignment horizontal="right"/>
    </xf>
    <xf numFmtId="0" fontId="18" fillId="0" borderId="0" xfId="0" applyFont="1" applyBorder="1" applyAlignment="1">
      <alignment horizontal="right"/>
    </xf>
    <xf numFmtId="0" fontId="17" fillId="0" borderId="0" xfId="0" applyFont="1" applyFill="1" applyAlignment="1">
      <alignment horizontal="center"/>
    </xf>
    <xf numFmtId="0" fontId="18" fillId="0" borderId="0" xfId="0" applyFont="1" applyAlignment="1">
      <alignment horizontal="center"/>
    </xf>
    <xf numFmtId="43" fontId="17" fillId="0" borderId="0" xfId="4450" applyFont="1"/>
    <xf numFmtId="169" fontId="20" fillId="5" borderId="0" xfId="4451" applyNumberFormat="1" applyFont="1" applyFill="1" applyAlignment="1">
      <alignment horizontal="right"/>
    </xf>
    <xf numFmtId="169" fontId="21" fillId="0" borderId="0" xfId="4451" applyNumberFormat="1" applyFont="1" applyFill="1"/>
    <xf numFmtId="169" fontId="17" fillId="0" borderId="0" xfId="4451" applyNumberFormat="1" applyFont="1"/>
    <xf numFmtId="165" fontId="20" fillId="5" borderId="0" xfId="4450" applyNumberFormat="1" applyFont="1" applyFill="1"/>
    <xf numFmtId="15" fontId="20" fillId="5" borderId="0" xfId="4451" applyNumberFormat="1" applyFont="1" applyFill="1" applyAlignment="1">
      <alignment horizontal="right"/>
    </xf>
    <xf numFmtId="15" fontId="21" fillId="0" borderId="0" xfId="4451" applyNumberFormat="1" applyFont="1" applyFill="1" applyAlignment="1">
      <alignment horizontal="right"/>
    </xf>
    <xf numFmtId="43" fontId="17" fillId="0" borderId="0" xfId="0" applyNumberFormat="1" applyFont="1" applyAlignment="1">
      <alignment horizontal="center"/>
    </xf>
    <xf numFmtId="164" fontId="20" fillId="5" borderId="0" xfId="4450" applyNumberFormat="1" applyFont="1" applyFill="1"/>
    <xf numFmtId="164" fontId="21" fillId="0" borderId="0" xfId="4450" applyNumberFormat="1" applyFont="1" applyFill="1"/>
    <xf numFmtId="174" fontId="17" fillId="0" borderId="0" xfId="4450" applyNumberFormat="1" applyFont="1"/>
    <xf numFmtId="43" fontId="20" fillId="5" borderId="0" xfId="4450" applyNumberFormat="1" applyFont="1" applyFill="1"/>
    <xf numFmtId="164" fontId="17" fillId="0" borderId="0" xfId="4450" applyNumberFormat="1" applyFont="1"/>
    <xf numFmtId="15" fontId="17" fillId="0" borderId="0" xfId="0" applyNumberFormat="1" applyFont="1"/>
    <xf numFmtId="175" fontId="17" fillId="0" borderId="0" xfId="0" applyNumberFormat="1" applyFont="1"/>
    <xf numFmtId="169" fontId="21" fillId="0" borderId="0" xfId="4451" applyNumberFormat="1" applyFont="1" applyFill="1" applyAlignment="1">
      <alignment horizontal="right"/>
    </xf>
    <xf numFmtId="0" fontId="17" fillId="0" borderId="0" xfId="0" applyNumberFormat="1" applyFont="1"/>
    <xf numFmtId="0" fontId="17" fillId="0" borderId="0" xfId="4451" applyNumberFormat="1" applyFont="1"/>
    <xf numFmtId="169" fontId="17" fillId="0" borderId="0" xfId="0" applyNumberFormat="1" applyFont="1" applyFill="1"/>
    <xf numFmtId="169" fontId="17" fillId="0" borderId="0" xfId="4451" applyNumberFormat="1" applyFont="1" applyFill="1"/>
    <xf numFmtId="9" fontId="20" fillId="5" borderId="0" xfId="4249" applyFont="1" applyFill="1"/>
    <xf numFmtId="9" fontId="17" fillId="0" borderId="0" xfId="4249" applyFont="1"/>
    <xf numFmtId="0" fontId="17" fillId="0" borderId="0" xfId="4248" applyNumberFormat="1" applyFont="1"/>
    <xf numFmtId="9" fontId="17" fillId="0" borderId="0" xfId="2" applyFont="1" applyFill="1" applyAlignment="1">
      <alignment horizontal="right"/>
    </xf>
    <xf numFmtId="9" fontId="20" fillId="5" borderId="0" xfId="4451" applyFont="1" applyFill="1" applyBorder="1" applyAlignment="1">
      <alignment horizontal="right"/>
    </xf>
    <xf numFmtId="9" fontId="17" fillId="0" borderId="0" xfId="2" applyFont="1" applyAlignment="1">
      <alignment horizontal="right"/>
    </xf>
    <xf numFmtId="43" fontId="17" fillId="0" borderId="0" xfId="4450" applyNumberFormat="1" applyFont="1" applyAlignment="1">
      <alignment horizontal="right"/>
    </xf>
    <xf numFmtId="164" fontId="17" fillId="0" borderId="0" xfId="4450" applyNumberFormat="1" applyFont="1" applyAlignment="1">
      <alignment horizontal="right"/>
    </xf>
    <xf numFmtId="9" fontId="17" fillId="0" borderId="0" xfId="2" applyNumberFormat="1" applyFont="1" applyAlignment="1">
      <alignment horizontal="right"/>
    </xf>
    <xf numFmtId="164" fontId="17" fillId="0" borderId="0" xfId="0" applyNumberFormat="1" applyFont="1" applyAlignment="1">
      <alignment horizontal="right"/>
    </xf>
    <xf numFmtId="165" fontId="21" fillId="0" borderId="0" xfId="4450" applyNumberFormat="1" applyFont="1" applyFill="1"/>
    <xf numFmtId="43" fontId="17" fillId="0" borderId="0" xfId="0" applyNumberFormat="1" applyFont="1" applyFill="1" applyAlignment="1">
      <alignment horizontal="center"/>
    </xf>
    <xf numFmtId="164" fontId="17" fillId="0" borderId="0" xfId="4450" applyNumberFormat="1" applyFont="1" applyAlignment="1">
      <alignment horizontal="center"/>
    </xf>
    <xf numFmtId="164" fontId="18" fillId="0" borderId="0" xfId="4450" applyNumberFormat="1" applyFont="1" applyAlignment="1">
      <alignment horizontal="center"/>
    </xf>
    <xf numFmtId="43" fontId="22" fillId="0" borderId="0" xfId="1" applyFont="1" applyFill="1"/>
    <xf numFmtId="2" fontId="17" fillId="0" borderId="0" xfId="0" applyNumberFormat="1" applyFont="1"/>
    <xf numFmtId="0" fontId="17" fillId="0" borderId="0" xfId="3899" applyFont="1"/>
    <xf numFmtId="168" fontId="17" fillId="0" borderId="0" xfId="1332" applyFont="1" applyAlignment="1">
      <alignment horizontal="center"/>
    </xf>
    <xf numFmtId="168" fontId="17" fillId="0" borderId="0" xfId="1332" applyFont="1"/>
    <xf numFmtId="0" fontId="17" fillId="0" borderId="0" xfId="5426" applyFont="1" applyAlignment="1"/>
    <xf numFmtId="167" fontId="19" fillId="5" borderId="0" xfId="1332" applyNumberFormat="1" applyFont="1" applyFill="1" applyAlignment="1">
      <alignment horizontal="right"/>
    </xf>
    <xf numFmtId="9" fontId="19" fillId="5" borderId="0" xfId="2" applyFont="1" applyFill="1"/>
    <xf numFmtId="164" fontId="19" fillId="5" borderId="0" xfId="1" applyNumberFormat="1" applyFont="1" applyFill="1"/>
    <xf numFmtId="171" fontId="19" fillId="5" borderId="0" xfId="1" applyNumberFormat="1" applyFont="1" applyFill="1"/>
    <xf numFmtId="171" fontId="19" fillId="5" borderId="0" xfId="1" applyNumberFormat="1" applyFont="1" applyFill="1" applyAlignment="1">
      <alignment horizontal="right"/>
    </xf>
    <xf numFmtId="165" fontId="19" fillId="5" borderId="0" xfId="1333" applyNumberFormat="1" applyFont="1" applyFill="1" applyAlignment="1">
      <alignment horizontal="left"/>
    </xf>
    <xf numFmtId="165" fontId="19" fillId="5" borderId="0" xfId="1" applyNumberFormat="1" applyFont="1" applyFill="1"/>
    <xf numFmtId="43" fontId="17" fillId="0" borderId="1" xfId="5725" applyFont="1" applyBorder="1" applyAlignment="1">
      <alignment horizontal="left" wrapText="1"/>
    </xf>
    <xf numFmtId="43" fontId="17" fillId="0" borderId="1" xfId="5725" applyFont="1" applyBorder="1" applyAlignment="1">
      <alignment horizontal="right" wrapText="1"/>
    </xf>
    <xf numFmtId="43" fontId="17" fillId="0" borderId="0" xfId="5725" applyFont="1" applyBorder="1" applyAlignment="1">
      <alignment horizontal="right"/>
    </xf>
    <xf numFmtId="43" fontId="19" fillId="5" borderId="0" xfId="5725" applyFont="1" applyFill="1"/>
    <xf numFmtId="164" fontId="17" fillId="0" borderId="0" xfId="5725" applyNumberFormat="1" applyFont="1"/>
    <xf numFmtId="9" fontId="17" fillId="0" borderId="0" xfId="5726" applyFont="1"/>
    <xf numFmtId="9" fontId="17" fillId="0" borderId="0" xfId="5726" applyFont="1" applyBorder="1"/>
    <xf numFmtId="43" fontId="17" fillId="0" borderId="0" xfId="5725" applyFont="1"/>
    <xf numFmtId="43" fontId="21" fillId="0" borderId="0" xfId="5725" applyFont="1" applyFill="1"/>
    <xf numFmtId="43" fontId="17" fillId="0" borderId="2" xfId="5725" applyFont="1" applyBorder="1"/>
    <xf numFmtId="9" fontId="17" fillId="0" borderId="2" xfId="5726" applyFont="1" applyBorder="1"/>
    <xf numFmtId="14" fontId="19" fillId="5" borderId="0" xfId="0" applyNumberFormat="1" applyFont="1" applyFill="1"/>
    <xf numFmtId="0" fontId="19" fillId="5" borderId="0" xfId="0" applyFont="1" applyFill="1" applyAlignment="1">
      <alignment horizontal="right"/>
    </xf>
    <xf numFmtId="43" fontId="17" fillId="0" borderId="0" xfId="5725" applyFont="1" applyAlignment="1">
      <alignment horizontal="center"/>
    </xf>
    <xf numFmtId="0" fontId="17" fillId="0" borderId="13" xfId="0" applyFont="1" applyBorder="1"/>
    <xf numFmtId="0" fontId="17" fillId="0" borderId="0" xfId="0" applyFont="1" applyBorder="1" applyAlignment="1">
      <alignment horizontal="center"/>
    </xf>
    <xf numFmtId="0" fontId="17" fillId="0" borderId="14" xfId="0" applyFont="1" applyBorder="1"/>
    <xf numFmtId="43" fontId="18" fillId="0" borderId="0" xfId="5725" applyFont="1"/>
    <xf numFmtId="43" fontId="18" fillId="0" borderId="1" xfId="5725" applyFont="1" applyBorder="1" applyAlignment="1">
      <alignment horizontal="center"/>
    </xf>
    <xf numFmtId="43" fontId="17" fillId="0" borderId="1" xfId="5725" applyFont="1" applyBorder="1" applyAlignment="1">
      <alignment horizontal="center"/>
    </xf>
    <xf numFmtId="43" fontId="18" fillId="0" borderId="1" xfId="5725" applyFont="1" applyBorder="1"/>
    <xf numFmtId="43" fontId="17" fillId="0" borderId="1" xfId="5725" applyFont="1" applyBorder="1"/>
    <xf numFmtId="43" fontId="17" fillId="0" borderId="1" xfId="5725" applyFont="1" applyBorder="1" applyAlignment="1">
      <alignment horizontal="center" wrapText="1"/>
    </xf>
    <xf numFmtId="43" fontId="17" fillId="0" borderId="0" xfId="5725" applyFont="1" applyAlignment="1">
      <alignment horizontal="center" wrapText="1"/>
    </xf>
    <xf numFmtId="43" fontId="33" fillId="0" borderId="1" xfId="0" applyNumberFormat="1" applyFont="1" applyBorder="1" applyAlignment="1">
      <alignment horizontal="left" wrapText="1"/>
    </xf>
    <xf numFmtId="43" fontId="19" fillId="5" borderId="0" xfId="5725" applyFont="1" applyFill="1" applyAlignment="1">
      <alignment horizontal="center"/>
    </xf>
    <xf numFmtId="14" fontId="19" fillId="5" borderId="0" xfId="5725" applyNumberFormat="1" applyFont="1" applyFill="1" applyAlignment="1">
      <alignment horizontal="center"/>
    </xf>
    <xf numFmtId="164" fontId="19" fillId="5" borderId="0" xfId="5725" applyNumberFormat="1" applyFont="1" applyFill="1"/>
    <xf numFmtId="164" fontId="21" fillId="0" borderId="0" xfId="5725" applyNumberFormat="1" applyFont="1" applyFill="1"/>
    <xf numFmtId="9" fontId="19" fillId="5" borderId="0" xfId="5726" applyFont="1" applyFill="1"/>
    <xf numFmtId="169" fontId="19" fillId="5" borderId="0" xfId="5726" applyNumberFormat="1" applyFont="1" applyFill="1"/>
    <xf numFmtId="164" fontId="17" fillId="0" borderId="0" xfId="5725" applyNumberFormat="1" applyFont="1" applyFill="1"/>
    <xf numFmtId="164" fontId="17" fillId="0" borderId="0" xfId="5725" applyNumberFormat="1" applyFont="1" applyAlignment="1">
      <alignment horizontal="right"/>
    </xf>
    <xf numFmtId="43" fontId="17" fillId="0" borderId="0" xfId="5725" applyNumberFormat="1" applyFont="1"/>
    <xf numFmtId="43" fontId="17" fillId="0" borderId="0" xfId="5725" applyFont="1" applyBorder="1"/>
    <xf numFmtId="43" fontId="17" fillId="0" borderId="0" xfId="5725" applyFont="1" applyBorder="1" applyAlignment="1">
      <alignment horizontal="center"/>
    </xf>
    <xf numFmtId="43" fontId="21" fillId="0" borderId="0" xfId="5725" applyFont="1" applyFill="1" applyAlignment="1">
      <alignment horizontal="center"/>
    </xf>
    <xf numFmtId="9" fontId="21" fillId="0" borderId="0" xfId="5726" applyFont="1" applyFill="1"/>
    <xf numFmtId="169" fontId="21" fillId="0" borderId="0" xfId="5726" applyNumberFormat="1" applyFont="1" applyFill="1"/>
    <xf numFmtId="43" fontId="17" fillId="0" borderId="0" xfId="5725" applyNumberFormat="1" applyFont="1" applyBorder="1"/>
    <xf numFmtId="43" fontId="17" fillId="0" borderId="2" xfId="5725" applyFont="1" applyBorder="1" applyAlignment="1">
      <alignment horizontal="center"/>
    </xf>
    <xf numFmtId="164" fontId="17" fillId="0" borderId="2" xfId="5725" applyNumberFormat="1" applyFont="1" applyBorder="1"/>
    <xf numFmtId="43" fontId="22" fillId="0" borderId="0" xfId="5725" applyFont="1" applyBorder="1"/>
    <xf numFmtId="43" fontId="19" fillId="5" borderId="0" xfId="5725" applyFont="1" applyFill="1" applyBorder="1" applyAlignment="1">
      <alignment horizontal="left"/>
    </xf>
    <xf numFmtId="164" fontId="17" fillId="0" borderId="0" xfId="5725" applyNumberFormat="1" applyFont="1" applyAlignment="1">
      <alignment horizontal="center"/>
    </xf>
    <xf numFmtId="43" fontId="17" fillId="0" borderId="0" xfId="5725" applyFont="1" applyAlignment="1">
      <alignment horizontal="right"/>
    </xf>
    <xf numFmtId="164" fontId="17" fillId="0" borderId="2" xfId="5725" applyNumberFormat="1" applyFont="1" applyBorder="1" applyAlignment="1">
      <alignment horizontal="center"/>
    </xf>
    <xf numFmtId="43" fontId="22" fillId="0" borderId="0" xfId="5725" applyFont="1"/>
    <xf numFmtId="43" fontId="33" fillId="0" borderId="0" xfId="0" applyNumberFormat="1" applyFont="1" applyAlignment="1">
      <alignment horizontal="center"/>
    </xf>
    <xf numFmtId="43" fontId="33" fillId="0" borderId="2" xfId="0" applyNumberFormat="1" applyFont="1" applyBorder="1" applyAlignment="1">
      <alignment horizontal="center"/>
    </xf>
    <xf numFmtId="43" fontId="19" fillId="5" borderId="0" xfId="5725" applyFont="1" applyFill="1" applyAlignment="1">
      <alignment horizontal="right"/>
    </xf>
    <xf numFmtId="43" fontId="17" fillId="0" borderId="0" xfId="5725" applyFont="1" applyAlignment="1">
      <alignment horizontal="left"/>
    </xf>
    <xf numFmtId="14" fontId="19" fillId="5" borderId="0" xfId="5725" applyNumberFormat="1" applyFont="1" applyFill="1" applyBorder="1" applyAlignment="1">
      <alignment horizontal="right"/>
    </xf>
    <xf numFmtId="14" fontId="19" fillId="5" borderId="0" xfId="5725" applyNumberFormat="1" applyFont="1" applyFill="1" applyAlignment="1">
      <alignment horizontal="right"/>
    </xf>
    <xf numFmtId="164" fontId="21" fillId="0" borderId="0" xfId="5725" applyNumberFormat="1" applyFont="1" applyFill="1" applyAlignment="1">
      <alignment horizontal="right"/>
    </xf>
    <xf numFmtId="164" fontId="19" fillId="5" borderId="0" xfId="5725" applyNumberFormat="1" applyFont="1" applyFill="1" applyAlignment="1">
      <alignment horizontal="right"/>
    </xf>
    <xf numFmtId="164" fontId="19" fillId="0" borderId="0" xfId="5725" applyNumberFormat="1" applyFont="1" applyFill="1" applyAlignment="1">
      <alignment horizontal="right"/>
    </xf>
    <xf numFmtId="171" fontId="17" fillId="0" borderId="0" xfId="5725" applyNumberFormat="1" applyFont="1"/>
    <xf numFmtId="9" fontId="17" fillId="0" borderId="0" xfId="5726" applyNumberFormat="1" applyFont="1"/>
    <xf numFmtId="166" fontId="17" fillId="0" borderId="0" xfId="5725" applyNumberFormat="1" applyFont="1"/>
    <xf numFmtId="176" fontId="19" fillId="5" borderId="0" xfId="5725" applyNumberFormat="1" applyFont="1" applyFill="1"/>
    <xf numFmtId="165" fontId="19" fillId="5" borderId="0" xfId="5727" applyNumberFormat="1" applyFont="1" applyFill="1" applyAlignment="1">
      <alignment horizontal="left"/>
    </xf>
    <xf numFmtId="165" fontId="19" fillId="5" borderId="0" xfId="5725" applyNumberFormat="1" applyFont="1" applyFill="1"/>
    <xf numFmtId="43" fontId="17" fillId="0" borderId="0" xfId="5725" applyNumberFormat="1" applyFont="1" applyFill="1"/>
    <xf numFmtId="43" fontId="22" fillId="0" borderId="0" xfId="5725" applyNumberFormat="1" applyFont="1"/>
    <xf numFmtId="43" fontId="30" fillId="0" borderId="0" xfId="5725" applyFont="1"/>
    <xf numFmtId="43" fontId="17" fillId="0" borderId="0" xfId="5725" quotePrefix="1" applyFont="1"/>
    <xf numFmtId="0" fontId="17" fillId="0" borderId="0" xfId="5725" quotePrefix="1" applyNumberFormat="1" applyFont="1"/>
    <xf numFmtId="0" fontId="17" fillId="0" borderId="0" xfId="5725" applyNumberFormat="1" applyFont="1"/>
    <xf numFmtId="0" fontId="17" fillId="0" borderId="0" xfId="5725" applyNumberFormat="1" applyFont="1" applyAlignment="1">
      <alignment horizontal="left"/>
    </xf>
    <xf numFmtId="43" fontId="17" fillId="6" borderId="0" xfId="5725" applyFont="1" applyFill="1"/>
    <xf numFmtId="43" fontId="18" fillId="0" borderId="0" xfId="5728" applyFont="1"/>
    <xf numFmtId="43" fontId="17" fillId="0" borderId="0" xfId="5728" applyFont="1" applyAlignment="1">
      <alignment horizontal="center"/>
    </xf>
    <xf numFmtId="43" fontId="17" fillId="0" borderId="0" xfId="5728" applyFont="1" applyAlignment="1">
      <alignment horizontal="left"/>
    </xf>
    <xf numFmtId="43" fontId="17" fillId="0" borderId="0" xfId="5728" applyFont="1"/>
    <xf numFmtId="43" fontId="17" fillId="0" borderId="0" xfId="5728" applyNumberFormat="1" applyFont="1" applyAlignment="1">
      <alignment horizontal="center"/>
    </xf>
    <xf numFmtId="164" fontId="19" fillId="5" borderId="0" xfId="5728" applyNumberFormat="1" applyFont="1" applyFill="1"/>
    <xf numFmtId="43" fontId="17" fillId="0" borderId="0" xfId="5728" applyNumberFormat="1" applyFont="1"/>
    <xf numFmtId="164" fontId="17" fillId="0" borderId="0" xfId="5728" applyNumberFormat="1" applyFont="1"/>
    <xf numFmtId="14" fontId="19" fillId="5" borderId="0" xfId="5728" applyNumberFormat="1" applyFont="1" applyFill="1" applyAlignment="1">
      <alignment horizontal="right"/>
    </xf>
    <xf numFmtId="9" fontId="19" fillId="5" borderId="0" xfId="5729" applyFont="1" applyFill="1"/>
    <xf numFmtId="164" fontId="19" fillId="5" borderId="0" xfId="5728" applyNumberFormat="1" applyFont="1" applyFill="1" applyAlignment="1">
      <alignment horizontal="right"/>
    </xf>
    <xf numFmtId="43" fontId="17" fillId="0" borderId="0" xfId="5727" applyFont="1"/>
    <xf numFmtId="0" fontId="17" fillId="0" borderId="0" xfId="5727" applyNumberFormat="1" applyFont="1"/>
    <xf numFmtId="43" fontId="17" fillId="0" borderId="0" xfId="5727" applyFont="1" applyAlignment="1">
      <alignment horizontal="center"/>
    </xf>
    <xf numFmtId="43" fontId="22" fillId="0" borderId="0" xfId="5728" applyFont="1"/>
    <xf numFmtId="43" fontId="17" fillId="0" borderId="1" xfId="5728" applyFont="1" applyBorder="1" applyAlignment="1">
      <alignment horizontal="right"/>
    </xf>
    <xf numFmtId="43" fontId="17" fillId="0" borderId="1" xfId="5728" applyFont="1" applyBorder="1" applyAlignment="1">
      <alignment horizontal="center"/>
    </xf>
    <xf numFmtId="0" fontId="17" fillId="0" borderId="0" xfId="5728" applyNumberFormat="1" applyFont="1" applyAlignment="1">
      <alignment horizontal="left"/>
    </xf>
    <xf numFmtId="164" fontId="17" fillId="0" borderId="0" xfId="5728" applyNumberFormat="1" applyFont="1" applyAlignment="1">
      <alignment horizontal="center"/>
    </xf>
    <xf numFmtId="164" fontId="17" fillId="0" borderId="2" xfId="5728" applyNumberFormat="1" applyFont="1" applyBorder="1" applyAlignment="1">
      <alignment horizontal="center"/>
    </xf>
    <xf numFmtId="9" fontId="17" fillId="0" borderId="0" xfId="5729" applyFont="1" applyBorder="1" applyAlignment="1">
      <alignment horizontal="right"/>
    </xf>
    <xf numFmtId="171" fontId="21" fillId="0" borderId="0" xfId="5728" applyNumberFormat="1" applyFont="1" applyFill="1"/>
    <xf numFmtId="171" fontId="21" fillId="0" borderId="0" xfId="5728" applyNumberFormat="1" applyFont="1" applyFill="1" applyAlignment="1">
      <alignment horizontal="right"/>
    </xf>
    <xf numFmtId="164" fontId="21" fillId="0" borderId="0" xfId="5728" applyNumberFormat="1" applyFont="1" applyFill="1"/>
    <xf numFmtId="164" fontId="21" fillId="0" borderId="0" xfId="5728" applyNumberFormat="1" applyFont="1" applyFill="1" applyAlignment="1">
      <alignment horizontal="center"/>
    </xf>
    <xf numFmtId="166" fontId="17" fillId="0" borderId="0" xfId="5728" applyNumberFormat="1" applyFont="1"/>
    <xf numFmtId="165" fontId="21" fillId="0" borderId="0" xfId="5730" applyNumberFormat="1" applyFont="1" applyFill="1" applyAlignment="1">
      <alignment horizontal="left"/>
    </xf>
    <xf numFmtId="43" fontId="21" fillId="0" borderId="0" xfId="5728" applyFont="1" applyFill="1" applyAlignment="1">
      <alignment horizontal="right"/>
    </xf>
    <xf numFmtId="165" fontId="21" fillId="0" borderId="0" xfId="5728" applyNumberFormat="1" applyFont="1" applyFill="1"/>
    <xf numFmtId="43" fontId="17" fillId="0" borderId="0" xfId="5728" applyFont="1" applyAlignment="1">
      <alignment horizontal="right"/>
    </xf>
    <xf numFmtId="43" fontId="23" fillId="0" borderId="0" xfId="5728" applyFont="1" applyFill="1"/>
    <xf numFmtId="43" fontId="17" fillId="0" borderId="0" xfId="5728" applyFont="1" applyFill="1" applyAlignment="1">
      <alignment horizontal="center"/>
    </xf>
    <xf numFmtId="43" fontId="17" fillId="0" borderId="0" xfId="5728" applyFont="1" applyFill="1"/>
    <xf numFmtId="166" fontId="17" fillId="0" borderId="0" xfId="0" applyNumberFormat="1" applyFont="1"/>
    <xf numFmtId="43" fontId="22" fillId="0" borderId="0" xfId="5728" applyFont="1" applyFill="1"/>
    <xf numFmtId="43" fontId="17" fillId="0" borderId="0" xfId="5728" applyFont="1" applyFill="1" applyAlignment="1">
      <alignment horizontal="left"/>
    </xf>
    <xf numFmtId="43" fontId="17" fillId="0" borderId="0" xfId="5728" applyNumberFormat="1" applyFont="1" applyFill="1" applyAlignment="1">
      <alignment horizontal="center"/>
    </xf>
    <xf numFmtId="164" fontId="17" fillId="0" borderId="0" xfId="5728" applyNumberFormat="1" applyFont="1" applyFill="1"/>
    <xf numFmtId="164" fontId="17" fillId="0" borderId="0" xfId="5728" applyNumberFormat="1" applyFont="1" applyFill="1" applyAlignment="1">
      <alignment horizontal="right"/>
    </xf>
    <xf numFmtId="0" fontId="17" fillId="0" borderId="0" xfId="5728" applyNumberFormat="1" applyFont="1" applyFill="1" applyAlignment="1">
      <alignment horizontal="left"/>
    </xf>
    <xf numFmtId="166" fontId="17" fillId="0" borderId="0" xfId="5728" applyNumberFormat="1" applyFont="1" applyFill="1"/>
    <xf numFmtId="164" fontId="17" fillId="0" borderId="0" xfId="5728" applyNumberFormat="1" applyFont="1" applyFill="1" applyAlignment="1">
      <alignment horizontal="left"/>
    </xf>
    <xf numFmtId="9" fontId="17" fillId="0" borderId="0" xfId="5729" applyFont="1" applyFill="1"/>
    <xf numFmtId="9" fontId="17" fillId="0" borderId="2" xfId="5729" applyFont="1" applyFill="1" applyBorder="1"/>
    <xf numFmtId="9" fontId="17" fillId="0" borderId="0" xfId="5729" applyFont="1" applyFill="1" applyAlignment="1">
      <alignment horizontal="right"/>
    </xf>
    <xf numFmtId="43" fontId="17" fillId="0" borderId="2" xfId="5728" applyFont="1" applyBorder="1"/>
    <xf numFmtId="43" fontId="17" fillId="0" borderId="0" xfId="5727" applyFont="1" applyAlignment="1">
      <alignment horizontal="left"/>
    </xf>
    <xf numFmtId="177" fontId="17" fillId="0" borderId="0" xfId="0" applyNumberFormat="1" applyFont="1"/>
    <xf numFmtId="178" fontId="17" fillId="0" borderId="0" xfId="0" applyNumberFormat="1" applyFont="1"/>
    <xf numFmtId="0" fontId="17" fillId="0" borderId="0" xfId="5731" applyFont="1" applyAlignment="1">
      <alignment wrapText="1"/>
    </xf>
    <xf numFmtId="0" fontId="17" fillId="0" borderId="0" xfId="5731" applyFont="1"/>
    <xf numFmtId="0" fontId="18" fillId="0" borderId="0" xfId="5731" applyFont="1" applyAlignment="1">
      <alignment wrapText="1"/>
    </xf>
    <xf numFmtId="0" fontId="34" fillId="0" borderId="0" xfId="5732" applyFont="1" applyAlignment="1">
      <alignment horizontal="left" vertical="top" wrapText="1"/>
    </xf>
    <xf numFmtId="0" fontId="17" fillId="0" borderId="0" xfId="5732" applyFont="1" applyAlignment="1">
      <alignment horizontal="left" vertical="top" wrapText="1"/>
    </xf>
    <xf numFmtId="0" fontId="35" fillId="0" borderId="0" xfId="5732" applyFont="1" applyAlignment="1">
      <alignment horizontal="left" vertical="top" wrapText="1"/>
    </xf>
    <xf numFmtId="0" fontId="17" fillId="0" borderId="0" xfId="5732" applyFont="1" applyAlignment="1">
      <alignment horizontal="left" vertical="center" wrapText="1"/>
    </xf>
    <xf numFmtId="0" fontId="17" fillId="0" borderId="0" xfId="0" applyFont="1" applyAlignment="1" applyProtection="1">
      <alignment wrapText="1"/>
      <protection hidden="1"/>
    </xf>
    <xf numFmtId="0" fontId="36" fillId="0" borderId="0" xfId="0" applyFont="1" applyAlignment="1" applyProtection="1">
      <alignment wrapText="1"/>
      <protection hidden="1"/>
    </xf>
    <xf numFmtId="0" fontId="17" fillId="0" borderId="0" xfId="5732" applyFont="1" applyAlignment="1" applyProtection="1">
      <alignment wrapText="1"/>
      <protection hidden="1"/>
    </xf>
    <xf numFmtId="0" fontId="33" fillId="0" borderId="0" xfId="0" applyFont="1" applyAlignment="1" applyProtection="1">
      <alignment wrapText="1"/>
      <protection hidden="1"/>
    </xf>
    <xf numFmtId="0" fontId="18" fillId="0" borderId="0" xfId="5732" applyFont="1" applyAlignment="1" applyProtection="1">
      <alignment wrapText="1"/>
      <protection hidden="1"/>
    </xf>
    <xf numFmtId="0" fontId="17" fillId="0" borderId="0" xfId="5732" applyFont="1" applyAlignment="1" applyProtection="1">
      <protection hidden="1"/>
    </xf>
    <xf numFmtId="0" fontId="18" fillId="0" borderId="0" xfId="5732" applyFont="1" applyAlignment="1" applyProtection="1">
      <protection hidden="1"/>
    </xf>
    <xf numFmtId="9" fontId="19" fillId="5" borderId="0" xfId="2" applyNumberFormat="1" applyFont="1" applyFill="1"/>
    <xf numFmtId="169" fontId="19" fillId="5" borderId="0" xfId="2" applyNumberFormat="1" applyFont="1" applyFill="1"/>
    <xf numFmtId="164" fontId="19" fillId="5" borderId="2" xfId="1" applyNumberFormat="1" applyFont="1" applyFill="1" applyBorder="1"/>
    <xf numFmtId="177" fontId="17" fillId="0" borderId="0" xfId="1" applyNumberFormat="1" applyFont="1"/>
    <xf numFmtId="164" fontId="21" fillId="0" borderId="0" xfId="1" applyNumberFormat="1" applyFont="1" applyFill="1" applyBorder="1"/>
    <xf numFmtId="164" fontId="20" fillId="0" borderId="0" xfId="1" applyNumberFormat="1" applyFont="1" applyFill="1" applyBorder="1"/>
    <xf numFmtId="0" fontId="17" fillId="0" borderId="0" xfId="0" applyFont="1" applyFill="1" applyBorder="1"/>
    <xf numFmtId="170" fontId="17" fillId="0" borderId="0" xfId="0" applyNumberFormat="1" applyFont="1" applyFill="1" applyBorder="1"/>
    <xf numFmtId="43" fontId="17" fillId="0" borderId="0" xfId="1" applyFont="1" applyFill="1" applyBorder="1"/>
    <xf numFmtId="164" fontId="17" fillId="0" borderId="0" xfId="0" applyNumberFormat="1" applyFont="1" applyFill="1" applyBorder="1"/>
    <xf numFmtId="169" fontId="17" fillId="0" borderId="0" xfId="2" applyNumberFormat="1" applyFont="1" applyFill="1" applyBorder="1"/>
    <xf numFmtId="164" fontId="17" fillId="0" borderId="0" xfId="1" applyNumberFormat="1" applyFont="1" applyFill="1" applyBorder="1"/>
    <xf numFmtId="164" fontId="19" fillId="0" borderId="0" xfId="1" applyNumberFormat="1" applyFont="1" applyFill="1" applyBorder="1"/>
    <xf numFmtId="43" fontId="19" fillId="5" borderId="0" xfId="5725" applyNumberFormat="1" applyFont="1" applyFill="1" applyAlignment="1">
      <alignment horizontal="center"/>
    </xf>
    <xf numFmtId="43" fontId="19" fillId="5" borderId="0" xfId="1" applyNumberFormat="1" applyFont="1" applyFill="1" applyAlignment="1">
      <alignment horizontal="center"/>
    </xf>
    <xf numFmtId="169" fontId="17" fillId="0" borderId="0" xfId="1" applyNumberFormat="1" applyFont="1"/>
    <xf numFmtId="43" fontId="18" fillId="0" borderId="1" xfId="5725" applyFont="1" applyBorder="1" applyAlignment="1">
      <alignment horizontal="left"/>
    </xf>
    <xf numFmtId="9" fontId="21" fillId="0" borderId="0" xfId="2" applyNumberFormat="1" applyFont="1" applyFill="1"/>
    <xf numFmtId="9" fontId="17" fillId="0" borderId="2" xfId="5725" applyNumberFormat="1" applyFont="1" applyBorder="1"/>
  </cellXfs>
  <cellStyles count="5927">
    <cellStyle name="amount" xfId="3" xr:uid="{00000000-0005-0000-0000-000000000000}"/>
    <cellStyle name="Comma" xfId="1" builtinId="3"/>
    <cellStyle name="Comma 10" xfId="1333" xr:uid="{00000000-0005-0000-0000-000002000000}"/>
    <cellStyle name="Comma 10 2" xfId="4247" xr:uid="{00000000-0005-0000-0000-000003000000}"/>
    <cellStyle name="Comma 10 2 2" xfId="5430" xr:uid="{00000000-0005-0000-0000-000004000000}"/>
    <cellStyle name="Comma 10 2 3" xfId="5730" xr:uid="{00000000-0005-0000-0000-000005000000}"/>
    <cellStyle name="Comma 10 3" xfId="5727" xr:uid="{00000000-0005-0000-0000-000006000000}"/>
    <cellStyle name="Comma 11" xfId="1334" xr:uid="{00000000-0005-0000-0000-000007000000}"/>
    <cellStyle name="Comma 11 2" xfId="1335" xr:uid="{00000000-0005-0000-0000-000008000000}"/>
    <cellStyle name="Comma 11 2 2" xfId="1336" xr:uid="{00000000-0005-0000-0000-000009000000}"/>
    <cellStyle name="Comma 11 2 2 2" xfId="1525" xr:uid="{00000000-0005-0000-0000-00000A000000}"/>
    <cellStyle name="Comma 11 2 2 2 2" xfId="1526" xr:uid="{00000000-0005-0000-0000-00000B000000}"/>
    <cellStyle name="Comma 11 2 2 2 2 2" xfId="1527" xr:uid="{00000000-0005-0000-0000-00000C000000}"/>
    <cellStyle name="Comma 11 2 2 2 2 2 2" xfId="1528" xr:uid="{00000000-0005-0000-0000-00000D000000}"/>
    <cellStyle name="Comma 11 2 2 3" xfId="1529" xr:uid="{00000000-0005-0000-0000-00000E000000}"/>
    <cellStyle name="Comma 11 2 2 3 2" xfId="1530" xr:uid="{00000000-0005-0000-0000-00000F000000}"/>
    <cellStyle name="Comma 11 2 2 4" xfId="3906" xr:uid="{00000000-0005-0000-0000-000010000000}"/>
    <cellStyle name="Comma 11 2 2 4 2" xfId="3907" xr:uid="{00000000-0005-0000-0000-000011000000}"/>
    <cellStyle name="Comma 11 2 2 4 2 2" xfId="5431" xr:uid="{00000000-0005-0000-0000-000012000000}"/>
    <cellStyle name="Comma 11 2 2 4 3" xfId="5432" xr:uid="{00000000-0005-0000-0000-000013000000}"/>
    <cellStyle name="Comma 11 2 2 5" xfId="3908" xr:uid="{00000000-0005-0000-0000-000014000000}"/>
    <cellStyle name="Comma 11 2 2 5 2" xfId="5433" xr:uid="{00000000-0005-0000-0000-000015000000}"/>
    <cellStyle name="Comma 11 2 2 6" xfId="5434" xr:uid="{00000000-0005-0000-0000-000016000000}"/>
    <cellStyle name="Comma 11 2 2 7" xfId="5435" xr:uid="{00000000-0005-0000-0000-000017000000}"/>
    <cellStyle name="Comma 11 2 3" xfId="1337" xr:uid="{00000000-0005-0000-0000-000018000000}"/>
    <cellStyle name="Comma 11 2 3 2" xfId="1531" xr:uid="{00000000-0005-0000-0000-000019000000}"/>
    <cellStyle name="Comma 11 2 3 2 2" xfId="1532" xr:uid="{00000000-0005-0000-0000-00001A000000}"/>
    <cellStyle name="Comma 11 2 3 3" xfId="3909" xr:uid="{00000000-0005-0000-0000-00001B000000}"/>
    <cellStyle name="Comma 11 2 3 3 2" xfId="5436" xr:uid="{00000000-0005-0000-0000-00001C000000}"/>
    <cellStyle name="Comma 11 2 3 4" xfId="5437" xr:uid="{00000000-0005-0000-0000-00001D000000}"/>
    <cellStyle name="Comma 11 2 4" xfId="1533" xr:uid="{00000000-0005-0000-0000-00001E000000}"/>
    <cellStyle name="Comma 11 2 4 2" xfId="1534" xr:uid="{00000000-0005-0000-0000-00001F000000}"/>
    <cellStyle name="Comma 11 2 4 2 2" xfId="1535" xr:uid="{00000000-0005-0000-0000-000020000000}"/>
    <cellStyle name="Comma 11 2 4 2 3" xfId="1536" xr:uid="{00000000-0005-0000-0000-000021000000}"/>
    <cellStyle name="Comma 11 2 4 2 3 2" xfId="1537" xr:uid="{00000000-0005-0000-0000-000022000000}"/>
    <cellStyle name="Comma 11 2 5" xfId="1538" xr:uid="{00000000-0005-0000-0000-000023000000}"/>
    <cellStyle name="Comma 11 2 6" xfId="1539" xr:uid="{00000000-0005-0000-0000-000024000000}"/>
    <cellStyle name="Comma 11 2 6 2" xfId="1540" xr:uid="{00000000-0005-0000-0000-000025000000}"/>
    <cellStyle name="Comma 11 2 7" xfId="3910" xr:uid="{00000000-0005-0000-0000-000026000000}"/>
    <cellStyle name="Comma 11 2 7 2" xfId="3911" xr:uid="{00000000-0005-0000-0000-000027000000}"/>
    <cellStyle name="Comma 11 2 7 2 2" xfId="5438" xr:uid="{00000000-0005-0000-0000-000028000000}"/>
    <cellStyle name="Comma 11 2 7 3" xfId="5439" xr:uid="{00000000-0005-0000-0000-000029000000}"/>
    <cellStyle name="Comma 11 2 8" xfId="5440" xr:uid="{00000000-0005-0000-0000-00002A000000}"/>
    <cellStyle name="Comma 12" xfId="1338" xr:uid="{00000000-0005-0000-0000-00002B000000}"/>
    <cellStyle name="Comma 12 2" xfId="1339" xr:uid="{00000000-0005-0000-0000-00002C000000}"/>
    <cellStyle name="Comma 12 2 10" xfId="5441" xr:uid="{00000000-0005-0000-0000-00002D000000}"/>
    <cellStyle name="Comma 12 2 2" xfId="1340" xr:uid="{00000000-0005-0000-0000-00002E000000}"/>
    <cellStyle name="Comma 12 2 2 2" xfId="3912" xr:uid="{00000000-0005-0000-0000-00002F000000}"/>
    <cellStyle name="Comma 12 2 2 2 2" xfId="3913" xr:uid="{00000000-0005-0000-0000-000030000000}"/>
    <cellStyle name="Comma 12 2 2 2 2 2" xfId="5442" xr:uid="{00000000-0005-0000-0000-000031000000}"/>
    <cellStyle name="Comma 12 2 2 2 3" xfId="5443" xr:uid="{00000000-0005-0000-0000-000032000000}"/>
    <cellStyle name="Comma 12 2 2 3" xfId="3914" xr:uid="{00000000-0005-0000-0000-000033000000}"/>
    <cellStyle name="Comma 12 2 2 4" xfId="5444" xr:uid="{00000000-0005-0000-0000-000034000000}"/>
    <cellStyle name="Comma 12 2 2 5" xfId="5445" xr:uid="{00000000-0005-0000-0000-000035000000}"/>
    <cellStyle name="Comma 12 2 3" xfId="1341" xr:uid="{00000000-0005-0000-0000-000036000000}"/>
    <cellStyle name="Comma 12 2 3 2" xfId="1541" xr:uid="{00000000-0005-0000-0000-000037000000}"/>
    <cellStyle name="Comma 12 2 3 2 2" xfId="1542" xr:uid="{00000000-0005-0000-0000-000038000000}"/>
    <cellStyle name="Comma 12 2 3 2 3" xfId="1543" xr:uid="{00000000-0005-0000-0000-000039000000}"/>
    <cellStyle name="Comma 12 2 3 2 4" xfId="3915" xr:uid="{00000000-0005-0000-0000-00003A000000}"/>
    <cellStyle name="Comma 12 2 3 2 5" xfId="5446" xr:uid="{00000000-0005-0000-0000-00003B000000}"/>
    <cellStyle name="Comma 12 2 3 2 6" xfId="5447" xr:uid="{00000000-0005-0000-0000-00003C000000}"/>
    <cellStyle name="Comma 12 2 3 3" xfId="3905" xr:uid="{00000000-0005-0000-0000-00003D000000}"/>
    <cellStyle name="Comma 12 2 4" xfId="1544" xr:uid="{00000000-0005-0000-0000-00003E000000}"/>
    <cellStyle name="Comma 12 2 5" xfId="1545" xr:uid="{00000000-0005-0000-0000-00003F000000}"/>
    <cellStyle name="Comma 12 2 5 2" xfId="1546" xr:uid="{00000000-0005-0000-0000-000040000000}"/>
    <cellStyle name="Comma 12 2 6" xfId="1547" xr:uid="{00000000-0005-0000-0000-000041000000}"/>
    <cellStyle name="Comma 12 2 7" xfId="1548" xr:uid="{00000000-0005-0000-0000-000042000000}"/>
    <cellStyle name="Comma 12 2 7 2" xfId="1549" xr:uid="{00000000-0005-0000-0000-000043000000}"/>
    <cellStyle name="Comma 12 2 8" xfId="3916" xr:uid="{00000000-0005-0000-0000-000044000000}"/>
    <cellStyle name="Comma 12 2 8 2" xfId="3917" xr:uid="{00000000-0005-0000-0000-000045000000}"/>
    <cellStyle name="Comma 12 2 8 2 2" xfId="5448" xr:uid="{00000000-0005-0000-0000-000046000000}"/>
    <cellStyle name="Comma 12 2 8 3" xfId="5449" xr:uid="{00000000-0005-0000-0000-000047000000}"/>
    <cellStyle name="Comma 12 2 9" xfId="5450" xr:uid="{00000000-0005-0000-0000-000048000000}"/>
    <cellStyle name="Comma 12 3" xfId="1342" xr:uid="{00000000-0005-0000-0000-000049000000}"/>
    <cellStyle name="Comma 12 4" xfId="1343" xr:uid="{00000000-0005-0000-0000-00004A000000}"/>
    <cellStyle name="Comma 12 5" xfId="1344" xr:uid="{00000000-0005-0000-0000-00004B000000}"/>
    <cellStyle name="Comma 12 5 2" xfId="1550" xr:uid="{00000000-0005-0000-0000-00004C000000}"/>
    <cellStyle name="Comma 12 5 2 2" xfId="1551" xr:uid="{00000000-0005-0000-0000-00004D000000}"/>
    <cellStyle name="Comma 12 5 2 3" xfId="1552" xr:uid="{00000000-0005-0000-0000-00004E000000}"/>
    <cellStyle name="Comma 12 5 2 4" xfId="1553" xr:uid="{00000000-0005-0000-0000-00004F000000}"/>
    <cellStyle name="Comma 12 5 2 5" xfId="3904" xr:uid="{00000000-0005-0000-0000-000050000000}"/>
    <cellStyle name="Comma 12 5 2 6" xfId="5427" xr:uid="{00000000-0005-0000-0000-000051000000}"/>
    <cellStyle name="Comma 12 5 3" xfId="3918" xr:uid="{00000000-0005-0000-0000-000052000000}"/>
    <cellStyle name="Comma 12 5 3 2" xfId="5451" xr:uid="{00000000-0005-0000-0000-000053000000}"/>
    <cellStyle name="Comma 12 5 4" xfId="5452" xr:uid="{00000000-0005-0000-0000-000054000000}"/>
    <cellStyle name="Comma 12 6" xfId="1345" xr:uid="{00000000-0005-0000-0000-000055000000}"/>
    <cellStyle name="Comma 12 6 2" xfId="1554" xr:uid="{00000000-0005-0000-0000-000056000000}"/>
    <cellStyle name="Comma 12 6 2 2" xfId="1555" xr:uid="{00000000-0005-0000-0000-000057000000}"/>
    <cellStyle name="Comma 12 6 3" xfId="1556" xr:uid="{00000000-0005-0000-0000-000058000000}"/>
    <cellStyle name="Comma 12 6 4" xfId="3919" xr:uid="{00000000-0005-0000-0000-000059000000}"/>
    <cellStyle name="Comma 12 6 4 2" xfId="5453" xr:uid="{00000000-0005-0000-0000-00005A000000}"/>
    <cellStyle name="Comma 12 7" xfId="1557" xr:uid="{00000000-0005-0000-0000-00005B000000}"/>
    <cellStyle name="Comma 12 7 2" xfId="1558" xr:uid="{00000000-0005-0000-0000-00005C000000}"/>
    <cellStyle name="Comma 12 8" xfId="1559" xr:uid="{00000000-0005-0000-0000-00005D000000}"/>
    <cellStyle name="Comma 13" xfId="1346" xr:uid="{00000000-0005-0000-0000-00005E000000}"/>
    <cellStyle name="Comma 13 2" xfId="1347" xr:uid="{00000000-0005-0000-0000-00005F000000}"/>
    <cellStyle name="Comma 13 3" xfId="1560" xr:uid="{00000000-0005-0000-0000-000060000000}"/>
    <cellStyle name="Comma 13 3 2" xfId="1561" xr:uid="{00000000-0005-0000-0000-000061000000}"/>
    <cellStyle name="Comma 13 3 2 2" xfId="1562" xr:uid="{00000000-0005-0000-0000-000062000000}"/>
    <cellStyle name="Comma 13 3 2 2 2" xfId="1563" xr:uid="{00000000-0005-0000-0000-000063000000}"/>
    <cellStyle name="Comma 13 3 2 2 3" xfId="3920" xr:uid="{00000000-0005-0000-0000-000064000000}"/>
    <cellStyle name="Comma 13 4" xfId="1564" xr:uid="{00000000-0005-0000-0000-000065000000}"/>
    <cellStyle name="Comma 13 4 2" xfId="1565" xr:uid="{00000000-0005-0000-0000-000066000000}"/>
    <cellStyle name="Comma 13 5" xfId="1566" xr:uid="{00000000-0005-0000-0000-000067000000}"/>
    <cellStyle name="Comma 13 6" xfId="1567" xr:uid="{00000000-0005-0000-0000-000068000000}"/>
    <cellStyle name="Comma 13 6 2" xfId="1568" xr:uid="{00000000-0005-0000-0000-000069000000}"/>
    <cellStyle name="Comma 13 7" xfId="3921" xr:uid="{00000000-0005-0000-0000-00006A000000}"/>
    <cellStyle name="Comma 13 7 2" xfId="3922" xr:uid="{00000000-0005-0000-0000-00006B000000}"/>
    <cellStyle name="Comma 13 7 2 2" xfId="5454" xr:uid="{00000000-0005-0000-0000-00006C000000}"/>
    <cellStyle name="Comma 13 7 3" xfId="5455" xr:uid="{00000000-0005-0000-0000-00006D000000}"/>
    <cellStyle name="Comma 13 8" xfId="5456" xr:uid="{00000000-0005-0000-0000-00006E000000}"/>
    <cellStyle name="Comma 13 9" xfId="5457" xr:uid="{00000000-0005-0000-0000-00006F000000}"/>
    <cellStyle name="Comma 14" xfId="1348" xr:uid="{00000000-0005-0000-0000-000070000000}"/>
    <cellStyle name="Comma 14 2" xfId="5458" xr:uid="{00000000-0005-0000-0000-000071000000}"/>
    <cellStyle name="Comma 15" xfId="1349" xr:uid="{00000000-0005-0000-0000-000072000000}"/>
    <cellStyle name="Comma 15 2" xfId="1350" xr:uid="{00000000-0005-0000-0000-000073000000}"/>
    <cellStyle name="Comma 15 3" xfId="1351" xr:uid="{00000000-0005-0000-0000-000074000000}"/>
    <cellStyle name="Comma 15 4" xfId="1569" xr:uid="{00000000-0005-0000-0000-000075000000}"/>
    <cellStyle name="Comma 15 4 2" xfId="1570" xr:uid="{00000000-0005-0000-0000-000076000000}"/>
    <cellStyle name="Comma 15 5" xfId="1571" xr:uid="{00000000-0005-0000-0000-000077000000}"/>
    <cellStyle name="Comma 16" xfId="1352" xr:uid="{00000000-0005-0000-0000-000078000000}"/>
    <cellStyle name="Comma 17" xfId="3897" xr:uid="{00000000-0005-0000-0000-000079000000}"/>
    <cellStyle name="Comma 17 2" xfId="4248" xr:uid="{00000000-0005-0000-0000-00007A000000}"/>
    <cellStyle name="Comma 17 2 2" xfId="4450" xr:uid="{00000000-0005-0000-0000-00007B000000}"/>
    <cellStyle name="Comma 17 2 2 2" xfId="5459" xr:uid="{00000000-0005-0000-0000-00007C000000}"/>
    <cellStyle name="Comma 18" xfId="4245" xr:uid="{00000000-0005-0000-0000-00007D000000}"/>
    <cellStyle name="Comma 18 2" xfId="5460" xr:uid="{00000000-0005-0000-0000-00007E000000}"/>
    <cellStyle name="Comma 18 3" xfId="5728" xr:uid="{00000000-0005-0000-0000-00007F000000}"/>
    <cellStyle name="Comma 19" xfId="5461" xr:uid="{00000000-0005-0000-0000-000080000000}"/>
    <cellStyle name="Comma 2" xfId="4" xr:uid="{00000000-0005-0000-0000-000081000000}"/>
    <cellStyle name="Comma 2 2" xfId="5" xr:uid="{00000000-0005-0000-0000-000082000000}"/>
    <cellStyle name="Comma 2 2 2" xfId="1353" xr:uid="{00000000-0005-0000-0000-000083000000}"/>
    <cellStyle name="Comma 2 2 2 2" xfId="1354" xr:uid="{00000000-0005-0000-0000-000084000000}"/>
    <cellStyle name="Comma 2 2 2 2 2" xfId="1355" xr:uid="{00000000-0005-0000-0000-000085000000}"/>
    <cellStyle name="Comma 2 2 2 2 3" xfId="1356" xr:uid="{00000000-0005-0000-0000-000086000000}"/>
    <cellStyle name="Comma 2 2 2 2 3 10" xfId="5462" xr:uid="{00000000-0005-0000-0000-000087000000}"/>
    <cellStyle name="Comma 2 2 2 2 3 2" xfId="1357" xr:uid="{00000000-0005-0000-0000-000088000000}"/>
    <cellStyle name="Comma 2 2 2 2 3 3" xfId="1572" xr:uid="{00000000-0005-0000-0000-000089000000}"/>
    <cellStyle name="Comma 2 2 2 2 3 3 2" xfId="1573" xr:uid="{00000000-0005-0000-0000-00008A000000}"/>
    <cellStyle name="Comma 2 2 2 2 3 3 2 2" xfId="1574" xr:uid="{00000000-0005-0000-0000-00008B000000}"/>
    <cellStyle name="Comma 2 2 2 2 3 3 2 3" xfId="1575" xr:uid="{00000000-0005-0000-0000-00008C000000}"/>
    <cellStyle name="Comma 2 2 2 2 3 4" xfId="1576" xr:uid="{00000000-0005-0000-0000-00008D000000}"/>
    <cellStyle name="Comma 2 2 2 2 3 4 2" xfId="1577" xr:uid="{00000000-0005-0000-0000-00008E000000}"/>
    <cellStyle name="Comma 2 2 2 2 3 5" xfId="1578" xr:uid="{00000000-0005-0000-0000-00008F000000}"/>
    <cellStyle name="Comma 2 2 2 2 3 6" xfId="1579" xr:uid="{00000000-0005-0000-0000-000090000000}"/>
    <cellStyle name="Comma 2 2 2 2 3 6 2" xfId="1580" xr:uid="{00000000-0005-0000-0000-000091000000}"/>
    <cellStyle name="Comma 2 2 2 2 3 6 2 2" xfId="1581" xr:uid="{00000000-0005-0000-0000-000092000000}"/>
    <cellStyle name="Comma 2 2 2 2 3 6 3" xfId="3923" xr:uid="{00000000-0005-0000-0000-000093000000}"/>
    <cellStyle name="Comma 2 2 2 2 3 6 3 2" xfId="5463" xr:uid="{00000000-0005-0000-0000-000094000000}"/>
    <cellStyle name="Comma 2 2 2 2 3 7" xfId="1582" xr:uid="{00000000-0005-0000-0000-000095000000}"/>
    <cellStyle name="Comma 2 2 2 2 3 7 2" xfId="1583" xr:uid="{00000000-0005-0000-0000-000096000000}"/>
    <cellStyle name="Comma 2 2 2 2 3 8" xfId="3924" xr:uid="{00000000-0005-0000-0000-000097000000}"/>
    <cellStyle name="Comma 2 2 2 2 3 8 2" xfId="3925" xr:uid="{00000000-0005-0000-0000-000098000000}"/>
    <cellStyle name="Comma 2 2 2 2 3 8 2 2" xfId="5464" xr:uid="{00000000-0005-0000-0000-000099000000}"/>
    <cellStyle name="Comma 2 2 2 2 3 8 3" xfId="5465" xr:uid="{00000000-0005-0000-0000-00009A000000}"/>
    <cellStyle name="Comma 2 2 2 2 3 9" xfId="5466" xr:uid="{00000000-0005-0000-0000-00009B000000}"/>
    <cellStyle name="Comma 2 2 2 2 4" xfId="1358" xr:uid="{00000000-0005-0000-0000-00009C000000}"/>
    <cellStyle name="Comma 2 2 2 2 4 2" xfId="1584" xr:uid="{00000000-0005-0000-0000-00009D000000}"/>
    <cellStyle name="Comma 2 2 2 2 4 2 2" xfId="1585" xr:uid="{00000000-0005-0000-0000-00009E000000}"/>
    <cellStyle name="Comma 2 2 2 2 4 2 2 2" xfId="1586" xr:uid="{00000000-0005-0000-0000-00009F000000}"/>
    <cellStyle name="Comma 2 2 2 2 4 2 2 2 2" xfId="1587" xr:uid="{00000000-0005-0000-0000-0000A0000000}"/>
    <cellStyle name="Comma 2 2 2 2 5" xfId="1359" xr:uid="{00000000-0005-0000-0000-0000A1000000}"/>
    <cellStyle name="Comma 2 2 2 2 5 2" xfId="1360" xr:uid="{00000000-0005-0000-0000-0000A2000000}"/>
    <cellStyle name="Comma 2 2 2 2 5 2 2" xfId="1588" xr:uid="{00000000-0005-0000-0000-0000A3000000}"/>
    <cellStyle name="Comma 2 2 2 2 5 2 3" xfId="1589" xr:uid="{00000000-0005-0000-0000-0000A4000000}"/>
    <cellStyle name="Comma 2 2 2 2 5 2 4" xfId="3926" xr:uid="{00000000-0005-0000-0000-0000A5000000}"/>
    <cellStyle name="Comma 2 2 2 2 5 2 4 2" xfId="5467" xr:uid="{00000000-0005-0000-0000-0000A6000000}"/>
    <cellStyle name="Comma 2 2 2 2 5 3" xfId="1361" xr:uid="{00000000-0005-0000-0000-0000A7000000}"/>
    <cellStyle name="Comma 2 2 2 2 5 4" xfId="1590" xr:uid="{00000000-0005-0000-0000-0000A8000000}"/>
    <cellStyle name="Comma 2 2 2 2 5 5" xfId="1591" xr:uid="{00000000-0005-0000-0000-0000A9000000}"/>
    <cellStyle name="Comma 2 2 2 3" xfId="1362" xr:uid="{00000000-0005-0000-0000-0000AA000000}"/>
    <cellStyle name="Comma 2 2 2 3 2" xfId="1363" xr:uid="{00000000-0005-0000-0000-0000AB000000}"/>
    <cellStyle name="Comma 2 2 2 3 2 2" xfId="1592" xr:uid="{00000000-0005-0000-0000-0000AC000000}"/>
    <cellStyle name="Comma 2 2 2 3 2 3" xfId="1593" xr:uid="{00000000-0005-0000-0000-0000AD000000}"/>
    <cellStyle name="Comma 2 2 2 3 3" xfId="1364" xr:uid="{00000000-0005-0000-0000-0000AE000000}"/>
    <cellStyle name="Comma 2 2 2 3 3 2" xfId="1594" xr:uid="{00000000-0005-0000-0000-0000AF000000}"/>
    <cellStyle name="Comma 2 2 2 3 3 3" xfId="1595" xr:uid="{00000000-0005-0000-0000-0000B0000000}"/>
    <cellStyle name="Comma 2 2 2 3 3 4" xfId="3927" xr:uid="{00000000-0005-0000-0000-0000B1000000}"/>
    <cellStyle name="Comma 2 2 2 3 3 4 2" xfId="5468" xr:uid="{00000000-0005-0000-0000-0000B2000000}"/>
    <cellStyle name="Comma 2 2 2 3 4" xfId="1596" xr:uid="{00000000-0005-0000-0000-0000B3000000}"/>
    <cellStyle name="Comma 2 2 2 3 5" xfId="1597" xr:uid="{00000000-0005-0000-0000-0000B4000000}"/>
    <cellStyle name="Comma 2 2 2 4" xfId="1365" xr:uid="{00000000-0005-0000-0000-0000B5000000}"/>
    <cellStyle name="Comma 2 2 2 4 2" xfId="5469" xr:uid="{00000000-0005-0000-0000-0000B6000000}"/>
    <cellStyle name="Comma 2 2 3" xfId="1366" xr:uid="{00000000-0005-0000-0000-0000B7000000}"/>
    <cellStyle name="Comma 2 2 3 2" xfId="1367" xr:uid="{00000000-0005-0000-0000-0000B8000000}"/>
    <cellStyle name="Comma 2 2 3 2 2" xfId="1368" xr:uid="{00000000-0005-0000-0000-0000B9000000}"/>
    <cellStyle name="Comma 2 2 3 2 2 2" xfId="1369" xr:uid="{00000000-0005-0000-0000-0000BA000000}"/>
    <cellStyle name="Comma 2 2 3 2 2 3" xfId="1370" xr:uid="{00000000-0005-0000-0000-0000BB000000}"/>
    <cellStyle name="Comma 2 2 3 2 2 3 2" xfId="1598" xr:uid="{00000000-0005-0000-0000-0000BC000000}"/>
    <cellStyle name="Comma 2 2 3 2 2 3 2 2" xfId="1599" xr:uid="{00000000-0005-0000-0000-0000BD000000}"/>
    <cellStyle name="Comma 2 2 3 2 2 3 3" xfId="3928" xr:uid="{00000000-0005-0000-0000-0000BE000000}"/>
    <cellStyle name="Comma 2 2 3 2 2 3 3 2" xfId="5470" xr:uid="{00000000-0005-0000-0000-0000BF000000}"/>
    <cellStyle name="Comma 2 2 3 2 2 4" xfId="1600" xr:uid="{00000000-0005-0000-0000-0000C0000000}"/>
    <cellStyle name="Comma 2 2 3 2 2 5" xfId="1601" xr:uid="{00000000-0005-0000-0000-0000C1000000}"/>
    <cellStyle name="Comma 2 2 3 2 2 6" xfId="1602" xr:uid="{00000000-0005-0000-0000-0000C2000000}"/>
    <cellStyle name="Comma 2 2 3 2 2 6 2" xfId="1603" xr:uid="{00000000-0005-0000-0000-0000C3000000}"/>
    <cellStyle name="Comma 2 2 3 2 2 7" xfId="3929" xr:uid="{00000000-0005-0000-0000-0000C4000000}"/>
    <cellStyle name="Comma 2 2 3 2 2 8" xfId="5471" xr:uid="{00000000-0005-0000-0000-0000C5000000}"/>
    <cellStyle name="Comma 20" xfId="5472" xr:uid="{00000000-0005-0000-0000-0000C6000000}"/>
    <cellStyle name="Comma 21" xfId="5473" xr:uid="{00000000-0005-0000-0000-0000C7000000}"/>
    <cellStyle name="Comma 22" xfId="5725" xr:uid="{00000000-0005-0000-0000-0000C8000000}"/>
    <cellStyle name="Comma 3" xfId="6" xr:uid="{00000000-0005-0000-0000-0000C9000000}"/>
    <cellStyle name="Comma 4" xfId="1332" xr:uid="{00000000-0005-0000-0000-0000CA000000}"/>
    <cellStyle name="Comma 4 2" xfId="1371" xr:uid="{00000000-0005-0000-0000-0000CB000000}"/>
    <cellStyle name="Comma 4 2 2" xfId="1372" xr:uid="{00000000-0005-0000-0000-0000CC000000}"/>
    <cellStyle name="Comma 4 2 2 2" xfId="1373" xr:uid="{00000000-0005-0000-0000-0000CD000000}"/>
    <cellStyle name="Comma 4 2 2 3" xfId="1374" xr:uid="{00000000-0005-0000-0000-0000CE000000}"/>
    <cellStyle name="Comma 4 2 2 4" xfId="1604" xr:uid="{00000000-0005-0000-0000-0000CF000000}"/>
    <cellStyle name="Comma 4 2 2 4 2" xfId="1605" xr:uid="{00000000-0005-0000-0000-0000D0000000}"/>
    <cellStyle name="Comma 4 2 2 4 2 2" xfId="1606" xr:uid="{00000000-0005-0000-0000-0000D1000000}"/>
    <cellStyle name="Comma 4 2 2 4 2 2 2" xfId="1607" xr:uid="{00000000-0005-0000-0000-0000D2000000}"/>
    <cellStyle name="Comma 4 2 2 4 2 2 3" xfId="1608" xr:uid="{00000000-0005-0000-0000-0000D3000000}"/>
    <cellStyle name="Comma 4 2 2 5" xfId="1609" xr:uid="{00000000-0005-0000-0000-0000D4000000}"/>
    <cellStyle name="Comma 4 3" xfId="1375" xr:uid="{00000000-0005-0000-0000-0000D5000000}"/>
    <cellStyle name="Comma 4 3 2" xfId="1376" xr:uid="{00000000-0005-0000-0000-0000D6000000}"/>
    <cellStyle name="Comma 4 4" xfId="1377" xr:uid="{00000000-0005-0000-0000-0000D7000000}"/>
    <cellStyle name="Comma 4 4 2" xfId="1378" xr:uid="{00000000-0005-0000-0000-0000D8000000}"/>
    <cellStyle name="Comma 4 4 3" xfId="1379" xr:uid="{00000000-0005-0000-0000-0000D9000000}"/>
    <cellStyle name="Comma 4 4 4" xfId="1610" xr:uid="{00000000-0005-0000-0000-0000DA000000}"/>
    <cellStyle name="Comma 4 4 4 2" xfId="1611" xr:uid="{00000000-0005-0000-0000-0000DB000000}"/>
    <cellStyle name="Comma 4 4 5" xfId="1612" xr:uid="{00000000-0005-0000-0000-0000DC000000}"/>
    <cellStyle name="Comma 4 5" xfId="1380" xr:uid="{00000000-0005-0000-0000-0000DD000000}"/>
    <cellStyle name="Comma 5" xfId="1381" xr:uid="{00000000-0005-0000-0000-0000DE000000}"/>
    <cellStyle name="Comma 6" xfId="1382" xr:uid="{00000000-0005-0000-0000-0000DF000000}"/>
    <cellStyle name="Comma 6 2" xfId="1383" xr:uid="{00000000-0005-0000-0000-0000E0000000}"/>
    <cellStyle name="Comma 6 2 2" xfId="1384" xr:uid="{00000000-0005-0000-0000-0000E1000000}"/>
    <cellStyle name="Comma 7" xfId="1385" xr:uid="{00000000-0005-0000-0000-0000E2000000}"/>
    <cellStyle name="Comma 7 2" xfId="1386" xr:uid="{00000000-0005-0000-0000-0000E3000000}"/>
    <cellStyle name="Comma 7 2 2" xfId="1387" xr:uid="{00000000-0005-0000-0000-0000E4000000}"/>
    <cellStyle name="Comma 7 2 3" xfId="1388" xr:uid="{00000000-0005-0000-0000-0000E5000000}"/>
    <cellStyle name="Comma 7 2 4" xfId="1613" xr:uid="{00000000-0005-0000-0000-0000E6000000}"/>
    <cellStyle name="Comma 7 2 4 2" xfId="1614" xr:uid="{00000000-0005-0000-0000-0000E7000000}"/>
    <cellStyle name="Comma 7 2 4 2 2" xfId="1615" xr:uid="{00000000-0005-0000-0000-0000E8000000}"/>
    <cellStyle name="Comma 7 2 4 2 2 2" xfId="1616" xr:uid="{00000000-0005-0000-0000-0000E9000000}"/>
    <cellStyle name="Comma 7 2 4 2 2 3" xfId="1617" xr:uid="{00000000-0005-0000-0000-0000EA000000}"/>
    <cellStyle name="Comma 7 2 5" xfId="1618" xr:uid="{00000000-0005-0000-0000-0000EB000000}"/>
    <cellStyle name="Comma 7 3" xfId="1619" xr:uid="{00000000-0005-0000-0000-0000EC000000}"/>
    <cellStyle name="Comma 7 3 2" xfId="1620" xr:uid="{00000000-0005-0000-0000-0000ED000000}"/>
    <cellStyle name="Comma 7 3 3" xfId="1621" xr:uid="{00000000-0005-0000-0000-0000EE000000}"/>
    <cellStyle name="Comma 8" xfId="1389" xr:uid="{00000000-0005-0000-0000-0000EF000000}"/>
    <cellStyle name="Comma 8 2" xfId="1390" xr:uid="{00000000-0005-0000-0000-0000F0000000}"/>
    <cellStyle name="Comma 8 3" xfId="1391" xr:uid="{00000000-0005-0000-0000-0000F1000000}"/>
    <cellStyle name="Comma 8 3 2" xfId="1622" xr:uid="{00000000-0005-0000-0000-0000F2000000}"/>
    <cellStyle name="Comma 8 3 3" xfId="1623" xr:uid="{00000000-0005-0000-0000-0000F3000000}"/>
    <cellStyle name="Comma 8 3 4" xfId="3930" xr:uid="{00000000-0005-0000-0000-0000F4000000}"/>
    <cellStyle name="Comma 8 3 4 2" xfId="5474" xr:uid="{00000000-0005-0000-0000-0000F5000000}"/>
    <cellStyle name="Comma 8 4" xfId="1392" xr:uid="{00000000-0005-0000-0000-0000F6000000}"/>
    <cellStyle name="Comma 8 5" xfId="1624" xr:uid="{00000000-0005-0000-0000-0000F7000000}"/>
    <cellStyle name="Comma 8 6" xfId="1625" xr:uid="{00000000-0005-0000-0000-0000F8000000}"/>
    <cellStyle name="Comma 9" xfId="1075" xr:uid="{00000000-0005-0000-0000-0000F9000000}"/>
    <cellStyle name="Comma 9 2" xfId="1393" xr:uid="{00000000-0005-0000-0000-0000FA000000}"/>
    <cellStyle name="Currency 2" xfId="7" xr:uid="{00000000-0005-0000-0000-0000FB000000}"/>
    <cellStyle name="Currency 3" xfId="1394" xr:uid="{00000000-0005-0000-0000-0000FC000000}"/>
    <cellStyle name="Currency 4" xfId="1395" xr:uid="{00000000-0005-0000-0000-0000FD000000}"/>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1"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7" builtinId="9" hidden="1"/>
    <cellStyle name="Followed Hyperlink" xfId="4909" builtinId="9" hidden="1"/>
    <cellStyle name="Followed Hyperlink" xfId="4911" builtinId="9" hidden="1"/>
    <cellStyle name="Followed Hyperlink" xfId="4913" builtinId="9" hidden="1"/>
    <cellStyle name="Followed Hyperlink" xfId="4915"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67" builtinId="9" hidden="1"/>
    <cellStyle name="Followed Hyperlink" xfId="4969"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83" builtinId="9" hidden="1"/>
    <cellStyle name="Followed Hyperlink" xfId="5085" builtinId="9" hidden="1"/>
    <cellStyle name="Followed Hyperlink" xfId="5087"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09" builtinId="9" hidden="1"/>
    <cellStyle name="Followed Hyperlink" xfId="5111" builtinId="9" hidden="1"/>
    <cellStyle name="Followed Hyperlink" xfId="5113" builtinId="9" hidden="1"/>
    <cellStyle name="Followed Hyperlink" xfId="5115" builtinId="9" hidden="1"/>
    <cellStyle name="Followed Hyperlink" xfId="5117" builtinId="9" hidden="1"/>
    <cellStyle name="Followed Hyperlink" xfId="5119" builtinId="9" hidden="1"/>
    <cellStyle name="Followed Hyperlink" xfId="5121" builtinId="9" hidden="1"/>
    <cellStyle name="Followed Hyperlink" xfId="5123" builtinId="9" hidden="1"/>
    <cellStyle name="Followed Hyperlink" xfId="5125" builtinId="9" hidden="1"/>
    <cellStyle name="Followed Hyperlink" xfId="5127" builtinId="9" hidden="1"/>
    <cellStyle name="Followed Hyperlink" xfId="5129" builtinId="9" hidden="1"/>
    <cellStyle name="Followed Hyperlink" xfId="5131" builtinId="9" hidden="1"/>
    <cellStyle name="Followed Hyperlink" xfId="5133" builtinId="9" hidden="1"/>
    <cellStyle name="Followed Hyperlink" xfId="5135" builtinId="9" hidden="1"/>
    <cellStyle name="Followed Hyperlink" xfId="5137" builtinId="9" hidden="1"/>
    <cellStyle name="Followed Hyperlink" xfId="5139" builtinId="9" hidden="1"/>
    <cellStyle name="Followed Hyperlink" xfId="5141" builtinId="9" hidden="1"/>
    <cellStyle name="Followed Hyperlink" xfId="5143" builtinId="9" hidden="1"/>
    <cellStyle name="Followed Hyperlink" xfId="5145" builtinId="9" hidden="1"/>
    <cellStyle name="Followed Hyperlink" xfId="5147" builtinId="9" hidden="1"/>
    <cellStyle name="Followed Hyperlink" xfId="5149" builtinId="9" hidden="1"/>
    <cellStyle name="Followed Hyperlink" xfId="5151"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3"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34" builtinId="9" hidden="1"/>
    <cellStyle name="Followed Hyperlink" xfId="5736" builtinId="9" hidden="1"/>
    <cellStyle name="Followed Hyperlink" xfId="5737" builtinId="9" hidden="1"/>
    <cellStyle name="Followed Hyperlink" xfId="5738" builtinId="9" hidden="1"/>
    <cellStyle name="Followed Hyperlink" xfId="5739" builtinId="9" hidden="1"/>
    <cellStyle name="Followed Hyperlink" xfId="5740" builtinId="9" hidden="1"/>
    <cellStyle name="Followed Hyperlink" xfId="5741" builtinId="9" hidden="1"/>
    <cellStyle name="Followed Hyperlink" xfId="5742" builtinId="9" hidden="1"/>
    <cellStyle name="Followed Hyperlink" xfId="5743" builtinId="9" hidden="1"/>
    <cellStyle name="Followed Hyperlink" xfId="5744" builtinId="9" hidden="1"/>
    <cellStyle name="Followed Hyperlink" xfId="5745" builtinId="9" hidden="1"/>
    <cellStyle name="Followed Hyperlink" xfId="5746" builtinId="9" hidden="1"/>
    <cellStyle name="Followed Hyperlink" xfId="5747" builtinId="9" hidden="1"/>
    <cellStyle name="Followed Hyperlink" xfId="5748" builtinId="9" hidden="1"/>
    <cellStyle name="Followed Hyperlink" xfId="5749" builtinId="9" hidden="1"/>
    <cellStyle name="Followed Hyperlink" xfId="5750" builtinId="9" hidden="1"/>
    <cellStyle name="Followed Hyperlink" xfId="5751" builtinId="9" hidden="1"/>
    <cellStyle name="Followed Hyperlink" xfId="5752" builtinId="9" hidden="1"/>
    <cellStyle name="Followed Hyperlink" xfId="5753" builtinId="9" hidden="1"/>
    <cellStyle name="Followed Hyperlink" xfId="5754"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7" builtinId="9" hidden="1"/>
    <cellStyle name="Followed Hyperlink" xfId="5768" builtinId="9" hidden="1"/>
    <cellStyle name="Followed Hyperlink" xfId="5769" builtinId="9" hidden="1"/>
    <cellStyle name="Followed Hyperlink" xfId="5770" builtinId="9" hidden="1"/>
    <cellStyle name="Followed Hyperlink" xfId="5771" builtinId="9" hidden="1"/>
    <cellStyle name="Followed Hyperlink" xfId="5772" builtinId="9" hidden="1"/>
    <cellStyle name="Followed Hyperlink" xfId="5773" builtinId="9" hidden="1"/>
    <cellStyle name="Followed Hyperlink" xfId="5774" builtinId="9" hidden="1"/>
    <cellStyle name="Followed Hyperlink" xfId="5775" builtinId="9" hidden="1"/>
    <cellStyle name="Followed Hyperlink" xfId="5776" builtinId="9" hidden="1"/>
    <cellStyle name="Followed Hyperlink" xfId="5777" builtinId="9" hidden="1"/>
    <cellStyle name="Followed Hyperlink" xfId="5778" builtinId="9" hidden="1"/>
    <cellStyle name="Followed Hyperlink" xfId="5779" builtinId="9" hidden="1"/>
    <cellStyle name="Followed Hyperlink" xfId="5780" builtinId="9" hidden="1"/>
    <cellStyle name="Followed Hyperlink" xfId="5781" builtinId="9" hidden="1"/>
    <cellStyle name="Followed Hyperlink" xfId="5782" builtinId="9" hidden="1"/>
    <cellStyle name="Followed Hyperlink" xfId="5783" builtinId="9" hidden="1"/>
    <cellStyle name="Followed Hyperlink" xfId="5784" builtinId="9" hidden="1"/>
    <cellStyle name="Followed Hyperlink" xfId="5785" builtinId="9" hidden="1"/>
    <cellStyle name="Followed Hyperlink" xfId="5786" builtinId="9" hidden="1"/>
    <cellStyle name="Followed Hyperlink" xfId="5787" builtinId="9" hidden="1"/>
    <cellStyle name="Followed Hyperlink" xfId="5788" builtinId="9" hidden="1"/>
    <cellStyle name="Followed Hyperlink" xfId="5789" builtinId="9" hidden="1"/>
    <cellStyle name="Followed Hyperlink" xfId="5790" builtinId="9" hidden="1"/>
    <cellStyle name="Followed Hyperlink" xfId="5791" builtinId="9" hidden="1"/>
    <cellStyle name="Followed Hyperlink" xfId="5792" builtinId="9" hidden="1"/>
    <cellStyle name="Followed Hyperlink" xfId="5793" builtinId="9" hidden="1"/>
    <cellStyle name="Followed Hyperlink" xfId="5794" builtinId="9" hidden="1"/>
    <cellStyle name="Followed Hyperlink" xfId="5795" builtinId="9" hidden="1"/>
    <cellStyle name="Followed Hyperlink" xfId="5796" builtinId="9" hidden="1"/>
    <cellStyle name="Followed Hyperlink" xfId="5797" builtinId="9" hidden="1"/>
    <cellStyle name="Followed Hyperlink" xfId="5798" builtinId="9" hidden="1"/>
    <cellStyle name="Followed Hyperlink" xfId="5799" builtinId="9" hidden="1"/>
    <cellStyle name="Followed Hyperlink" xfId="5800" builtinId="9" hidden="1"/>
    <cellStyle name="Followed Hyperlink" xfId="5801" builtinId="9" hidden="1"/>
    <cellStyle name="Followed Hyperlink" xfId="5802" builtinId="9" hidden="1"/>
    <cellStyle name="Followed Hyperlink" xfId="5803" builtinId="9" hidden="1"/>
    <cellStyle name="Followed Hyperlink" xfId="5804" builtinId="9" hidden="1"/>
    <cellStyle name="Followed Hyperlink" xfId="5805" builtinId="9" hidden="1"/>
    <cellStyle name="Followed Hyperlink" xfId="5806" builtinId="9" hidden="1"/>
    <cellStyle name="Followed Hyperlink" xfId="5807" builtinId="9" hidden="1"/>
    <cellStyle name="Followed Hyperlink" xfId="5808" builtinId="9" hidden="1"/>
    <cellStyle name="Followed Hyperlink" xfId="5809" builtinId="9" hidden="1"/>
    <cellStyle name="Followed Hyperlink" xfId="5810" builtinId="9" hidden="1"/>
    <cellStyle name="Followed Hyperlink" xfId="5811" builtinId="9" hidden="1"/>
    <cellStyle name="Followed Hyperlink" xfId="5812" builtinId="9" hidden="1"/>
    <cellStyle name="Followed Hyperlink" xfId="5813" builtinId="9" hidden="1"/>
    <cellStyle name="Followed Hyperlink" xfId="5814" builtinId="9" hidden="1"/>
    <cellStyle name="Followed Hyperlink" xfId="5815" builtinId="9" hidden="1"/>
    <cellStyle name="Followed Hyperlink" xfId="5816" builtinId="9" hidden="1"/>
    <cellStyle name="Followed Hyperlink" xfId="5817" builtinId="9" hidden="1"/>
    <cellStyle name="Followed Hyperlink" xfId="5818" builtinId="9" hidden="1"/>
    <cellStyle name="Followed Hyperlink" xfId="5819" builtinId="9" hidden="1"/>
    <cellStyle name="Followed Hyperlink" xfId="5820" builtinId="9" hidden="1"/>
    <cellStyle name="Followed Hyperlink" xfId="5821" builtinId="9" hidden="1"/>
    <cellStyle name="Followed Hyperlink" xfId="5822" builtinId="9" hidden="1"/>
    <cellStyle name="Followed Hyperlink" xfId="5823" builtinId="9" hidden="1"/>
    <cellStyle name="Followed Hyperlink" xfId="5824" builtinId="9" hidden="1"/>
    <cellStyle name="Followed Hyperlink" xfId="5825" builtinId="9" hidden="1"/>
    <cellStyle name="Followed Hyperlink" xfId="5826" builtinId="9" hidden="1"/>
    <cellStyle name="Followed Hyperlink" xfId="5827" builtinId="9" hidden="1"/>
    <cellStyle name="Followed Hyperlink" xfId="5828" builtinId="9" hidden="1"/>
    <cellStyle name="Followed Hyperlink" xfId="5829" builtinId="9" hidden="1"/>
    <cellStyle name="Followed Hyperlink" xfId="5830" builtinId="9" hidden="1"/>
    <cellStyle name="Followed Hyperlink" xfId="5831" builtinId="9" hidden="1"/>
    <cellStyle name="Followed Hyperlink" xfId="5832" builtinId="9" hidden="1"/>
    <cellStyle name="Followed Hyperlink" xfId="5833" builtinId="9" hidden="1"/>
    <cellStyle name="Followed Hyperlink" xfId="5834" builtinId="9" hidden="1"/>
    <cellStyle name="Followed Hyperlink" xfId="5835" builtinId="9" hidden="1"/>
    <cellStyle name="Followed Hyperlink" xfId="5836" builtinId="9" hidden="1"/>
    <cellStyle name="Followed Hyperlink" xfId="5837" builtinId="9" hidden="1"/>
    <cellStyle name="Followed Hyperlink" xfId="5838" builtinId="9" hidden="1"/>
    <cellStyle name="Followed Hyperlink" xfId="5839" builtinId="9" hidden="1"/>
    <cellStyle name="Followed Hyperlink" xfId="5840" builtinId="9" hidden="1"/>
    <cellStyle name="Followed Hyperlink" xfId="5841" builtinId="9" hidden="1"/>
    <cellStyle name="Followed Hyperlink" xfId="5842" builtinId="9" hidden="1"/>
    <cellStyle name="Followed Hyperlink" xfId="5843" builtinId="9" hidden="1"/>
    <cellStyle name="Followed Hyperlink" xfId="5844" builtinId="9" hidden="1"/>
    <cellStyle name="Followed Hyperlink" xfId="5845" builtinId="9" hidden="1"/>
    <cellStyle name="Followed Hyperlink" xfId="5846" builtinId="9" hidden="1"/>
    <cellStyle name="Followed Hyperlink" xfId="5847" builtinId="9" hidden="1"/>
    <cellStyle name="Followed Hyperlink" xfId="5848" builtinId="9" hidden="1"/>
    <cellStyle name="Followed Hyperlink" xfId="5849" builtinId="9" hidden="1"/>
    <cellStyle name="Followed Hyperlink" xfId="5850" builtinId="9" hidden="1"/>
    <cellStyle name="Followed Hyperlink" xfId="5851" builtinId="9" hidden="1"/>
    <cellStyle name="Followed Hyperlink" xfId="5852" builtinId="9" hidden="1"/>
    <cellStyle name="Followed Hyperlink" xfId="5853" builtinId="9" hidden="1"/>
    <cellStyle name="Followed Hyperlink" xfId="5854" builtinId="9" hidden="1"/>
    <cellStyle name="Followed Hyperlink" xfId="5855" builtinId="9" hidden="1"/>
    <cellStyle name="Followed Hyperlink" xfId="5856" builtinId="9" hidden="1"/>
    <cellStyle name="Followed Hyperlink" xfId="5857" builtinId="9" hidden="1"/>
    <cellStyle name="Followed Hyperlink" xfId="5858" builtinId="9" hidden="1"/>
    <cellStyle name="Followed Hyperlink" xfId="5859" builtinId="9" hidden="1"/>
    <cellStyle name="Followed Hyperlink" xfId="5860" builtinId="9" hidden="1"/>
    <cellStyle name="Followed Hyperlink" xfId="5861" builtinId="9" hidden="1"/>
    <cellStyle name="Followed Hyperlink" xfId="5862" builtinId="9" hidden="1"/>
    <cellStyle name="Followed Hyperlink" xfId="5863" builtinId="9" hidden="1"/>
    <cellStyle name="Followed Hyperlink" xfId="5864" builtinId="9" hidden="1"/>
    <cellStyle name="Followed Hyperlink" xfId="5865" builtinId="9" hidden="1"/>
    <cellStyle name="Followed Hyperlink" xfId="5866" builtinId="9" hidden="1"/>
    <cellStyle name="Followed Hyperlink" xfId="5867" builtinId="9" hidden="1"/>
    <cellStyle name="Followed Hyperlink" xfId="5868" builtinId="9" hidden="1"/>
    <cellStyle name="Followed Hyperlink" xfId="5869" builtinId="9" hidden="1"/>
    <cellStyle name="Followed Hyperlink" xfId="5870" builtinId="9" hidden="1"/>
    <cellStyle name="Followed Hyperlink" xfId="5871" builtinId="9" hidden="1"/>
    <cellStyle name="Followed Hyperlink" xfId="5872" builtinId="9" hidden="1"/>
    <cellStyle name="Followed Hyperlink" xfId="5873" builtinId="9" hidden="1"/>
    <cellStyle name="Followed Hyperlink" xfId="5874" builtinId="9" hidden="1"/>
    <cellStyle name="Followed Hyperlink" xfId="5875" builtinId="9" hidden="1"/>
    <cellStyle name="Followed Hyperlink" xfId="5876" builtinId="9" hidden="1"/>
    <cellStyle name="Followed Hyperlink" xfId="5877" builtinId="9" hidden="1"/>
    <cellStyle name="Followed Hyperlink" xfId="5878" builtinId="9" hidden="1"/>
    <cellStyle name="Followed Hyperlink" xfId="5879" builtinId="9" hidden="1"/>
    <cellStyle name="Followed Hyperlink" xfId="5880" builtinId="9" hidden="1"/>
    <cellStyle name="Followed Hyperlink" xfId="5881" builtinId="9" hidden="1"/>
    <cellStyle name="Followed Hyperlink" xfId="5882" builtinId="9" hidden="1"/>
    <cellStyle name="Followed Hyperlink" xfId="5883" builtinId="9" hidden="1"/>
    <cellStyle name="Followed Hyperlink" xfId="5884" builtinId="9" hidden="1"/>
    <cellStyle name="Followed Hyperlink" xfId="5885" builtinId="9" hidden="1"/>
    <cellStyle name="Followed Hyperlink" xfId="5886" builtinId="9" hidden="1"/>
    <cellStyle name="Followed Hyperlink" xfId="5887" builtinId="9" hidden="1"/>
    <cellStyle name="Followed Hyperlink" xfId="5888" builtinId="9" hidden="1"/>
    <cellStyle name="Followed Hyperlink" xfId="5889" builtinId="9" hidden="1"/>
    <cellStyle name="Followed Hyperlink" xfId="5890" builtinId="9" hidden="1"/>
    <cellStyle name="Followed Hyperlink" xfId="5891" builtinId="9" hidden="1"/>
    <cellStyle name="Followed Hyperlink" xfId="5892" builtinId="9" hidden="1"/>
    <cellStyle name="Followed Hyperlink" xfId="5893" builtinId="9" hidden="1"/>
    <cellStyle name="Followed Hyperlink" xfId="5894" builtinId="9" hidden="1"/>
    <cellStyle name="Followed Hyperlink" xfId="5895" builtinId="9" hidden="1"/>
    <cellStyle name="Followed Hyperlink" xfId="5896" builtinId="9" hidden="1"/>
    <cellStyle name="Followed Hyperlink" xfId="5897" builtinId="9" hidden="1"/>
    <cellStyle name="Followed Hyperlink" xfId="5898" builtinId="9" hidden="1"/>
    <cellStyle name="Followed Hyperlink" xfId="5899" builtinId="9" hidden="1"/>
    <cellStyle name="Followed Hyperlink" xfId="5900" builtinId="9" hidden="1"/>
    <cellStyle name="Followed Hyperlink" xfId="5901" builtinId="9" hidden="1"/>
    <cellStyle name="Followed Hyperlink" xfId="5902" builtinId="9" hidden="1"/>
    <cellStyle name="Followed Hyperlink" xfId="5903" builtinId="9" hidden="1"/>
    <cellStyle name="Followed Hyperlink" xfId="5904" builtinId="9" hidden="1"/>
    <cellStyle name="Followed Hyperlink" xfId="5905" builtinId="9" hidden="1"/>
    <cellStyle name="Followed Hyperlink" xfId="5906" builtinId="9" hidden="1"/>
    <cellStyle name="Followed Hyperlink" xfId="5907" builtinId="9" hidden="1"/>
    <cellStyle name="Followed Hyperlink" xfId="5908" builtinId="9" hidden="1"/>
    <cellStyle name="Followed Hyperlink" xfId="5909" builtinId="9" hidden="1"/>
    <cellStyle name="Followed Hyperlink" xfId="5910" builtinId="9" hidden="1"/>
    <cellStyle name="Followed Hyperlink" xfId="5911" builtinId="9" hidden="1"/>
    <cellStyle name="Followed Hyperlink" xfId="5912" builtinId="9" hidden="1"/>
    <cellStyle name="Followed Hyperlink" xfId="5913" builtinId="9" hidden="1"/>
    <cellStyle name="Followed Hyperlink" xfId="5914" builtinId="9" hidden="1"/>
    <cellStyle name="Followed Hyperlink" xfId="5915" builtinId="9" hidden="1"/>
    <cellStyle name="Followed Hyperlink" xfId="5916" builtinId="9" hidden="1"/>
    <cellStyle name="Followed Hyperlink" xfId="5917" builtinId="9" hidden="1"/>
    <cellStyle name="Followed Hyperlink" xfId="5918" builtinId="9" hidden="1"/>
    <cellStyle name="Followed Hyperlink" xfId="5919" builtinId="9" hidden="1"/>
    <cellStyle name="Followed Hyperlink" xfId="5920" builtinId="9" hidden="1"/>
    <cellStyle name="Followed Hyperlink" xfId="5921" builtinId="9" hidden="1"/>
    <cellStyle name="Followed Hyperlink" xfId="5922" builtinId="9" hidden="1"/>
    <cellStyle name="Followed Hyperlink" xfId="5923" builtinId="9" hidden="1"/>
    <cellStyle name="Followed Hyperlink" xfId="5924" builtinId="9" hidden="1"/>
    <cellStyle name="Followed Hyperlink" xfId="5925" builtinId="9" hidden="1"/>
    <cellStyle name="Followed Hyperlink" xfId="5926" builtinId="9" hidden="1"/>
    <cellStyle name="header" xfId="8" xr:uid="{00000000-0005-0000-0000-00001D0C0000}"/>
    <cellStyle name="Header Total" xfId="9" xr:uid="{00000000-0005-0000-0000-00001E0C0000}"/>
    <cellStyle name="Header1" xfId="10" xr:uid="{00000000-0005-0000-0000-00001F0C0000}"/>
    <cellStyle name="Header2" xfId="11" xr:uid="{00000000-0005-0000-0000-0000200C0000}"/>
    <cellStyle name="Header3" xfId="12" xr:uid="{00000000-0005-0000-0000-0000210C0000}"/>
    <cellStyle name="Heading 1 2" xfId="1626" xr:uid="{00000000-0005-0000-0000-0000220C0000}"/>
    <cellStyle name="Heading 1 3" xfId="1627" xr:uid="{00000000-0005-0000-0000-0000230C0000}"/>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502" builtinId="8" hidden="1"/>
    <cellStyle name="Hyperlink" xfId="4504" builtinId="8" hidden="1"/>
    <cellStyle name="Hyperlink" xfId="4506" builtinId="8" hidden="1"/>
    <cellStyle name="Hyperlink" xfId="4508" builtinId="8" hidden="1"/>
    <cellStyle name="Hyperlink" xfId="4510" builtinId="8" hidden="1"/>
    <cellStyle name="Hyperlink" xfId="4512" builtinId="8" hidden="1"/>
    <cellStyle name="Hyperlink" xfId="4514" builtinId="8" hidden="1"/>
    <cellStyle name="Hyperlink" xfId="4516" builtinId="8" hidden="1"/>
    <cellStyle name="Hyperlink" xfId="4518" builtinId="8" hidden="1"/>
    <cellStyle name="Hyperlink" xfId="4520" builtinId="8" hidden="1"/>
    <cellStyle name="Hyperlink" xfId="4522" builtinId="8" hidden="1"/>
    <cellStyle name="Hyperlink" xfId="4524" builtinId="8" hidden="1"/>
    <cellStyle name="Hyperlink" xfId="4526" builtinId="8" hidden="1"/>
    <cellStyle name="Hyperlink" xfId="4528" builtinId="8" hidden="1"/>
    <cellStyle name="Hyperlink" xfId="4530" builtinId="8" hidden="1"/>
    <cellStyle name="Hyperlink" xfId="4532" builtinId="8" hidden="1"/>
    <cellStyle name="Hyperlink" xfId="4534" builtinId="8" hidden="1"/>
    <cellStyle name="Hyperlink" xfId="4536" builtinId="8" hidden="1"/>
    <cellStyle name="Hyperlink" xfId="4538" builtinId="8" hidden="1"/>
    <cellStyle name="Hyperlink" xfId="4540" builtinId="8" hidden="1"/>
    <cellStyle name="Hyperlink" xfId="4542" builtinId="8" hidden="1"/>
    <cellStyle name="Hyperlink" xfId="4544" builtinId="8" hidden="1"/>
    <cellStyle name="Hyperlink" xfId="4546" builtinId="8" hidden="1"/>
    <cellStyle name="Hyperlink" xfId="4548" builtinId="8" hidden="1"/>
    <cellStyle name="Hyperlink" xfId="4550" builtinId="8" hidden="1"/>
    <cellStyle name="Hyperlink" xfId="4552" builtinId="8" hidden="1"/>
    <cellStyle name="Hyperlink" xfId="4554" builtinId="8" hidden="1"/>
    <cellStyle name="Hyperlink" xfId="4556" builtinId="8" hidden="1"/>
    <cellStyle name="Hyperlink" xfId="4558" builtinId="8" hidden="1"/>
    <cellStyle name="Hyperlink" xfId="4560"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Hyperlink" xfId="4586" builtinId="8" hidden="1"/>
    <cellStyle name="Hyperlink" xfId="4588" builtinId="8" hidden="1"/>
    <cellStyle name="Hyperlink" xfId="4590" builtinId="8" hidden="1"/>
    <cellStyle name="Hyperlink" xfId="4592" builtinId="8" hidden="1"/>
    <cellStyle name="Hyperlink" xfId="4594" builtinId="8" hidden="1"/>
    <cellStyle name="Hyperlink" xfId="4596" builtinId="8" hidden="1"/>
    <cellStyle name="Hyperlink" xfId="4598" builtinId="8" hidden="1"/>
    <cellStyle name="Hyperlink" xfId="4600" builtinId="8" hidden="1"/>
    <cellStyle name="Hyperlink" xfId="4602" builtinId="8" hidden="1"/>
    <cellStyle name="Hyperlink" xfId="4604" builtinId="8" hidden="1"/>
    <cellStyle name="Hyperlink" xfId="4606" builtinId="8" hidden="1"/>
    <cellStyle name="Hyperlink" xfId="4608" builtinId="8" hidden="1"/>
    <cellStyle name="Hyperlink" xfId="4610" builtinId="8" hidden="1"/>
    <cellStyle name="Hyperlink" xfId="4612" builtinId="8" hidden="1"/>
    <cellStyle name="Hyperlink" xfId="4614" builtinId="8" hidden="1"/>
    <cellStyle name="Hyperlink" xfId="4616" builtinId="8" hidden="1"/>
    <cellStyle name="Hyperlink" xfId="4618" builtinId="8" hidden="1"/>
    <cellStyle name="Hyperlink" xfId="4620" builtinId="8" hidden="1"/>
    <cellStyle name="Hyperlink" xfId="4622" builtinId="8" hidden="1"/>
    <cellStyle name="Hyperlink" xfId="4624" builtinId="8" hidden="1"/>
    <cellStyle name="Hyperlink" xfId="4626" builtinId="8" hidden="1"/>
    <cellStyle name="Hyperlink" xfId="4628" builtinId="8" hidden="1"/>
    <cellStyle name="Hyperlink" xfId="4630" builtinId="8" hidden="1"/>
    <cellStyle name="Hyperlink" xfId="4632" builtinId="8" hidden="1"/>
    <cellStyle name="Hyperlink" xfId="4634" builtinId="8" hidden="1"/>
    <cellStyle name="Hyperlink" xfId="4636" builtinId="8" hidden="1"/>
    <cellStyle name="Hyperlink" xfId="4638" builtinId="8" hidden="1"/>
    <cellStyle name="Hyperlink" xfId="4640"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54" builtinId="8" hidden="1"/>
    <cellStyle name="Hyperlink" xfId="4656" builtinId="8" hidden="1"/>
    <cellStyle name="Hyperlink" xfId="4658" builtinId="8" hidden="1"/>
    <cellStyle name="Hyperlink" xfId="4660" builtinId="8" hidden="1"/>
    <cellStyle name="Hyperlink" xfId="4662" builtinId="8" hidden="1"/>
    <cellStyle name="Hyperlink" xfId="4664" builtinId="8" hidden="1"/>
    <cellStyle name="Hyperlink" xfId="4666" builtinId="8" hidden="1"/>
    <cellStyle name="Hyperlink" xfId="4668" builtinId="8" hidden="1"/>
    <cellStyle name="Hyperlink" xfId="4670" builtinId="8" hidden="1"/>
    <cellStyle name="Hyperlink" xfId="4672" builtinId="8" hidden="1"/>
    <cellStyle name="Hyperlink" xfId="4674" builtinId="8" hidden="1"/>
    <cellStyle name="Hyperlink" xfId="4676" builtinId="8" hidden="1"/>
    <cellStyle name="Hyperlink" xfId="4678" builtinId="8" hidden="1"/>
    <cellStyle name="Hyperlink" xfId="4680" builtinId="8" hidden="1"/>
    <cellStyle name="Hyperlink" xfId="468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84" builtinId="8" hidden="1"/>
    <cellStyle name="Hyperlink" xfId="4886" builtinId="8" hidden="1"/>
    <cellStyle name="Hyperlink" xfId="4888" builtinId="8" hidden="1"/>
    <cellStyle name="Hyperlink" xfId="4890" builtinId="8" hidden="1"/>
    <cellStyle name="Hyperlink" xfId="4892" builtinId="8" hidden="1"/>
    <cellStyle name="Hyperlink" xfId="4894" builtinId="8" hidden="1"/>
    <cellStyle name="Hyperlink" xfId="4896" builtinId="8" hidden="1"/>
    <cellStyle name="Hyperlink" xfId="4898" builtinId="8" hidden="1"/>
    <cellStyle name="Hyperlink" xfId="4900" builtinId="8" hidden="1"/>
    <cellStyle name="Hyperlink" xfId="4902" builtinId="8" hidden="1"/>
    <cellStyle name="Hyperlink" xfId="4904" builtinId="8" hidden="1"/>
    <cellStyle name="Hyperlink" xfId="4906" builtinId="8" hidden="1"/>
    <cellStyle name="Hyperlink" xfId="4908" builtinId="8" hidden="1"/>
    <cellStyle name="Hyperlink" xfId="4910" builtinId="8" hidden="1"/>
    <cellStyle name="Hyperlink" xfId="4912" builtinId="8" hidden="1"/>
    <cellStyle name="Hyperlink" xfId="4914" builtinId="8" hidden="1"/>
    <cellStyle name="Hyperlink" xfId="4916" builtinId="8" hidden="1"/>
    <cellStyle name="Hyperlink" xfId="4918" builtinId="8" hidden="1"/>
    <cellStyle name="Hyperlink" xfId="4920" builtinId="8" hidden="1"/>
    <cellStyle name="Hyperlink" xfId="4922" builtinId="8" hidden="1"/>
    <cellStyle name="Hyperlink" xfId="4924" builtinId="8" hidden="1"/>
    <cellStyle name="Hyperlink" xfId="4926" builtinId="8" hidden="1"/>
    <cellStyle name="Hyperlink" xfId="4928" builtinId="8" hidden="1"/>
    <cellStyle name="Hyperlink" xfId="4930" builtinId="8" hidden="1"/>
    <cellStyle name="Hyperlink" xfId="4932" builtinId="8" hidden="1"/>
    <cellStyle name="Hyperlink" xfId="4934" builtinId="8" hidden="1"/>
    <cellStyle name="Hyperlink" xfId="4936" builtinId="8" hidden="1"/>
    <cellStyle name="Hyperlink" xfId="4938" builtinId="8" hidden="1"/>
    <cellStyle name="Hyperlink" xfId="4940" builtinId="8" hidden="1"/>
    <cellStyle name="Hyperlink" xfId="4942" builtinId="8" hidden="1"/>
    <cellStyle name="Hyperlink" xfId="4944" builtinId="8" hidden="1"/>
    <cellStyle name="Hyperlink" xfId="4946" builtinId="8" hidden="1"/>
    <cellStyle name="Hyperlink" xfId="4948" builtinId="8" hidden="1"/>
    <cellStyle name="Hyperlink" xfId="4950" builtinId="8" hidden="1"/>
    <cellStyle name="Hyperlink" xfId="4952" builtinId="8" hidden="1"/>
    <cellStyle name="Hyperlink" xfId="4954" builtinId="8" hidden="1"/>
    <cellStyle name="Hyperlink" xfId="4956" builtinId="8" hidden="1"/>
    <cellStyle name="Hyperlink" xfId="4958" builtinId="8" hidden="1"/>
    <cellStyle name="Hyperlink" xfId="4960" builtinId="8" hidden="1"/>
    <cellStyle name="Hyperlink" xfId="4962" builtinId="8" hidden="1"/>
    <cellStyle name="Hyperlink" xfId="4964" builtinId="8" hidden="1"/>
    <cellStyle name="Hyperlink" xfId="4966" builtinId="8" hidden="1"/>
    <cellStyle name="Hyperlink" xfId="4968" builtinId="8" hidden="1"/>
    <cellStyle name="Hyperlink" xfId="4970"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5062" builtinId="8" hidden="1"/>
    <cellStyle name="Hyperlink" xfId="5064" builtinId="8" hidden="1"/>
    <cellStyle name="Hyperlink" xfId="5066" builtinId="8" hidden="1"/>
    <cellStyle name="Hyperlink" xfId="5068" builtinId="8" hidden="1"/>
    <cellStyle name="Hyperlink" xfId="5070" builtinId="8" hidden="1"/>
    <cellStyle name="Hyperlink" xfId="5072" builtinId="8" hidden="1"/>
    <cellStyle name="Hyperlink" xfId="5074" builtinId="8" hidden="1"/>
    <cellStyle name="Hyperlink" xfId="5076" builtinId="8" hidden="1"/>
    <cellStyle name="Hyperlink" xfId="5078" builtinId="8" hidden="1"/>
    <cellStyle name="Hyperlink" xfId="5080" builtinId="8" hidden="1"/>
    <cellStyle name="Hyperlink" xfId="5082" builtinId="8" hidden="1"/>
    <cellStyle name="Hyperlink" xfId="5084" builtinId="8" hidden="1"/>
    <cellStyle name="Hyperlink" xfId="5086" builtinId="8" hidden="1"/>
    <cellStyle name="Hyperlink" xfId="5088" builtinId="8" hidden="1"/>
    <cellStyle name="Hyperlink" xfId="5090" builtinId="8" hidden="1"/>
    <cellStyle name="Hyperlink" xfId="5092" builtinId="8" hidden="1"/>
    <cellStyle name="Hyperlink" xfId="5094" builtinId="8" hidden="1"/>
    <cellStyle name="Hyperlink" xfId="5096" builtinId="8" hidden="1"/>
    <cellStyle name="Hyperlink" xfId="5098" builtinId="8" hidden="1"/>
    <cellStyle name="Hyperlink" xfId="5100" builtinId="8" hidden="1"/>
    <cellStyle name="Hyperlink" xfId="5102" builtinId="8" hidden="1"/>
    <cellStyle name="Hyperlink" xfId="5104" builtinId="8" hidden="1"/>
    <cellStyle name="Hyperlink" xfId="5106" builtinId="8" hidden="1"/>
    <cellStyle name="Hyperlink" xfId="5108" builtinId="8" hidden="1"/>
    <cellStyle name="Hyperlink" xfId="5110" builtinId="8" hidden="1"/>
    <cellStyle name="Hyperlink" xfId="5112" builtinId="8" hidden="1"/>
    <cellStyle name="Hyperlink" xfId="5114" builtinId="8" hidden="1"/>
    <cellStyle name="Hyperlink" xfId="5116" builtinId="8" hidden="1"/>
    <cellStyle name="Hyperlink" xfId="5118" builtinId="8" hidden="1"/>
    <cellStyle name="Hyperlink" xfId="5120" builtinId="8" hidden="1"/>
    <cellStyle name="Hyperlink" xfId="5122" builtinId="8" hidden="1"/>
    <cellStyle name="Hyperlink" xfId="5124" builtinId="8" hidden="1"/>
    <cellStyle name="Hyperlink" xfId="5126" builtinId="8" hidden="1"/>
    <cellStyle name="Hyperlink" xfId="5128" builtinId="8" hidden="1"/>
    <cellStyle name="Hyperlink" xfId="5130" builtinId="8" hidden="1"/>
    <cellStyle name="Hyperlink" xfId="5132" builtinId="8" hidden="1"/>
    <cellStyle name="Hyperlink" xfId="5134" builtinId="8" hidden="1"/>
    <cellStyle name="Hyperlink" xfId="5136" builtinId="8" hidden="1"/>
    <cellStyle name="Hyperlink" xfId="5138" builtinId="8" hidden="1"/>
    <cellStyle name="Hyperlink" xfId="5140" builtinId="8" hidden="1"/>
    <cellStyle name="Hyperlink" xfId="5142" builtinId="8" hidden="1"/>
    <cellStyle name="Hyperlink" xfId="5144" builtinId="8" hidden="1"/>
    <cellStyle name="Hyperlink" xfId="5146" builtinId="8" hidden="1"/>
    <cellStyle name="Hyperlink" xfId="5148" builtinId="8" hidden="1"/>
    <cellStyle name="Hyperlink" xfId="5150" builtinId="8" hidden="1"/>
    <cellStyle name="Hyperlink" xfId="5152"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2" builtinId="8" hidden="1"/>
    <cellStyle name="Hyperlink" xfId="5244"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33" builtinId="8" hidden="1"/>
    <cellStyle name="Hyperlink" xfId="5735" builtinId="8" hidden="1"/>
    <cellStyle name="Normal" xfId="0" builtinId="0"/>
    <cellStyle name="Normal 10" xfId="1396" xr:uid="{00000000-0005-0000-0000-000085160000}"/>
    <cellStyle name="Normal 11" xfId="1397" xr:uid="{00000000-0005-0000-0000-000086160000}"/>
    <cellStyle name="Normal 11 2" xfId="1628" xr:uid="{00000000-0005-0000-0000-000087160000}"/>
    <cellStyle name="Normal 11 3" xfId="1629" xr:uid="{00000000-0005-0000-0000-000088160000}"/>
    <cellStyle name="Normal 11 4" xfId="5475" xr:uid="{00000000-0005-0000-0000-000089160000}"/>
    <cellStyle name="Normal 12" xfId="1630" xr:uid="{00000000-0005-0000-0000-00008A160000}"/>
    <cellStyle name="Normal 13" xfId="3899" xr:uid="{00000000-0005-0000-0000-00008B160000}"/>
    <cellStyle name="Normal 13 2" xfId="5476" xr:uid="{00000000-0005-0000-0000-00008C160000}"/>
    <cellStyle name="Normal 14" xfId="5477" xr:uid="{00000000-0005-0000-0000-00008D160000}"/>
    <cellStyle name="Normal 2" xfId="13" xr:uid="{00000000-0005-0000-0000-00008E160000}"/>
    <cellStyle name="Normal 3" xfId="1398" xr:uid="{00000000-0005-0000-0000-00008F160000}"/>
    <cellStyle name="Normal 3 2" xfId="5731" xr:uid="{00000000-0005-0000-0000-000090160000}"/>
    <cellStyle name="Normal 4" xfId="1399" xr:uid="{00000000-0005-0000-0000-000091160000}"/>
    <cellStyle name="Normal 4 2" xfId="1631" xr:uid="{00000000-0005-0000-0000-000092160000}"/>
    <cellStyle name="Normal 4 2 2" xfId="1632" xr:uid="{00000000-0005-0000-0000-000093160000}"/>
    <cellStyle name="Normal 4 2 2 2" xfId="1633" xr:uid="{00000000-0005-0000-0000-000094160000}"/>
    <cellStyle name="Normal 4 2 2 2 2" xfId="1634" xr:uid="{00000000-0005-0000-0000-000095160000}"/>
    <cellStyle name="Normal 5" xfId="1400" xr:uid="{00000000-0005-0000-0000-000096160000}"/>
    <cellStyle name="Normal 6" xfId="1401" xr:uid="{00000000-0005-0000-0000-000097160000}"/>
    <cellStyle name="Normal 6 2" xfId="5478" xr:uid="{00000000-0005-0000-0000-000098160000}"/>
    <cellStyle name="Normal 7" xfId="1402" xr:uid="{00000000-0005-0000-0000-000099160000}"/>
    <cellStyle name="Normal 7 2" xfId="1403" xr:uid="{00000000-0005-0000-0000-00009A160000}"/>
    <cellStyle name="Normal 7 2 2" xfId="1635" xr:uid="{00000000-0005-0000-0000-00009B160000}"/>
    <cellStyle name="Normal 7 2 3" xfId="1636" xr:uid="{00000000-0005-0000-0000-00009C160000}"/>
    <cellStyle name="Normal 7 3" xfId="1404" xr:uid="{00000000-0005-0000-0000-00009D160000}"/>
    <cellStyle name="Normal 7 3 2" xfId="1637" xr:uid="{00000000-0005-0000-0000-00009E160000}"/>
    <cellStyle name="Normal 7 3 2 2" xfId="1638" xr:uid="{00000000-0005-0000-0000-00009F160000}"/>
    <cellStyle name="Normal 7 3 3" xfId="3931" xr:uid="{00000000-0005-0000-0000-0000A0160000}"/>
    <cellStyle name="Normal 7 3 3 2" xfId="5479" xr:uid="{00000000-0005-0000-0000-0000A1160000}"/>
    <cellStyle name="Normal 7 4" xfId="1639" xr:uid="{00000000-0005-0000-0000-0000A2160000}"/>
    <cellStyle name="Normal 7 4 2" xfId="1640" xr:uid="{00000000-0005-0000-0000-0000A3160000}"/>
    <cellStyle name="Normal 7 4 2 2" xfId="1641" xr:uid="{00000000-0005-0000-0000-0000A4160000}"/>
    <cellStyle name="Normal 7 4 2 3" xfId="1642" xr:uid="{00000000-0005-0000-0000-0000A5160000}"/>
    <cellStyle name="Normal 7 4 2 3 2" xfId="1643" xr:uid="{00000000-0005-0000-0000-0000A6160000}"/>
    <cellStyle name="Normal 7 5" xfId="1644" xr:uid="{00000000-0005-0000-0000-0000A7160000}"/>
    <cellStyle name="Normal 8" xfId="1405" xr:uid="{00000000-0005-0000-0000-0000A8160000}"/>
    <cellStyle name="Normal 8 2" xfId="1406" xr:uid="{00000000-0005-0000-0000-0000A9160000}"/>
    <cellStyle name="Normal 8 2 2" xfId="1407" xr:uid="{00000000-0005-0000-0000-0000AA160000}"/>
    <cellStyle name="Normal 8 2 2 2" xfId="1645" xr:uid="{00000000-0005-0000-0000-0000AB160000}"/>
    <cellStyle name="Normal 8 2 2 2 2" xfId="1646" xr:uid="{00000000-0005-0000-0000-0000AC160000}"/>
    <cellStyle name="Normal 8 2 2 2 2 2" xfId="1647" xr:uid="{00000000-0005-0000-0000-0000AD160000}"/>
    <cellStyle name="Normal 8 2 2 2 3" xfId="5429" xr:uid="{00000000-0005-0000-0000-0000AE160000}"/>
    <cellStyle name="Normal 8 2 2 3" xfId="3902" xr:uid="{00000000-0005-0000-0000-0000AF160000}"/>
    <cellStyle name="Normal 8 2 2 3 2" xfId="5480" xr:uid="{00000000-0005-0000-0000-0000B0160000}"/>
    <cellStyle name="Normal 8 2 3" xfId="1524" xr:uid="{00000000-0005-0000-0000-0000B1160000}"/>
    <cellStyle name="Normal 8 2 3 2" xfId="1648" xr:uid="{00000000-0005-0000-0000-0000B2160000}"/>
    <cellStyle name="Normal 8 2 3 3" xfId="3932" xr:uid="{00000000-0005-0000-0000-0000B3160000}"/>
    <cellStyle name="Normal 8 2 3 3 2" xfId="5481" xr:uid="{00000000-0005-0000-0000-0000B4160000}"/>
    <cellStyle name="Normal 8 2 4" xfId="1649" xr:uid="{00000000-0005-0000-0000-0000B5160000}"/>
    <cellStyle name="Normal 8 2 4 2" xfId="1650" xr:uid="{00000000-0005-0000-0000-0000B6160000}"/>
    <cellStyle name="Normal 8 2 5" xfId="1651" xr:uid="{00000000-0005-0000-0000-0000B7160000}"/>
    <cellStyle name="Normal 8 2 5 2" xfId="3933" xr:uid="{00000000-0005-0000-0000-0000B8160000}"/>
    <cellStyle name="Normal 8 2 5 2 2" xfId="5482" xr:uid="{00000000-0005-0000-0000-0000B9160000}"/>
    <cellStyle name="Normal 8 2 5 3" xfId="3934" xr:uid="{00000000-0005-0000-0000-0000BA160000}"/>
    <cellStyle name="Normal 8 2 5 3 2" xfId="5483" xr:uid="{00000000-0005-0000-0000-0000BB160000}"/>
    <cellStyle name="Normal 8 2 6" xfId="3900" xr:uid="{00000000-0005-0000-0000-0000BC160000}"/>
    <cellStyle name="Normal 8 2 6 2" xfId="4251" xr:uid="{00000000-0005-0000-0000-0000BD160000}"/>
    <cellStyle name="Normal 8 2 6 2 2" xfId="4453" xr:uid="{00000000-0005-0000-0000-0000BE160000}"/>
    <cellStyle name="Normal 8 2 6 3" xfId="5484" xr:uid="{00000000-0005-0000-0000-0000BF160000}"/>
    <cellStyle name="Normal 8 2 7" xfId="5426" xr:uid="{00000000-0005-0000-0000-0000C0160000}"/>
    <cellStyle name="Normal 8 2 8" xfId="5732" xr:uid="{00000000-0005-0000-0000-0000C1160000}"/>
    <cellStyle name="Normal 9" xfId="1408" xr:uid="{00000000-0005-0000-0000-0000C2160000}"/>
    <cellStyle name="Normal 9 2" xfId="1409" xr:uid="{00000000-0005-0000-0000-0000C3160000}"/>
    <cellStyle name="Normal 9 3" xfId="1652" xr:uid="{00000000-0005-0000-0000-0000C4160000}"/>
    <cellStyle name="Percent" xfId="2" builtinId="5"/>
    <cellStyle name="Percent 10" xfId="1410" xr:uid="{00000000-0005-0000-0000-0000C6160000}"/>
    <cellStyle name="Percent 10 2" xfId="1411" xr:uid="{00000000-0005-0000-0000-0000C7160000}"/>
    <cellStyle name="Percent 10 3" xfId="5485" xr:uid="{00000000-0005-0000-0000-0000C8160000}"/>
    <cellStyle name="Percent 11" xfId="1412" xr:uid="{00000000-0005-0000-0000-0000C9160000}"/>
    <cellStyle name="Percent 11 2" xfId="1413" xr:uid="{00000000-0005-0000-0000-0000CA160000}"/>
    <cellStyle name="Percent 11 3" xfId="1414" xr:uid="{00000000-0005-0000-0000-0000CB160000}"/>
    <cellStyle name="Percent 11 4" xfId="1653" xr:uid="{00000000-0005-0000-0000-0000CC160000}"/>
    <cellStyle name="Percent 11 4 2" xfId="1654" xr:uid="{00000000-0005-0000-0000-0000CD160000}"/>
    <cellStyle name="Percent 11 4 2 2" xfId="1655" xr:uid="{00000000-0005-0000-0000-0000CE160000}"/>
    <cellStyle name="Percent 11 4 2 3" xfId="1656" xr:uid="{00000000-0005-0000-0000-0000CF160000}"/>
    <cellStyle name="Percent 11 5" xfId="1657" xr:uid="{00000000-0005-0000-0000-0000D0160000}"/>
    <cellStyle name="Percent 12" xfId="1415" xr:uid="{00000000-0005-0000-0000-0000D1160000}"/>
    <cellStyle name="Percent 13" xfId="1416" xr:uid="{00000000-0005-0000-0000-0000D2160000}"/>
    <cellStyle name="Percent 14" xfId="3898" xr:uid="{00000000-0005-0000-0000-0000D3160000}"/>
    <cellStyle name="Percent 14 2" xfId="4249" xr:uid="{00000000-0005-0000-0000-0000D4160000}"/>
    <cellStyle name="Percent 14 2 2" xfId="4451" xr:uid="{00000000-0005-0000-0000-0000D5160000}"/>
    <cellStyle name="Percent 14 2 2 2" xfId="5486" xr:uid="{00000000-0005-0000-0000-0000D6160000}"/>
    <cellStyle name="Percent 15" xfId="3901" xr:uid="{00000000-0005-0000-0000-0000D7160000}"/>
    <cellStyle name="Percent 16" xfId="4246" xr:uid="{00000000-0005-0000-0000-0000D8160000}"/>
    <cellStyle name="Percent 16 2" xfId="5487" xr:uid="{00000000-0005-0000-0000-0000D9160000}"/>
    <cellStyle name="Percent 16 3" xfId="5729" xr:uid="{00000000-0005-0000-0000-0000DA160000}"/>
    <cellStyle name="Percent 17" xfId="5488" xr:uid="{00000000-0005-0000-0000-0000DB160000}"/>
    <cellStyle name="Percent 18" xfId="5489" xr:uid="{00000000-0005-0000-0000-0000DC160000}"/>
    <cellStyle name="Percent 19" xfId="5726" xr:uid="{00000000-0005-0000-0000-0000DD160000}"/>
    <cellStyle name="Percent 2" xfId="14" xr:uid="{00000000-0005-0000-0000-0000DE160000}"/>
    <cellStyle name="Percent 3" xfId="1417" xr:uid="{00000000-0005-0000-0000-0000DF160000}"/>
    <cellStyle name="Percent 3 2" xfId="1418" xr:uid="{00000000-0005-0000-0000-0000E0160000}"/>
    <cellStyle name="Percent 3 3" xfId="1419" xr:uid="{00000000-0005-0000-0000-0000E1160000}"/>
    <cellStyle name="Percent 3 4" xfId="1658" xr:uid="{00000000-0005-0000-0000-0000E2160000}"/>
    <cellStyle name="Percent 3 5" xfId="1659" xr:uid="{00000000-0005-0000-0000-0000E3160000}"/>
    <cellStyle name="Percent 4" xfId="1420" xr:uid="{00000000-0005-0000-0000-0000E4160000}"/>
    <cellStyle name="Percent 5" xfId="1421" xr:uid="{00000000-0005-0000-0000-0000E5160000}"/>
    <cellStyle name="Percent 5 2" xfId="1422" xr:uid="{00000000-0005-0000-0000-0000E6160000}"/>
    <cellStyle name="Percent 5 2 2" xfId="1423" xr:uid="{00000000-0005-0000-0000-0000E7160000}"/>
    <cellStyle name="Percent 5 2 3" xfId="1424" xr:uid="{00000000-0005-0000-0000-0000E8160000}"/>
    <cellStyle name="Percent 5 2 3 2" xfId="1660" xr:uid="{00000000-0005-0000-0000-0000E9160000}"/>
    <cellStyle name="Percent 5 2 3 3" xfId="1661" xr:uid="{00000000-0005-0000-0000-0000EA160000}"/>
    <cellStyle name="Percent 5 2 3 4" xfId="1662" xr:uid="{00000000-0005-0000-0000-0000EB160000}"/>
    <cellStyle name="Percent 5 2 3 5" xfId="1663" xr:uid="{00000000-0005-0000-0000-0000EC160000}"/>
    <cellStyle name="Percent 5 2 3 6" xfId="3903" xr:uid="{00000000-0005-0000-0000-0000ED160000}"/>
    <cellStyle name="Percent 5 2 3 6 2" xfId="4250" xr:uid="{00000000-0005-0000-0000-0000EE160000}"/>
    <cellStyle name="Percent 5 2 3 6 2 2" xfId="4452" xr:uid="{00000000-0005-0000-0000-0000EF160000}"/>
    <cellStyle name="Percent 5 2 3 7" xfId="5428" xr:uid="{00000000-0005-0000-0000-0000F0160000}"/>
    <cellStyle name="Percent 5 2 4" xfId="1425" xr:uid="{00000000-0005-0000-0000-0000F1160000}"/>
    <cellStyle name="Percent 5 2 5" xfId="1664" xr:uid="{00000000-0005-0000-0000-0000F2160000}"/>
    <cellStyle name="Percent 5 2 6" xfId="1665" xr:uid="{00000000-0005-0000-0000-0000F3160000}"/>
    <cellStyle name="Percent 5 3" xfId="1426" xr:uid="{00000000-0005-0000-0000-0000F4160000}"/>
    <cellStyle name="Percent 5 3 2" xfId="1427" xr:uid="{00000000-0005-0000-0000-0000F5160000}"/>
    <cellStyle name="Percent 5 3 2 2" xfId="1666" xr:uid="{00000000-0005-0000-0000-0000F6160000}"/>
    <cellStyle name="Percent 5 3 2 3" xfId="1667" xr:uid="{00000000-0005-0000-0000-0000F7160000}"/>
    <cellStyle name="Percent 5 3 3" xfId="1428" xr:uid="{00000000-0005-0000-0000-0000F8160000}"/>
    <cellStyle name="Percent 5 3 3 2" xfId="1668" xr:uid="{00000000-0005-0000-0000-0000F9160000}"/>
    <cellStyle name="Percent 5 3 3 3" xfId="1669" xr:uid="{00000000-0005-0000-0000-0000FA160000}"/>
    <cellStyle name="Percent 5 3 3 4" xfId="3935" xr:uid="{00000000-0005-0000-0000-0000FB160000}"/>
    <cellStyle name="Percent 5 3 3 4 2" xfId="5490" xr:uid="{00000000-0005-0000-0000-0000FC160000}"/>
    <cellStyle name="Percent 5 3 4" xfId="1670" xr:uid="{00000000-0005-0000-0000-0000FD160000}"/>
    <cellStyle name="Percent 5 3 4 2" xfId="1671" xr:uid="{00000000-0005-0000-0000-0000FE160000}"/>
    <cellStyle name="Percent 5 3 4 2 2" xfId="1672" xr:uid="{00000000-0005-0000-0000-0000FF160000}"/>
    <cellStyle name="Percent 5 3 4 2 3" xfId="1673" xr:uid="{00000000-0005-0000-0000-000000170000}"/>
    <cellStyle name="Percent 5 3 5" xfId="1674" xr:uid="{00000000-0005-0000-0000-000001170000}"/>
    <cellStyle name="Percent 6" xfId="1429" xr:uid="{00000000-0005-0000-0000-000002170000}"/>
    <cellStyle name="Percent 6 2" xfId="1430" xr:uid="{00000000-0005-0000-0000-000003170000}"/>
    <cellStyle name="Percent 6 2 2" xfId="1675" xr:uid="{00000000-0005-0000-0000-000004170000}"/>
    <cellStyle name="Percent 6 2 3" xfId="1676" xr:uid="{00000000-0005-0000-0000-000005170000}"/>
    <cellStyle name="Percent 6 2 4" xfId="3936" xr:uid="{00000000-0005-0000-0000-000006170000}"/>
    <cellStyle name="Percent 6 2 4 2" xfId="5491" xr:uid="{00000000-0005-0000-0000-000007170000}"/>
    <cellStyle name="Percent 6 3" xfId="1431" xr:uid="{00000000-0005-0000-0000-000008170000}"/>
    <cellStyle name="Percent 6 4" xfId="1677" xr:uid="{00000000-0005-0000-0000-000009170000}"/>
    <cellStyle name="Percent 6 5" xfId="1678" xr:uid="{00000000-0005-0000-0000-00000A170000}"/>
    <cellStyle name="Percent 7" xfId="1076" xr:uid="{00000000-0005-0000-0000-00000B170000}"/>
    <cellStyle name="Percent 7 2" xfId="1432" xr:uid="{00000000-0005-0000-0000-00000C170000}"/>
    <cellStyle name="Percent 8" xfId="1433" xr:uid="{00000000-0005-0000-0000-00000D170000}"/>
    <cellStyle name="Percent 8 2" xfId="1434" xr:uid="{00000000-0005-0000-0000-00000E170000}"/>
    <cellStyle name="Percent 8 2 2" xfId="1435" xr:uid="{00000000-0005-0000-0000-00000F170000}"/>
    <cellStyle name="Percent 8 2 2 2" xfId="1679" xr:uid="{00000000-0005-0000-0000-000010170000}"/>
    <cellStyle name="Percent 8 2 2 3" xfId="1680" xr:uid="{00000000-0005-0000-0000-000011170000}"/>
    <cellStyle name="Percent 8 2 2 4" xfId="5492" xr:uid="{00000000-0005-0000-0000-000012170000}"/>
    <cellStyle name="Percent 8 2 3" xfId="1436" xr:uid="{00000000-0005-0000-0000-000013170000}"/>
    <cellStyle name="Percent 8 2 3 2" xfId="1681" xr:uid="{00000000-0005-0000-0000-000014170000}"/>
    <cellStyle name="Percent 8 2 3 3" xfId="1682" xr:uid="{00000000-0005-0000-0000-000015170000}"/>
    <cellStyle name="Percent 8 2 3 4" xfId="3937" xr:uid="{00000000-0005-0000-0000-000016170000}"/>
    <cellStyle name="Percent 8 2 3 4 2" xfId="5493" xr:uid="{00000000-0005-0000-0000-000017170000}"/>
    <cellStyle name="Percent 8 2 4" xfId="1683" xr:uid="{00000000-0005-0000-0000-000018170000}"/>
    <cellStyle name="Percent 8 2 5" xfId="1684" xr:uid="{00000000-0005-0000-0000-000019170000}"/>
    <cellStyle name="Percent 8 2 6" xfId="1685" xr:uid="{00000000-0005-0000-0000-00001A170000}"/>
    <cellStyle name="Percent 9" xfId="1437" xr:uid="{00000000-0005-0000-0000-00001B170000}"/>
    <cellStyle name="Percent 9 2" xfId="1438" xr:uid="{00000000-0005-0000-0000-00001C170000}"/>
    <cellStyle name="Percent 9 3" xfId="1439" xr:uid="{00000000-0005-0000-0000-00001D170000}"/>
    <cellStyle name="Percent 9 3 2" xfId="1686" xr:uid="{00000000-0005-0000-0000-00001E170000}"/>
    <cellStyle name="Percent 9 3 2 2" xfId="1687" xr:uid="{00000000-0005-0000-0000-00001F170000}"/>
    <cellStyle name="Percent 9 3 3" xfId="3938" xr:uid="{00000000-0005-0000-0000-000020170000}"/>
    <cellStyle name="Percent 9 3 3 2" xfId="5494" xr:uid="{00000000-0005-0000-0000-000021170000}"/>
    <cellStyle name="Percent 9 4" xfId="1688" xr:uid="{00000000-0005-0000-0000-000022170000}"/>
    <cellStyle name="Percent 9 4 2" xfId="1689" xr:uid="{00000000-0005-0000-0000-000023170000}"/>
    <cellStyle name="Percent 9 4 2 2" xfId="1690" xr:uid="{00000000-0005-0000-0000-000024170000}"/>
    <cellStyle name="Percent 9 4 2 2 2" xfId="1691" xr:uid="{00000000-0005-0000-0000-000025170000}"/>
    <cellStyle name="Percent 9 5" xfId="1692" xr:uid="{00000000-0005-0000-0000-000026170000}"/>
  </cellStyles>
  <dxfs count="10">
    <dxf>
      <font>
        <color rgb="FF9C0006"/>
      </font>
      <fill>
        <patternFill>
          <bgColor rgb="FFFFC7CE"/>
        </patternFill>
      </fill>
    </dxf>
    <dxf>
      <font>
        <color rgb="FF0000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0000FF"/>
      </font>
      <fill>
        <patternFill patternType="solid">
          <fgColor indexed="64"/>
          <bgColor theme="0" tint="-4.9989318521683403E-2"/>
        </patternFill>
      </fill>
    </dxf>
    <dxf>
      <font>
        <color rgb="FF0000FF"/>
      </font>
      <fill>
        <patternFill patternType="solid">
          <fgColor indexed="64"/>
          <bgColor theme="0" tint="-4.9989318521683403E-2"/>
        </patternFill>
      </fill>
    </dxf>
    <dxf>
      <font>
        <color auto="1"/>
      </font>
      <fill>
        <patternFill patternType="none">
          <fgColor indexed="64"/>
          <bgColor auto="1"/>
        </patternFill>
      </fill>
      <border>
        <bottom style="hair">
          <color auto="1"/>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left/>
        <right/>
        <top/>
        <bottom style="thin">
          <color auto="1"/>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of Proceeds to each</a:t>
            </a:r>
            <a:r>
              <a:rPr lang="en-US" baseline="0"/>
              <a:t> class of shareholders</a:t>
            </a:r>
            <a:endParaRPr lang="en-US"/>
          </a:p>
        </c:rich>
      </c:tx>
      <c:overlay val="0"/>
    </c:title>
    <c:autoTitleDeleted val="0"/>
    <c:plotArea>
      <c:layout/>
      <c:areaChart>
        <c:grouping val="percentStacked"/>
        <c:varyColors val="0"/>
        <c:ser>
          <c:idx val="0"/>
          <c:order val="0"/>
          <c:tx>
            <c:strRef>
              <c:f>'Exit Waterfall'!$B$174:$C$174</c:f>
              <c:strCache>
                <c:ptCount val="2"/>
                <c:pt idx="0">
                  <c:v> E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Waterfall'!$D$174:$L$174</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395-A640-A1A6-2A9823011B79}"/>
            </c:ext>
          </c:extLst>
        </c:ser>
        <c:ser>
          <c:idx val="1"/>
          <c:order val="1"/>
          <c:tx>
            <c:strRef>
              <c:f>'Exit Waterfall'!$B$175:$C$175</c:f>
              <c:strCache>
                <c:ptCount val="2"/>
                <c:pt idx="0">
                  <c:v> D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Waterfall'!$D$175:$L$175</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5395-A640-A1A6-2A9823011B79}"/>
            </c:ext>
          </c:extLst>
        </c:ser>
        <c:ser>
          <c:idx val="2"/>
          <c:order val="2"/>
          <c:tx>
            <c:strRef>
              <c:f>'Exit Waterfall'!$B$176:$C$176</c:f>
              <c:strCache>
                <c:ptCount val="2"/>
                <c:pt idx="0">
                  <c:v> C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Waterfall'!$D$176:$L$176</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5395-A640-A1A6-2A9823011B79}"/>
            </c:ext>
          </c:extLst>
        </c:ser>
        <c:ser>
          <c:idx val="3"/>
          <c:order val="3"/>
          <c:tx>
            <c:strRef>
              <c:f>'Exit Waterfall'!$B$177:$C$177</c:f>
              <c:strCache>
                <c:ptCount val="2"/>
                <c:pt idx="0">
                  <c:v> B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Waterfall'!$D$177:$L$177</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395-A640-A1A6-2A9823011B79}"/>
            </c:ext>
          </c:extLst>
        </c:ser>
        <c:ser>
          <c:idx val="4"/>
          <c:order val="4"/>
          <c:tx>
            <c:strRef>
              <c:f>'Exit Waterfall'!$B$178:$C$178</c:f>
              <c:strCache>
                <c:ptCount val="2"/>
                <c:pt idx="0">
                  <c:v> A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Waterfall'!$D$178:$L$178</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395-A640-A1A6-2A9823011B79}"/>
            </c:ext>
          </c:extLst>
        </c:ser>
        <c:ser>
          <c:idx val="5"/>
          <c:order val="5"/>
          <c:tx>
            <c:strRef>
              <c:f>'Exit Waterfall'!$B$179:$C$179</c:f>
              <c:strCache>
                <c:ptCount val="2"/>
                <c:pt idx="0">
                  <c:v> Seed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Waterfall'!$D$179:$L$179</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395-A640-A1A6-2A9823011B79}"/>
            </c:ext>
          </c:extLst>
        </c:ser>
        <c:ser>
          <c:idx val="6"/>
          <c:order val="6"/>
          <c:tx>
            <c:strRef>
              <c:f>'Exit Waterfall'!$B$180:$C$180</c:f>
              <c:strCache>
                <c:ptCount val="2"/>
                <c:pt idx="0">
                  <c:v> Common Holders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Waterfall'!$D$180:$L$180</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395-A640-A1A6-2A9823011B79}"/>
            </c:ext>
          </c:extLst>
        </c:ser>
        <c:ser>
          <c:idx val="7"/>
          <c:order val="7"/>
          <c:tx>
            <c:strRef>
              <c:f>'Exit Waterfall'!$B$181:$C$181</c:f>
              <c:strCache>
                <c:ptCount val="2"/>
                <c:pt idx="0">
                  <c:v> Options Granted and Exercised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Waterfall'!$D$181:$L$181</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7-5395-A640-A1A6-2A9823011B79}"/>
            </c:ext>
          </c:extLst>
        </c:ser>
        <c:dLbls>
          <c:showLegendKey val="0"/>
          <c:showVal val="0"/>
          <c:showCatName val="0"/>
          <c:showSerName val="0"/>
          <c:showPercent val="0"/>
          <c:showBubbleSize val="0"/>
        </c:dLbls>
        <c:axId val="-2088166424"/>
        <c:axId val="-2060678168"/>
      </c:areaChart>
      <c:catAx>
        <c:axId val="-2088166424"/>
        <c:scaling>
          <c:orientation val="minMax"/>
        </c:scaling>
        <c:delete val="0"/>
        <c:axPos val="b"/>
        <c:numFmt formatCode="_(* #,##0_);_(* \(#,##0\);_(* &quot;-&quot;??_);_(@_)" sourceLinked="1"/>
        <c:majorTickMark val="none"/>
        <c:minorTickMark val="none"/>
        <c:tickLblPos val="nextTo"/>
        <c:crossAx val="-2060678168"/>
        <c:crosses val="autoZero"/>
        <c:auto val="1"/>
        <c:lblAlgn val="ctr"/>
        <c:lblOffset val="100"/>
        <c:noMultiLvlLbl val="0"/>
      </c:catAx>
      <c:valAx>
        <c:axId val="-2060678168"/>
        <c:scaling>
          <c:orientation val="minMax"/>
        </c:scaling>
        <c:delete val="0"/>
        <c:axPos val="l"/>
        <c:majorGridlines/>
        <c:numFmt formatCode="0%" sourceLinked="1"/>
        <c:majorTickMark val="none"/>
        <c:minorTickMark val="none"/>
        <c:tickLblPos val="nextTo"/>
        <c:crossAx val="-2088166424"/>
        <c:crosses val="autoZero"/>
        <c:crossBetween val="midCat"/>
      </c:valAx>
    </c:plotArea>
    <c:legend>
      <c:legendPos val="b"/>
      <c:overlay val="0"/>
    </c:legend>
    <c:plotVisOnly val="1"/>
    <c:dispBlanksAs val="zero"/>
    <c:showDLblsOverMax val="0"/>
  </c:chart>
  <c:spPr>
    <a:ln>
      <a:noFill/>
    </a:ln>
  </c:sp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a:t>
            </a:r>
            <a:r>
              <a:rPr lang="en-US" baseline="0"/>
              <a:t> Proceeds Distributed to each class of shareholders</a:t>
            </a:r>
            <a:endParaRPr lang="en-US"/>
          </a:p>
        </c:rich>
      </c:tx>
      <c:overlay val="0"/>
    </c:title>
    <c:autoTitleDeleted val="0"/>
    <c:plotArea>
      <c:layout/>
      <c:areaChart>
        <c:grouping val="stacked"/>
        <c:varyColors val="0"/>
        <c:ser>
          <c:idx val="0"/>
          <c:order val="0"/>
          <c:tx>
            <c:strRef>
              <c:f>'Exit Waterfall'!$B$161:$C$161</c:f>
              <c:strCache>
                <c:ptCount val="2"/>
                <c:pt idx="0">
                  <c:v> E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Waterfall'!$D$161:$L$161</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4A6A-FF48-B773-0BAA8434E94D}"/>
            </c:ext>
          </c:extLst>
        </c:ser>
        <c:ser>
          <c:idx val="1"/>
          <c:order val="1"/>
          <c:tx>
            <c:strRef>
              <c:f>'Exit Waterfall'!$B$162:$C$162</c:f>
              <c:strCache>
                <c:ptCount val="2"/>
                <c:pt idx="0">
                  <c:v> D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Waterfall'!$D$162:$L$162</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4A6A-FF48-B773-0BAA8434E94D}"/>
            </c:ext>
          </c:extLst>
        </c:ser>
        <c:ser>
          <c:idx val="2"/>
          <c:order val="2"/>
          <c:tx>
            <c:strRef>
              <c:f>'Exit Waterfall'!$B$163:$C$163</c:f>
              <c:strCache>
                <c:ptCount val="2"/>
                <c:pt idx="0">
                  <c:v> C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Waterfall'!$D$163:$L$163</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4A6A-FF48-B773-0BAA8434E94D}"/>
            </c:ext>
          </c:extLst>
        </c:ser>
        <c:ser>
          <c:idx val="3"/>
          <c:order val="3"/>
          <c:tx>
            <c:strRef>
              <c:f>'Exit Waterfall'!$B$164:$C$164</c:f>
              <c:strCache>
                <c:ptCount val="2"/>
                <c:pt idx="0">
                  <c:v> B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Waterfall'!$D$164:$L$164</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4A6A-FF48-B773-0BAA8434E94D}"/>
            </c:ext>
          </c:extLst>
        </c:ser>
        <c:ser>
          <c:idx val="4"/>
          <c:order val="4"/>
          <c:tx>
            <c:strRef>
              <c:f>'Exit Waterfall'!$B$165:$C$165</c:f>
              <c:strCache>
                <c:ptCount val="2"/>
                <c:pt idx="0">
                  <c:v> A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Waterfall'!$D$165:$L$165</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4A6A-FF48-B773-0BAA8434E94D}"/>
            </c:ext>
          </c:extLst>
        </c:ser>
        <c:ser>
          <c:idx val="5"/>
          <c:order val="5"/>
          <c:tx>
            <c:strRef>
              <c:f>'Exit Waterfall'!$B$166:$C$166</c:f>
              <c:strCache>
                <c:ptCount val="2"/>
                <c:pt idx="0">
                  <c:v> Seed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Waterfall'!$D$166:$L$166</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4A6A-FF48-B773-0BAA8434E94D}"/>
            </c:ext>
          </c:extLst>
        </c:ser>
        <c:ser>
          <c:idx val="6"/>
          <c:order val="6"/>
          <c:tx>
            <c:strRef>
              <c:f>'Exit Waterfall'!$B$167:$C$167</c:f>
              <c:strCache>
                <c:ptCount val="2"/>
                <c:pt idx="0">
                  <c:v> Common Holders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Waterfall'!$D$167:$L$167</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4A6A-FF48-B773-0BAA8434E94D}"/>
            </c:ext>
          </c:extLst>
        </c:ser>
        <c:ser>
          <c:idx val="7"/>
          <c:order val="7"/>
          <c:tx>
            <c:strRef>
              <c:f>'Exit Waterfall'!$B$168:$C$168</c:f>
              <c:strCache>
                <c:ptCount val="2"/>
                <c:pt idx="0">
                  <c:v> Options Granted and Exercised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Waterfall'!$D$168:$L$168</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7-4A6A-FF48-B773-0BAA8434E94D}"/>
            </c:ext>
          </c:extLst>
        </c:ser>
        <c:dLbls>
          <c:showLegendKey val="0"/>
          <c:showVal val="0"/>
          <c:showCatName val="0"/>
          <c:showSerName val="0"/>
          <c:showPercent val="0"/>
          <c:showBubbleSize val="0"/>
        </c:dLbls>
        <c:axId val="-2060599000"/>
        <c:axId val="-2063644280"/>
      </c:areaChart>
      <c:catAx>
        <c:axId val="-2060599000"/>
        <c:scaling>
          <c:orientation val="minMax"/>
        </c:scaling>
        <c:delete val="0"/>
        <c:axPos val="b"/>
        <c:numFmt formatCode="_(* #,##0_);_(* \(#,##0\);_(* &quot;-&quot;??_);_(@_)" sourceLinked="1"/>
        <c:majorTickMark val="none"/>
        <c:minorTickMark val="none"/>
        <c:tickLblPos val="nextTo"/>
        <c:crossAx val="-2063644280"/>
        <c:crosses val="autoZero"/>
        <c:auto val="1"/>
        <c:lblAlgn val="ctr"/>
        <c:lblOffset val="100"/>
        <c:noMultiLvlLbl val="0"/>
      </c:catAx>
      <c:valAx>
        <c:axId val="-2063644280"/>
        <c:scaling>
          <c:orientation val="minMax"/>
        </c:scaling>
        <c:delete val="0"/>
        <c:axPos val="l"/>
        <c:majorGridlines/>
        <c:numFmt formatCode="_(* #,##0_);_(* \(#,##0\);_(* &quot;-&quot;??_);_(@_)" sourceLinked="1"/>
        <c:majorTickMark val="none"/>
        <c:minorTickMark val="none"/>
        <c:tickLblPos val="nextTo"/>
        <c:crossAx val="-2060599000"/>
        <c:crosses val="autoZero"/>
        <c:crossBetween val="midCat"/>
      </c:valAx>
    </c:plotArea>
    <c:legend>
      <c:legendPos val="b"/>
      <c:overlay val="0"/>
    </c:legend>
    <c:plotVisOnly val="1"/>
    <c:dispBlanksAs val="zero"/>
    <c:showDLblsOverMax val="0"/>
  </c:chart>
  <c:spPr>
    <a:ln>
      <a:noFill/>
    </a:ln>
  </c:sp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of Proceeds to each Investor</a:t>
            </a:r>
          </a:p>
        </c:rich>
      </c:tx>
      <c:overlay val="0"/>
    </c:title>
    <c:autoTitleDeleted val="0"/>
    <c:plotArea>
      <c:layout/>
      <c:areaChart>
        <c:grouping val="percentStacked"/>
        <c:varyColors val="0"/>
        <c:ser>
          <c:idx val="0"/>
          <c:order val="0"/>
          <c:tx>
            <c:strRef>
              <c:f>'5 - Exit Waterfall Distribution'!$B$100:$C$100</c:f>
              <c:strCache>
                <c:ptCount val="2"/>
                <c:pt idx="0">
                  <c:v> A Investor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Distribution'!$D$100:$H$100</c:f>
              <c:numCache>
                <c:formatCode>_(* #,##0_);_(* \(#,##0\);_(* "-"??_);_(@_)</c:formatCode>
                <c:ptCount val="5"/>
                <c:pt idx="0">
                  <c:v>784714.22441490612</c:v>
                </c:pt>
                <c:pt idx="1">
                  <c:v>3000000</c:v>
                </c:pt>
                <c:pt idx="2">
                  <c:v>3106853.5318961078</c:v>
                </c:pt>
                <c:pt idx="3">
                  <c:v>5436993.680818188</c:v>
                </c:pt>
                <c:pt idx="4">
                  <c:v>8772385.8412763346</c:v>
                </c:pt>
              </c:numCache>
            </c:numRef>
          </c:val>
          <c:extLst>
            <c:ext xmlns:c16="http://schemas.microsoft.com/office/drawing/2014/chart" uri="{C3380CC4-5D6E-409C-BE32-E72D297353CC}">
              <c16:uniqueId val="{00000000-540E-E242-9C4C-DED23E8232F3}"/>
            </c:ext>
          </c:extLst>
        </c:ser>
        <c:ser>
          <c:idx val="1"/>
          <c:order val="1"/>
          <c:tx>
            <c:strRef>
              <c:f>'5 - Exit Waterfall Distribution'!$B$101:$C$101</c:f>
              <c:strCache>
                <c:ptCount val="2"/>
                <c:pt idx="0">
                  <c:v> Seed Investor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Distribution'!$D$101:$H$101</c:f>
              <c:numCache>
                <c:formatCode>_(* #,##0_);_(* \(#,##0\);_(* "-"??_);_(@_)</c:formatCode>
                <c:ptCount val="5"/>
                <c:pt idx="0">
                  <c:v>152785.77558509397</c:v>
                </c:pt>
                <c:pt idx="1">
                  <c:v>694702.44176982192</c:v>
                </c:pt>
                <c:pt idx="2">
                  <c:v>1865978.8658096935</c:v>
                </c:pt>
                <c:pt idx="3">
                  <c:v>3562404.2552291611</c:v>
                </c:pt>
                <c:pt idx="4">
                  <c:v>6386610.7254575584</c:v>
                </c:pt>
              </c:numCache>
            </c:numRef>
          </c:val>
          <c:extLst>
            <c:ext xmlns:c16="http://schemas.microsoft.com/office/drawing/2014/chart" uri="{C3380CC4-5D6E-409C-BE32-E72D297353CC}">
              <c16:uniqueId val="{00000001-540E-E242-9C4C-DED23E8232F3}"/>
            </c:ext>
          </c:extLst>
        </c:ser>
        <c:ser>
          <c:idx val="2"/>
          <c:order val="2"/>
          <c:tx>
            <c:strRef>
              <c:f>'5 - Exit Waterfall Distribution'!$B$102:$C$102</c:f>
              <c:strCache>
                <c:ptCount val="2"/>
                <c:pt idx="0">
                  <c:v> Seed Investor 2 (Preferred and Common)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Distribution'!$D$102:$H$102</c:f>
              <c:numCache>
                <c:formatCode>_(* #,##0_);_(* \(#,##0\);_(* "-"??_);_(@_)</c:formatCode>
                <c:ptCount val="5"/>
                <c:pt idx="0">
                  <c:v>0</c:v>
                </c:pt>
                <c:pt idx="1">
                  <c:v>55297.558230178583</c:v>
                </c:pt>
                <c:pt idx="2">
                  <c:v>709350.12952218391</c:v>
                </c:pt>
                <c:pt idx="3">
                  <c:v>1408392.1741988081</c:v>
                </c:pt>
                <c:pt idx="4">
                  <c:v>2631715.7523829006</c:v>
                </c:pt>
              </c:numCache>
            </c:numRef>
          </c:val>
          <c:extLst>
            <c:ext xmlns:c16="http://schemas.microsoft.com/office/drawing/2014/chart" uri="{C3380CC4-5D6E-409C-BE32-E72D297353CC}">
              <c16:uniqueId val="{00000002-540E-E242-9C4C-DED23E8232F3}"/>
            </c:ext>
          </c:extLst>
        </c:ser>
        <c:ser>
          <c:idx val="3"/>
          <c:order val="3"/>
          <c:tx>
            <c:strRef>
              <c:f>'5 - Exit Waterfall Distribution'!$B$103:$C$103</c:f>
              <c:strCache>
                <c:ptCount val="2"/>
                <c:pt idx="0">
                  <c:v> Co-Founder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Distribution'!$D$103:$H$103</c:f>
              <c:numCache>
                <c:formatCode>_(* #,##0_);_(* \(#,##0\);_(* "-"??_);_(@_)</c:formatCode>
                <c:ptCount val="5"/>
                <c:pt idx="0">
                  <c:v>0</c:v>
                </c:pt>
                <c:pt idx="1">
                  <c:v>0</c:v>
                </c:pt>
                <c:pt idx="2">
                  <c:v>3404880.621706483</c:v>
                </c:pt>
                <c:pt idx="3">
                  <c:v>6760282.4361542808</c:v>
                </c:pt>
                <c:pt idx="4">
                  <c:v>12632235.611437924</c:v>
                </c:pt>
              </c:numCache>
            </c:numRef>
          </c:val>
          <c:extLst>
            <c:ext xmlns:c16="http://schemas.microsoft.com/office/drawing/2014/chart" uri="{C3380CC4-5D6E-409C-BE32-E72D297353CC}">
              <c16:uniqueId val="{00000003-540E-E242-9C4C-DED23E8232F3}"/>
            </c:ext>
          </c:extLst>
        </c:ser>
        <c:ser>
          <c:idx val="4"/>
          <c:order val="4"/>
          <c:tx>
            <c:strRef>
              <c:f>'5 - Exit Waterfall Distribution'!$B$104:$C$104</c:f>
              <c:strCache>
                <c:ptCount val="2"/>
                <c:pt idx="0">
                  <c:v> Co-Founder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Distribution'!$D$104:$H$104</c:f>
              <c:numCache>
                <c:formatCode>_(* #,##0_);_(* \(#,##0\);_(* "-"??_);_(@_)</c:formatCode>
                <c:ptCount val="5"/>
                <c:pt idx="0">
                  <c:v>0</c:v>
                </c:pt>
                <c:pt idx="1">
                  <c:v>0</c:v>
                </c:pt>
                <c:pt idx="2">
                  <c:v>1702440.3108532415</c:v>
                </c:pt>
                <c:pt idx="3">
                  <c:v>3380141.2180771404</c:v>
                </c:pt>
                <c:pt idx="4">
                  <c:v>6316117.8057189621</c:v>
                </c:pt>
              </c:numCache>
            </c:numRef>
          </c:val>
          <c:extLst>
            <c:ext xmlns:c16="http://schemas.microsoft.com/office/drawing/2014/chart" uri="{C3380CC4-5D6E-409C-BE32-E72D297353CC}">
              <c16:uniqueId val="{00000004-540E-E242-9C4C-DED23E8232F3}"/>
            </c:ext>
          </c:extLst>
        </c:ser>
        <c:ser>
          <c:idx val="5"/>
          <c:order val="5"/>
          <c:tx>
            <c:strRef>
              <c:f>'5 - Exit Waterfall Distribution'!$B$105:$C$105</c:f>
              <c:strCache>
                <c:ptCount val="2"/>
                <c:pt idx="0">
                  <c:v> Employee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Distribution'!$D$105:$H$105</c:f>
              <c:numCache>
                <c:formatCode>_(* #,##0_);_(* \(#,##0\);_(* "-"??_);_(@_)</c:formatCode>
                <c:ptCount val="5"/>
                <c:pt idx="0">
                  <c:v>0</c:v>
                </c:pt>
                <c:pt idx="1">
                  <c:v>0</c:v>
                </c:pt>
                <c:pt idx="2">
                  <c:v>397236.07253242307</c:v>
                </c:pt>
                <c:pt idx="3">
                  <c:v>788699.61755133281</c:v>
                </c:pt>
                <c:pt idx="4">
                  <c:v>1473760.8213344249</c:v>
                </c:pt>
              </c:numCache>
            </c:numRef>
          </c:val>
          <c:extLst>
            <c:ext xmlns:c16="http://schemas.microsoft.com/office/drawing/2014/chart" uri="{C3380CC4-5D6E-409C-BE32-E72D297353CC}">
              <c16:uniqueId val="{00000005-540E-E242-9C4C-DED23E8232F3}"/>
            </c:ext>
          </c:extLst>
        </c:ser>
        <c:ser>
          <c:idx val="6"/>
          <c:order val="6"/>
          <c:tx>
            <c:strRef>
              <c:f>'5 - Exit Waterfall Distribution'!$B$106:$C$106</c:f>
              <c:strCache>
                <c:ptCount val="2"/>
                <c:pt idx="0">
                  <c:v> Employee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Distribution'!$D$106:$H$106</c:f>
              <c:numCache>
                <c:formatCode>_(* #,##0_);_(* \(#,##0\);_(* "-"??_);_(@_)</c:formatCode>
                <c:ptCount val="5"/>
                <c:pt idx="0">
                  <c:v>0</c:v>
                </c:pt>
                <c:pt idx="1">
                  <c:v>0</c:v>
                </c:pt>
                <c:pt idx="2">
                  <c:v>170244.03108532415</c:v>
                </c:pt>
                <c:pt idx="3">
                  <c:v>338014.12180771399</c:v>
                </c:pt>
                <c:pt idx="4">
                  <c:v>631611.78057189623</c:v>
                </c:pt>
              </c:numCache>
            </c:numRef>
          </c:val>
          <c:extLst>
            <c:ext xmlns:c16="http://schemas.microsoft.com/office/drawing/2014/chart" uri="{C3380CC4-5D6E-409C-BE32-E72D297353CC}">
              <c16:uniqueId val="{00000006-540E-E242-9C4C-DED23E8232F3}"/>
            </c:ext>
          </c:extLst>
        </c:ser>
        <c:ser>
          <c:idx val="7"/>
          <c:order val="7"/>
          <c:tx>
            <c:strRef>
              <c:f>'5 - Exit Waterfall Distribution'!$B$107:$C$107</c:f>
              <c:strCache>
                <c:ptCount val="2"/>
                <c:pt idx="0">
                  <c:v> Options Granted and Exercised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Distribution'!$D$107:$H$107</c:f>
              <c:numCache>
                <c:formatCode>_(* #,##0_);_(* \(#,##0\);_(* "-"??_);_(@_)</c:formatCode>
                <c:ptCount val="5"/>
                <c:pt idx="0">
                  <c:v>0</c:v>
                </c:pt>
                <c:pt idx="1">
                  <c:v>0</c:v>
                </c:pt>
                <c:pt idx="2">
                  <c:v>945800.17269624514</c:v>
                </c:pt>
                <c:pt idx="3">
                  <c:v>1877856.2322650778</c:v>
                </c:pt>
                <c:pt idx="4">
                  <c:v>3508954.3365105344</c:v>
                </c:pt>
              </c:numCache>
            </c:numRef>
          </c:val>
          <c:extLst>
            <c:ext xmlns:c16="http://schemas.microsoft.com/office/drawing/2014/chart" uri="{C3380CC4-5D6E-409C-BE32-E72D297353CC}">
              <c16:uniqueId val="{00000007-540E-E242-9C4C-DED23E8232F3}"/>
            </c:ext>
          </c:extLst>
        </c:ser>
        <c:dLbls>
          <c:showLegendKey val="0"/>
          <c:showVal val="0"/>
          <c:showCatName val="0"/>
          <c:showSerName val="0"/>
          <c:showPercent val="0"/>
          <c:showBubbleSize val="0"/>
        </c:dLbls>
        <c:axId val="-2086365544"/>
        <c:axId val="-2088348760"/>
      </c:areaChart>
      <c:catAx>
        <c:axId val="-2086365544"/>
        <c:scaling>
          <c:orientation val="minMax"/>
        </c:scaling>
        <c:delete val="0"/>
        <c:axPos val="b"/>
        <c:numFmt formatCode="_(* #,##0_);_(* \(#,##0\);_(* &quot;-&quot;??_);_(@_)" sourceLinked="1"/>
        <c:majorTickMark val="none"/>
        <c:minorTickMark val="none"/>
        <c:tickLblPos val="nextTo"/>
        <c:crossAx val="-2088348760"/>
        <c:crosses val="autoZero"/>
        <c:auto val="1"/>
        <c:lblAlgn val="ctr"/>
        <c:lblOffset val="100"/>
        <c:noMultiLvlLbl val="0"/>
      </c:catAx>
      <c:valAx>
        <c:axId val="-2088348760"/>
        <c:scaling>
          <c:orientation val="minMax"/>
        </c:scaling>
        <c:delete val="0"/>
        <c:axPos val="l"/>
        <c:majorGridlines/>
        <c:numFmt formatCode="0%" sourceLinked="1"/>
        <c:majorTickMark val="none"/>
        <c:minorTickMark val="none"/>
        <c:tickLblPos val="nextTo"/>
        <c:crossAx val="-2086365544"/>
        <c:crosses val="autoZero"/>
        <c:crossBetween val="midCat"/>
      </c:valAx>
    </c:plotArea>
    <c:legend>
      <c:legendPos val="b"/>
      <c:overlay val="0"/>
    </c:legend>
    <c:plotVisOnly val="1"/>
    <c:dispBlanksAs val="zero"/>
    <c:showDLblsOverMax val="0"/>
  </c:chart>
  <c:spPr>
    <a:ln>
      <a:noFill/>
    </a:ln>
  </c:sp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a:t>
            </a:r>
            <a:r>
              <a:rPr lang="en-US" baseline="0"/>
              <a:t> Proceeds Distributed to each Investor</a:t>
            </a:r>
            <a:endParaRPr lang="en-US"/>
          </a:p>
        </c:rich>
      </c:tx>
      <c:overlay val="0"/>
    </c:title>
    <c:autoTitleDeleted val="0"/>
    <c:plotArea>
      <c:layout/>
      <c:areaChart>
        <c:grouping val="stacked"/>
        <c:varyColors val="0"/>
        <c:ser>
          <c:idx val="0"/>
          <c:order val="0"/>
          <c:tx>
            <c:strRef>
              <c:f>'5 - Exit Waterfall Distribution'!$B$100:$C$100</c:f>
              <c:strCache>
                <c:ptCount val="2"/>
                <c:pt idx="0">
                  <c:v> A Investor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Distribution'!$D$100:$H$100</c:f>
              <c:numCache>
                <c:formatCode>_(* #,##0_);_(* \(#,##0\);_(* "-"??_);_(@_)</c:formatCode>
                <c:ptCount val="5"/>
                <c:pt idx="0">
                  <c:v>784714.22441490612</c:v>
                </c:pt>
                <c:pt idx="1">
                  <c:v>3000000</c:v>
                </c:pt>
                <c:pt idx="2">
                  <c:v>3106853.5318961078</c:v>
                </c:pt>
                <c:pt idx="3">
                  <c:v>5436993.680818188</c:v>
                </c:pt>
                <c:pt idx="4">
                  <c:v>8772385.8412763346</c:v>
                </c:pt>
              </c:numCache>
            </c:numRef>
          </c:val>
          <c:extLst>
            <c:ext xmlns:c16="http://schemas.microsoft.com/office/drawing/2014/chart" uri="{C3380CC4-5D6E-409C-BE32-E72D297353CC}">
              <c16:uniqueId val="{00000000-609A-154E-A9A7-A925347AF47F}"/>
            </c:ext>
          </c:extLst>
        </c:ser>
        <c:ser>
          <c:idx val="1"/>
          <c:order val="1"/>
          <c:tx>
            <c:strRef>
              <c:f>'5 - Exit Waterfall Distribution'!$B$101:$C$101</c:f>
              <c:strCache>
                <c:ptCount val="2"/>
                <c:pt idx="0">
                  <c:v> Seed Investor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Distribution'!$D$101:$H$101</c:f>
              <c:numCache>
                <c:formatCode>_(* #,##0_);_(* \(#,##0\);_(* "-"??_);_(@_)</c:formatCode>
                <c:ptCount val="5"/>
                <c:pt idx="0">
                  <c:v>152785.77558509397</c:v>
                </c:pt>
                <c:pt idx="1">
                  <c:v>694702.44176982192</c:v>
                </c:pt>
                <c:pt idx="2">
                  <c:v>1865978.8658096935</c:v>
                </c:pt>
                <c:pt idx="3">
                  <c:v>3562404.2552291611</c:v>
                </c:pt>
                <c:pt idx="4">
                  <c:v>6386610.7254575584</c:v>
                </c:pt>
              </c:numCache>
            </c:numRef>
          </c:val>
          <c:extLst>
            <c:ext xmlns:c16="http://schemas.microsoft.com/office/drawing/2014/chart" uri="{C3380CC4-5D6E-409C-BE32-E72D297353CC}">
              <c16:uniqueId val="{00000001-609A-154E-A9A7-A925347AF47F}"/>
            </c:ext>
          </c:extLst>
        </c:ser>
        <c:ser>
          <c:idx val="2"/>
          <c:order val="2"/>
          <c:tx>
            <c:strRef>
              <c:f>'5 - Exit Waterfall Distribution'!$B$102:$C$102</c:f>
              <c:strCache>
                <c:ptCount val="2"/>
                <c:pt idx="0">
                  <c:v> Seed Investor 2 (Preferred and Common)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Distribution'!$D$102:$H$102</c:f>
              <c:numCache>
                <c:formatCode>_(* #,##0_);_(* \(#,##0\);_(* "-"??_);_(@_)</c:formatCode>
                <c:ptCount val="5"/>
                <c:pt idx="0">
                  <c:v>0</c:v>
                </c:pt>
                <c:pt idx="1">
                  <c:v>55297.558230178583</c:v>
                </c:pt>
                <c:pt idx="2">
                  <c:v>709350.12952218391</c:v>
                </c:pt>
                <c:pt idx="3">
                  <c:v>1408392.1741988081</c:v>
                </c:pt>
                <c:pt idx="4">
                  <c:v>2631715.7523829006</c:v>
                </c:pt>
              </c:numCache>
            </c:numRef>
          </c:val>
          <c:extLst>
            <c:ext xmlns:c16="http://schemas.microsoft.com/office/drawing/2014/chart" uri="{C3380CC4-5D6E-409C-BE32-E72D297353CC}">
              <c16:uniqueId val="{00000002-609A-154E-A9A7-A925347AF47F}"/>
            </c:ext>
          </c:extLst>
        </c:ser>
        <c:ser>
          <c:idx val="3"/>
          <c:order val="3"/>
          <c:tx>
            <c:strRef>
              <c:f>'5 - Exit Waterfall Distribution'!$B$103:$C$103</c:f>
              <c:strCache>
                <c:ptCount val="2"/>
                <c:pt idx="0">
                  <c:v> Co-Founder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Distribution'!$D$103:$H$103</c:f>
              <c:numCache>
                <c:formatCode>_(* #,##0_);_(* \(#,##0\);_(* "-"??_);_(@_)</c:formatCode>
                <c:ptCount val="5"/>
                <c:pt idx="0">
                  <c:v>0</c:v>
                </c:pt>
                <c:pt idx="1">
                  <c:v>0</c:v>
                </c:pt>
                <c:pt idx="2">
                  <c:v>3404880.621706483</c:v>
                </c:pt>
                <c:pt idx="3">
                  <c:v>6760282.4361542808</c:v>
                </c:pt>
                <c:pt idx="4">
                  <c:v>12632235.611437924</c:v>
                </c:pt>
              </c:numCache>
            </c:numRef>
          </c:val>
          <c:extLst>
            <c:ext xmlns:c16="http://schemas.microsoft.com/office/drawing/2014/chart" uri="{C3380CC4-5D6E-409C-BE32-E72D297353CC}">
              <c16:uniqueId val="{00000003-609A-154E-A9A7-A925347AF47F}"/>
            </c:ext>
          </c:extLst>
        </c:ser>
        <c:ser>
          <c:idx val="4"/>
          <c:order val="4"/>
          <c:tx>
            <c:strRef>
              <c:f>'5 - Exit Waterfall Distribution'!$B$104:$C$104</c:f>
              <c:strCache>
                <c:ptCount val="2"/>
                <c:pt idx="0">
                  <c:v> Co-Founder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Distribution'!$D$104:$H$104</c:f>
              <c:numCache>
                <c:formatCode>_(* #,##0_);_(* \(#,##0\);_(* "-"??_);_(@_)</c:formatCode>
                <c:ptCount val="5"/>
                <c:pt idx="0">
                  <c:v>0</c:v>
                </c:pt>
                <c:pt idx="1">
                  <c:v>0</c:v>
                </c:pt>
                <c:pt idx="2">
                  <c:v>1702440.3108532415</c:v>
                </c:pt>
                <c:pt idx="3">
                  <c:v>3380141.2180771404</c:v>
                </c:pt>
                <c:pt idx="4">
                  <c:v>6316117.8057189621</c:v>
                </c:pt>
              </c:numCache>
            </c:numRef>
          </c:val>
          <c:extLst>
            <c:ext xmlns:c16="http://schemas.microsoft.com/office/drawing/2014/chart" uri="{C3380CC4-5D6E-409C-BE32-E72D297353CC}">
              <c16:uniqueId val="{00000004-609A-154E-A9A7-A925347AF47F}"/>
            </c:ext>
          </c:extLst>
        </c:ser>
        <c:ser>
          <c:idx val="5"/>
          <c:order val="5"/>
          <c:tx>
            <c:strRef>
              <c:f>'5 - Exit Waterfall Distribution'!$B$105:$C$105</c:f>
              <c:strCache>
                <c:ptCount val="2"/>
                <c:pt idx="0">
                  <c:v> Employee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Distribution'!$D$105:$H$105</c:f>
              <c:numCache>
                <c:formatCode>_(* #,##0_);_(* \(#,##0\);_(* "-"??_);_(@_)</c:formatCode>
                <c:ptCount val="5"/>
                <c:pt idx="0">
                  <c:v>0</c:v>
                </c:pt>
                <c:pt idx="1">
                  <c:v>0</c:v>
                </c:pt>
                <c:pt idx="2">
                  <c:v>397236.07253242307</c:v>
                </c:pt>
                <c:pt idx="3">
                  <c:v>788699.61755133281</c:v>
                </c:pt>
                <c:pt idx="4">
                  <c:v>1473760.8213344249</c:v>
                </c:pt>
              </c:numCache>
            </c:numRef>
          </c:val>
          <c:extLst>
            <c:ext xmlns:c16="http://schemas.microsoft.com/office/drawing/2014/chart" uri="{C3380CC4-5D6E-409C-BE32-E72D297353CC}">
              <c16:uniqueId val="{00000005-609A-154E-A9A7-A925347AF47F}"/>
            </c:ext>
          </c:extLst>
        </c:ser>
        <c:ser>
          <c:idx val="6"/>
          <c:order val="6"/>
          <c:tx>
            <c:strRef>
              <c:f>'5 - Exit Waterfall Distribution'!$B$106:$C$106</c:f>
              <c:strCache>
                <c:ptCount val="2"/>
                <c:pt idx="0">
                  <c:v> Employee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Distribution'!$D$106:$H$106</c:f>
              <c:numCache>
                <c:formatCode>_(* #,##0_);_(* \(#,##0\);_(* "-"??_);_(@_)</c:formatCode>
                <c:ptCount val="5"/>
                <c:pt idx="0">
                  <c:v>0</c:v>
                </c:pt>
                <c:pt idx="1">
                  <c:v>0</c:v>
                </c:pt>
                <c:pt idx="2">
                  <c:v>170244.03108532415</c:v>
                </c:pt>
                <c:pt idx="3">
                  <c:v>338014.12180771399</c:v>
                </c:pt>
                <c:pt idx="4">
                  <c:v>631611.78057189623</c:v>
                </c:pt>
              </c:numCache>
            </c:numRef>
          </c:val>
          <c:extLst>
            <c:ext xmlns:c16="http://schemas.microsoft.com/office/drawing/2014/chart" uri="{C3380CC4-5D6E-409C-BE32-E72D297353CC}">
              <c16:uniqueId val="{00000006-609A-154E-A9A7-A925347AF47F}"/>
            </c:ext>
          </c:extLst>
        </c:ser>
        <c:ser>
          <c:idx val="7"/>
          <c:order val="7"/>
          <c:tx>
            <c:strRef>
              <c:f>'5 - Exit Waterfall Distribution'!$B$107:$C$107</c:f>
              <c:strCache>
                <c:ptCount val="2"/>
                <c:pt idx="0">
                  <c:v> Options Granted and Exercised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Distribution'!$D$107:$H$107</c:f>
              <c:numCache>
                <c:formatCode>_(* #,##0_);_(* \(#,##0\);_(* "-"??_);_(@_)</c:formatCode>
                <c:ptCount val="5"/>
                <c:pt idx="0">
                  <c:v>0</c:v>
                </c:pt>
                <c:pt idx="1">
                  <c:v>0</c:v>
                </c:pt>
                <c:pt idx="2">
                  <c:v>945800.17269624514</c:v>
                </c:pt>
                <c:pt idx="3">
                  <c:v>1877856.2322650778</c:v>
                </c:pt>
                <c:pt idx="4">
                  <c:v>3508954.3365105344</c:v>
                </c:pt>
              </c:numCache>
            </c:numRef>
          </c:val>
          <c:extLst>
            <c:ext xmlns:c16="http://schemas.microsoft.com/office/drawing/2014/chart" uri="{C3380CC4-5D6E-409C-BE32-E72D297353CC}">
              <c16:uniqueId val="{00000007-609A-154E-A9A7-A925347AF47F}"/>
            </c:ext>
          </c:extLst>
        </c:ser>
        <c:dLbls>
          <c:showLegendKey val="0"/>
          <c:showVal val="0"/>
          <c:showCatName val="0"/>
          <c:showSerName val="0"/>
          <c:showPercent val="0"/>
          <c:showBubbleSize val="0"/>
        </c:dLbls>
        <c:axId val="-2096235080"/>
        <c:axId val="-2094854280"/>
      </c:areaChart>
      <c:catAx>
        <c:axId val="-2096235080"/>
        <c:scaling>
          <c:orientation val="minMax"/>
        </c:scaling>
        <c:delete val="0"/>
        <c:axPos val="b"/>
        <c:numFmt formatCode="_(* #,##0_);_(* \(#,##0\);_(* &quot;-&quot;??_);_(@_)" sourceLinked="1"/>
        <c:majorTickMark val="none"/>
        <c:minorTickMark val="none"/>
        <c:tickLblPos val="nextTo"/>
        <c:crossAx val="-2094854280"/>
        <c:crosses val="autoZero"/>
        <c:auto val="1"/>
        <c:lblAlgn val="ctr"/>
        <c:lblOffset val="100"/>
        <c:noMultiLvlLbl val="0"/>
      </c:catAx>
      <c:valAx>
        <c:axId val="-2094854280"/>
        <c:scaling>
          <c:orientation val="minMax"/>
        </c:scaling>
        <c:delete val="0"/>
        <c:axPos val="l"/>
        <c:majorGridlines/>
        <c:numFmt formatCode="_(* #,##0_);_(* \(#,##0\);_(* &quot;-&quot;??_);_(@_)" sourceLinked="1"/>
        <c:majorTickMark val="none"/>
        <c:minorTickMark val="none"/>
        <c:tickLblPos val="nextTo"/>
        <c:crossAx val="-2096235080"/>
        <c:crosses val="autoZero"/>
        <c:crossBetween val="midCat"/>
      </c:valAx>
    </c:plotArea>
    <c:legend>
      <c:legendPos val="b"/>
      <c:overlay val="0"/>
    </c:legend>
    <c:plotVisOnly val="1"/>
    <c:dispBlanksAs val="zero"/>
    <c:showDLblsOverMax val="0"/>
  </c:chart>
  <c:spPr>
    <a:ln>
      <a:noFill/>
    </a:ln>
  </c:spPr>
  <c:printSettings>
    <c:headerFooter/>
    <c:pageMargins b="1" l="0.75" r="0.75" t="1" header="0.5" footer="0.5"/>
    <c:pageSetup/>
  </c:printSettings>
</c:chartSpace>
</file>

<file path=xl/drawings/_rels/drawing2.xml.rels><?xml version="1.0" encoding="UTF-8" standalone="yes"?>
<Relationships xmlns="http://schemas.openxmlformats.org/package/2006/relationships"><Relationship Id="rId3" Type="http://schemas.openxmlformats.org/officeDocument/2006/relationships/hyperlink" Target="https://foresight.is/learn/support" TargetMode="External"/><Relationship Id="rId2" Type="http://schemas.openxmlformats.org/officeDocument/2006/relationships/image" Target="../media/image1.png"/><Relationship Id="rId1" Type="http://schemas.openxmlformats.org/officeDocument/2006/relationships/hyperlink" Target="https://foresight.is/services" TargetMode="External"/><Relationship Id="rId4" Type="http://schemas.openxmlformats.org/officeDocument/2006/relationships/hyperlink" Target="https://foresight.is/learn"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330200</xdr:colOff>
      <xdr:row>0</xdr:row>
      <xdr:rowOff>114300</xdr:rowOff>
    </xdr:from>
    <xdr:to>
      <xdr:col>1</xdr:col>
      <xdr:colOff>7073900</xdr:colOff>
      <xdr:row>13</xdr:row>
      <xdr:rowOff>114300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330200" y="114300"/>
          <a:ext cx="7188200" cy="26289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711200</xdr:colOff>
      <xdr:row>1</xdr:row>
      <xdr:rowOff>50800</xdr:rowOff>
    </xdr:from>
    <xdr:to>
      <xdr:col>8</xdr:col>
      <xdr:colOff>491661</xdr:colOff>
      <xdr:row>24</xdr:row>
      <xdr:rowOff>92870</xdr:rowOff>
    </xdr:to>
    <xdr:pic>
      <xdr:nvPicPr>
        <xdr:cNvPr id="2" name="Picture 1" descr="get started.png">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74000" y="266700"/>
          <a:ext cx="12594761" cy="7141370"/>
        </a:xfrm>
        <a:prstGeom prst="rect">
          <a:avLst/>
        </a:prstGeom>
      </xdr:spPr>
    </xdr:pic>
    <xdr:clientData/>
  </xdr:twoCellAnchor>
  <xdr:twoCellAnchor>
    <xdr:from>
      <xdr:col>0</xdr:col>
      <xdr:colOff>635000</xdr:colOff>
      <xdr:row>1</xdr:row>
      <xdr:rowOff>60324</xdr:rowOff>
    </xdr:from>
    <xdr:to>
      <xdr:col>2</xdr:col>
      <xdr:colOff>177800</xdr:colOff>
      <xdr:row>8</xdr:row>
      <xdr:rowOff>190500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00000000-0008-0000-0200-000003000000}"/>
            </a:ext>
          </a:extLst>
        </xdr:cNvPr>
        <xdr:cNvSpPr/>
      </xdr:nvSpPr>
      <xdr:spPr>
        <a:xfrm>
          <a:off x="635000" y="276224"/>
          <a:ext cx="6705600" cy="28860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660400</xdr:colOff>
      <xdr:row>10</xdr:row>
      <xdr:rowOff>60324</xdr:rowOff>
    </xdr:from>
    <xdr:to>
      <xdr:col>2</xdr:col>
      <xdr:colOff>228600</xdr:colOff>
      <xdr:row>18</xdr:row>
      <xdr:rowOff>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00000000-0008-0000-0200-000004000000}"/>
            </a:ext>
          </a:extLst>
        </xdr:cNvPr>
        <xdr:cNvSpPr/>
      </xdr:nvSpPr>
      <xdr:spPr>
        <a:xfrm>
          <a:off x="660400" y="3463924"/>
          <a:ext cx="6731000" cy="24034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673100</xdr:colOff>
      <xdr:row>19</xdr:row>
      <xdr:rowOff>50800</xdr:rowOff>
    </xdr:from>
    <xdr:to>
      <xdr:col>2</xdr:col>
      <xdr:colOff>241300</xdr:colOff>
      <xdr:row>26</xdr:row>
      <xdr:rowOff>0</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00000000-0008-0000-0200-000005000000}"/>
            </a:ext>
          </a:extLst>
        </xdr:cNvPr>
        <xdr:cNvSpPr/>
      </xdr:nvSpPr>
      <xdr:spPr>
        <a:xfrm>
          <a:off x="673100" y="6134100"/>
          <a:ext cx="6731000" cy="24130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762000</xdr:colOff>
      <xdr:row>210</xdr:row>
      <xdr:rowOff>0</xdr:rowOff>
    </xdr:from>
    <xdr:to>
      <xdr:col>11</xdr:col>
      <xdr:colOff>215900</xdr:colOff>
      <xdr:row>235</xdr:row>
      <xdr:rowOff>101600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1117600</xdr:colOff>
      <xdr:row>239</xdr:row>
      <xdr:rowOff>127000</xdr:rowOff>
    </xdr:from>
    <xdr:to>
      <xdr:col>11</xdr:col>
      <xdr:colOff>139700</xdr:colOff>
      <xdr:row>270</xdr:row>
      <xdr:rowOff>38100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311150</xdr:colOff>
      <xdr:row>123</xdr:row>
      <xdr:rowOff>63500</xdr:rowOff>
    </xdr:from>
    <xdr:to>
      <xdr:col>8</xdr:col>
      <xdr:colOff>50800</xdr:colOff>
      <xdr:row>149</xdr:row>
      <xdr:rowOff>127000</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412750</xdr:colOff>
      <xdr:row>152</xdr:row>
      <xdr:rowOff>12700</xdr:rowOff>
    </xdr:from>
    <xdr:to>
      <xdr:col>8</xdr:col>
      <xdr:colOff>0</xdr:colOff>
      <xdr:row>182</xdr:row>
      <xdr:rowOff>139700</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1181100</xdr:colOff>
      <xdr:row>40</xdr:row>
      <xdr:rowOff>114300</xdr:rowOff>
    </xdr:from>
    <xdr:to>
      <xdr:col>4</xdr:col>
      <xdr:colOff>254000</xdr:colOff>
      <xdr:row>40</xdr:row>
      <xdr:rowOff>114300</xdr:rowOff>
    </xdr:to>
    <xdr:cxnSp macro="">
      <xdr:nvCxnSpPr>
        <xdr:cNvPr id="7" name="Straight Connector 6">
          <a:extLst>
            <a:ext uri="{FF2B5EF4-FFF2-40B4-BE49-F238E27FC236}">
              <a16:creationId xmlns:a16="http://schemas.microsoft.com/office/drawing/2014/main" id="{00000000-0008-0000-1200-000007000000}"/>
            </a:ext>
          </a:extLst>
        </xdr:cNvPr>
        <xdr:cNvCxnSpPr/>
      </xdr:nvCxnSpPr>
      <xdr:spPr>
        <a:xfrm>
          <a:off x="61976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1181100</xdr:colOff>
      <xdr:row>40</xdr:row>
      <xdr:rowOff>114300</xdr:rowOff>
    </xdr:from>
    <xdr:to>
      <xdr:col>5</xdr:col>
      <xdr:colOff>254000</xdr:colOff>
      <xdr:row>40</xdr:row>
      <xdr:rowOff>114300</xdr:rowOff>
    </xdr:to>
    <xdr:cxnSp macro="">
      <xdr:nvCxnSpPr>
        <xdr:cNvPr id="10" name="Straight Connector 9">
          <a:extLst>
            <a:ext uri="{FF2B5EF4-FFF2-40B4-BE49-F238E27FC236}">
              <a16:creationId xmlns:a16="http://schemas.microsoft.com/office/drawing/2014/main" id="{00000000-0008-0000-1200-00000A000000}"/>
            </a:ext>
          </a:extLst>
        </xdr:cNvPr>
        <xdr:cNvCxnSpPr/>
      </xdr:nvCxnSpPr>
      <xdr:spPr>
        <a:xfrm>
          <a:off x="75692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1168400</xdr:colOff>
      <xdr:row>40</xdr:row>
      <xdr:rowOff>101600</xdr:rowOff>
    </xdr:from>
    <xdr:to>
      <xdr:col>6</xdr:col>
      <xdr:colOff>241300</xdr:colOff>
      <xdr:row>40</xdr:row>
      <xdr:rowOff>101600</xdr:rowOff>
    </xdr:to>
    <xdr:cxnSp macro="">
      <xdr:nvCxnSpPr>
        <xdr:cNvPr id="11" name="Straight Connector 10">
          <a:extLst>
            <a:ext uri="{FF2B5EF4-FFF2-40B4-BE49-F238E27FC236}">
              <a16:creationId xmlns:a16="http://schemas.microsoft.com/office/drawing/2014/main" id="{00000000-0008-0000-1200-00000B000000}"/>
            </a:ext>
          </a:extLst>
        </xdr:cNvPr>
        <xdr:cNvCxnSpPr/>
      </xdr:nvCxnSpPr>
      <xdr:spPr>
        <a:xfrm>
          <a:off x="8928100" y="89535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1181100</xdr:colOff>
      <xdr:row>40</xdr:row>
      <xdr:rowOff>114300</xdr:rowOff>
    </xdr:from>
    <xdr:to>
      <xdr:col>7</xdr:col>
      <xdr:colOff>241300</xdr:colOff>
      <xdr:row>40</xdr:row>
      <xdr:rowOff>114300</xdr:rowOff>
    </xdr:to>
    <xdr:cxnSp macro="">
      <xdr:nvCxnSpPr>
        <xdr:cNvPr id="12" name="Straight Connector 11">
          <a:extLst>
            <a:ext uri="{FF2B5EF4-FFF2-40B4-BE49-F238E27FC236}">
              <a16:creationId xmlns:a16="http://schemas.microsoft.com/office/drawing/2014/main" id="{00000000-0008-0000-1200-00000C000000}"/>
            </a:ext>
          </a:extLst>
        </xdr:cNvPr>
        <xdr:cNvCxnSpPr/>
      </xdr:nvCxnSpPr>
      <xdr:spPr>
        <a:xfrm>
          <a:off x="103124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1193800</xdr:colOff>
      <xdr:row>40</xdr:row>
      <xdr:rowOff>101600</xdr:rowOff>
    </xdr:from>
    <xdr:to>
      <xdr:col>8</xdr:col>
      <xdr:colOff>254000</xdr:colOff>
      <xdr:row>40</xdr:row>
      <xdr:rowOff>101600</xdr:rowOff>
    </xdr:to>
    <xdr:cxnSp macro="">
      <xdr:nvCxnSpPr>
        <xdr:cNvPr id="13" name="Straight Connector 12">
          <a:extLst>
            <a:ext uri="{FF2B5EF4-FFF2-40B4-BE49-F238E27FC236}">
              <a16:creationId xmlns:a16="http://schemas.microsoft.com/office/drawing/2014/main" id="{00000000-0008-0000-1200-00000D000000}"/>
            </a:ext>
          </a:extLst>
        </xdr:cNvPr>
        <xdr:cNvCxnSpPr/>
      </xdr:nvCxnSpPr>
      <xdr:spPr>
        <a:xfrm>
          <a:off x="11709400" y="89535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381000</xdr:colOff>
      <xdr:row>39</xdr:row>
      <xdr:rowOff>38100</xdr:rowOff>
    </xdr:from>
    <xdr:to>
      <xdr:col>8</xdr:col>
      <xdr:colOff>1244600</xdr:colOff>
      <xdr:row>48</xdr:row>
      <xdr:rowOff>152400</xdr:rowOff>
    </xdr:to>
    <xdr:sp macro="" textlink="">
      <xdr:nvSpPr>
        <xdr:cNvPr id="2" name="Rectangle 1">
          <a:extLst>
            <a:ext uri="{FF2B5EF4-FFF2-40B4-BE49-F238E27FC236}">
              <a16:creationId xmlns:a16="http://schemas.microsoft.com/office/drawing/2014/main" id="{00000000-0008-0000-1200-000002000000}"/>
            </a:ext>
          </a:extLst>
        </xdr:cNvPr>
        <xdr:cNvSpPr/>
      </xdr:nvSpPr>
      <xdr:spPr>
        <a:xfrm>
          <a:off x="5003800" y="8458200"/>
          <a:ext cx="8140700" cy="20574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oresight.is/privacy"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B135"/>
  <sheetViews>
    <sheetView showGridLines="0" tabSelected="1" workbookViewId="0">
      <selection activeCell="B16" sqref="B16"/>
    </sheetView>
  </sheetViews>
  <sheetFormatPr baseColWidth="10" defaultColWidth="10.83203125" defaultRowHeight="17"/>
  <cols>
    <col min="1" max="1" width="5.83203125" style="22" customWidth="1"/>
    <col min="2" max="2" width="183" style="22" customWidth="1"/>
    <col min="3" max="16384" width="10.83203125" style="22"/>
  </cols>
  <sheetData>
    <row r="2" spans="2:2" ht="20">
      <c r="B2" s="21" t="s">
        <v>214</v>
      </c>
    </row>
    <row r="4" spans="2:2" ht="18">
      <c r="B4" s="23" t="s">
        <v>13</v>
      </c>
    </row>
    <row r="5" spans="2:2" ht="18">
      <c r="B5" s="269" t="s">
        <v>598</v>
      </c>
    </row>
    <row r="6" spans="2:2" ht="18">
      <c r="B6" s="23" t="s">
        <v>41</v>
      </c>
    </row>
    <row r="7" spans="2:2" ht="18">
      <c r="B7" s="269" t="s">
        <v>42</v>
      </c>
    </row>
    <row r="8" spans="2:2">
      <c r="B8" s="269"/>
    </row>
    <row r="9" spans="2:2" ht="18">
      <c r="B9" s="270" t="s">
        <v>599</v>
      </c>
    </row>
    <row r="10" spans="2:2" ht="18">
      <c r="B10" s="271" t="s">
        <v>601</v>
      </c>
    </row>
    <row r="11" spans="2:2" ht="18">
      <c r="B11" s="271" t="s">
        <v>637</v>
      </c>
    </row>
    <row r="12" spans="2:2" ht="18">
      <c r="B12" s="269" t="s">
        <v>600</v>
      </c>
    </row>
    <row r="13" spans="2:2" ht="18">
      <c r="B13" s="272" t="s">
        <v>683</v>
      </c>
    </row>
    <row r="14" spans="2:2">
      <c r="B14" s="23"/>
    </row>
    <row r="15" spans="2:2">
      <c r="B15" s="23"/>
    </row>
    <row r="16" spans="2:2" ht="18">
      <c r="B16" s="24" t="s">
        <v>43</v>
      </c>
    </row>
    <row r="17" spans="2:2" ht="36">
      <c r="B17" s="23" t="s">
        <v>597</v>
      </c>
    </row>
    <row r="18" spans="2:2" ht="90">
      <c r="B18" s="23" t="s">
        <v>245</v>
      </c>
    </row>
    <row r="19" spans="2:2">
      <c r="B19" s="23"/>
    </row>
    <row r="20" spans="2:2" ht="18">
      <c r="B20" s="24" t="s">
        <v>44</v>
      </c>
    </row>
    <row r="21" spans="2:2" ht="54">
      <c r="B21" s="23" t="s">
        <v>215</v>
      </c>
    </row>
    <row r="22" spans="2:2">
      <c r="B22" s="23"/>
    </row>
    <row r="23" spans="2:2" ht="18">
      <c r="B23" s="24" t="s">
        <v>45</v>
      </c>
    </row>
    <row r="24" spans="2:2" ht="18">
      <c r="B24" s="23" t="s">
        <v>638</v>
      </c>
    </row>
    <row r="25" spans="2:2">
      <c r="B25" s="23"/>
    </row>
    <row r="26" spans="2:2" ht="18">
      <c r="B26" s="24" t="s">
        <v>46</v>
      </c>
    </row>
    <row r="27" spans="2:2" ht="18">
      <c r="B27" s="23" t="s">
        <v>216</v>
      </c>
    </row>
    <row r="28" spans="2:2" ht="36">
      <c r="B28" s="23" t="s">
        <v>217</v>
      </c>
    </row>
    <row r="29" spans="2:2" ht="18">
      <c r="B29" s="23" t="s">
        <v>218</v>
      </c>
    </row>
    <row r="30" spans="2:2" ht="18">
      <c r="B30" s="24" t="s">
        <v>47</v>
      </c>
    </row>
    <row r="31" spans="2:2" ht="18">
      <c r="B31" s="23" t="s">
        <v>219</v>
      </c>
    </row>
    <row r="32" spans="2:2" ht="18">
      <c r="B32" s="23" t="s">
        <v>374</v>
      </c>
    </row>
    <row r="33" spans="2:2" ht="72">
      <c r="B33" s="23" t="s">
        <v>238</v>
      </c>
    </row>
    <row r="34" spans="2:2">
      <c r="B34" s="23"/>
    </row>
    <row r="35" spans="2:2" ht="18">
      <c r="B35" s="24" t="s">
        <v>88</v>
      </c>
    </row>
    <row r="36" spans="2:2" ht="36">
      <c r="B36" s="23" t="s">
        <v>243</v>
      </c>
    </row>
    <row r="37" spans="2:2" ht="18">
      <c r="B37" s="23" t="s">
        <v>292</v>
      </c>
    </row>
    <row r="38" spans="2:2" ht="18">
      <c r="B38" s="23" t="s">
        <v>220</v>
      </c>
    </row>
    <row r="39" spans="2:2" ht="18">
      <c r="B39" s="23" t="s">
        <v>234</v>
      </c>
    </row>
    <row r="40" spans="2:2" ht="18">
      <c r="B40" s="23" t="s">
        <v>161</v>
      </c>
    </row>
    <row r="41" spans="2:2" ht="18">
      <c r="B41" s="23" t="s">
        <v>235</v>
      </c>
    </row>
    <row r="42" spans="2:2" ht="18">
      <c r="B42" s="23" t="s">
        <v>236</v>
      </c>
    </row>
    <row r="43" spans="2:2" ht="18">
      <c r="B43" s="23" t="s">
        <v>237</v>
      </c>
    </row>
    <row r="44" spans="2:2" ht="18">
      <c r="B44" s="23" t="s">
        <v>233</v>
      </c>
    </row>
    <row r="45" spans="2:2" ht="18">
      <c r="B45" s="23" t="s">
        <v>232</v>
      </c>
    </row>
    <row r="46" spans="2:2" ht="18">
      <c r="B46" s="23" t="s">
        <v>695</v>
      </c>
    </row>
    <row r="47" spans="2:2" ht="18">
      <c r="B47" s="23" t="s">
        <v>231</v>
      </c>
    </row>
    <row r="48" spans="2:2" ht="18">
      <c r="B48" s="23" t="s">
        <v>230</v>
      </c>
    </row>
    <row r="49" spans="2:2" ht="18">
      <c r="B49" s="23" t="s">
        <v>696</v>
      </c>
    </row>
    <row r="50" spans="2:2" ht="36">
      <c r="B50" s="23" t="s">
        <v>424</v>
      </c>
    </row>
    <row r="51" spans="2:2" ht="36">
      <c r="B51" s="23" t="s">
        <v>668</v>
      </c>
    </row>
    <row r="52" spans="2:2">
      <c r="B52" s="23"/>
    </row>
    <row r="53" spans="2:2" ht="18">
      <c r="B53" s="24" t="s">
        <v>221</v>
      </c>
    </row>
    <row r="54" spans="2:2" ht="18">
      <c r="B54" s="23" t="s">
        <v>222</v>
      </c>
    </row>
    <row r="55" spans="2:2" s="23" customFormat="1"/>
    <row r="56" spans="2:2" s="23" customFormat="1" ht="18">
      <c r="B56" s="65" t="s">
        <v>10</v>
      </c>
    </row>
    <row r="57" spans="2:2" s="23" customFormat="1" ht="18">
      <c r="B57" s="23" t="s">
        <v>223</v>
      </c>
    </row>
    <row r="58" spans="2:2" s="23" customFormat="1" ht="18">
      <c r="B58" s="23" t="s">
        <v>12</v>
      </c>
    </row>
    <row r="59" spans="2:2" s="23" customFormat="1" ht="18">
      <c r="B59" s="23" t="s">
        <v>2</v>
      </c>
    </row>
    <row r="60" spans="2:2" s="23" customFormat="1" ht="36">
      <c r="B60" s="23" t="s">
        <v>224</v>
      </c>
    </row>
    <row r="61" spans="2:2" s="23" customFormat="1" ht="18">
      <c r="B61" s="23" t="s">
        <v>301</v>
      </c>
    </row>
    <row r="62" spans="2:2" s="23" customFormat="1" ht="18">
      <c r="B62" s="23" t="s">
        <v>290</v>
      </c>
    </row>
    <row r="63" spans="2:2" s="23" customFormat="1"/>
    <row r="64" spans="2:2" s="23" customFormat="1" ht="18">
      <c r="B64" s="65" t="s">
        <v>17</v>
      </c>
    </row>
    <row r="65" spans="2:2" s="23" customFormat="1" ht="18">
      <c r="B65" s="23" t="s">
        <v>225</v>
      </c>
    </row>
    <row r="66" spans="2:2" s="23" customFormat="1" ht="18">
      <c r="B66" s="23" t="s">
        <v>226</v>
      </c>
    </row>
    <row r="67" spans="2:2" s="23" customFormat="1" ht="18">
      <c r="B67" s="23" t="s">
        <v>227</v>
      </c>
    </row>
    <row r="68" spans="2:2" s="23" customFormat="1"/>
    <row r="69" spans="2:2" s="23" customFormat="1" ht="18">
      <c r="B69" s="65" t="s">
        <v>24</v>
      </c>
    </row>
    <row r="70" spans="2:2" s="23" customFormat="1" ht="18">
      <c r="B70" s="23" t="s">
        <v>3</v>
      </c>
    </row>
    <row r="71" spans="2:2" s="23" customFormat="1" ht="18">
      <c r="B71" s="23" t="s">
        <v>4</v>
      </c>
    </row>
    <row r="72" spans="2:2" s="23" customFormat="1" ht="18">
      <c r="B72" s="23" t="s">
        <v>5</v>
      </c>
    </row>
    <row r="73" spans="2:2" s="23" customFormat="1" ht="18">
      <c r="B73" s="23" t="s">
        <v>6</v>
      </c>
    </row>
    <row r="74" spans="2:2" s="23" customFormat="1" ht="18">
      <c r="B74" s="23" t="s">
        <v>8</v>
      </c>
    </row>
    <row r="75" spans="2:2" s="23" customFormat="1"/>
    <row r="76" spans="2:2" s="23" customFormat="1" ht="18">
      <c r="B76" s="65" t="s">
        <v>9</v>
      </c>
    </row>
    <row r="77" spans="2:2" s="23" customFormat="1" ht="18">
      <c r="B77" s="23" t="s">
        <v>7</v>
      </c>
    </row>
    <row r="78" spans="2:2" s="23" customFormat="1" ht="18">
      <c r="B78" s="23" t="s">
        <v>229</v>
      </c>
    </row>
    <row r="79" spans="2:2" s="23" customFormat="1" ht="18">
      <c r="B79" s="66" t="s">
        <v>228</v>
      </c>
    </row>
    <row r="80" spans="2:2" s="23" customFormat="1" ht="18">
      <c r="B80" s="23" t="s">
        <v>18</v>
      </c>
    </row>
    <row r="81" spans="2:2" s="23" customFormat="1" ht="18">
      <c r="B81" s="23" t="s">
        <v>11</v>
      </c>
    </row>
    <row r="82" spans="2:2" s="23" customFormat="1"/>
    <row r="83" spans="2:2" ht="18">
      <c r="B83" s="24" t="s">
        <v>16</v>
      </c>
    </row>
    <row r="84" spans="2:2" ht="36">
      <c r="B84" s="23" t="s">
        <v>48</v>
      </c>
    </row>
    <row r="85" spans="2:2">
      <c r="B85" s="23"/>
    </row>
    <row r="86" spans="2:2" ht="18">
      <c r="B86" s="273" t="s">
        <v>602</v>
      </c>
    </row>
    <row r="87" spans="2:2" ht="18">
      <c r="B87" s="271" t="s">
        <v>603</v>
      </c>
    </row>
    <row r="88" spans="2:2" ht="18">
      <c r="B88" s="271" t="s">
        <v>49</v>
      </c>
    </row>
    <row r="89" spans="2:2" ht="18">
      <c r="B89" s="271" t="s">
        <v>604</v>
      </c>
    </row>
    <row r="90" spans="2:2" ht="18">
      <c r="B90" s="271" t="s">
        <v>302</v>
      </c>
    </row>
    <row r="91" spans="2:2">
      <c r="B91" s="274"/>
    </row>
    <row r="92" spans="2:2">
      <c r="B92" s="275" t="s">
        <v>605</v>
      </c>
    </row>
    <row r="93" spans="2:2">
      <c r="B93" s="275"/>
    </row>
    <row r="94" spans="2:2" ht="18">
      <c r="B94" s="273" t="s">
        <v>606</v>
      </c>
    </row>
    <row r="95" spans="2:2" ht="36">
      <c r="B95" s="271" t="s">
        <v>607</v>
      </c>
    </row>
    <row r="96" spans="2:2">
      <c r="B96" s="271"/>
    </row>
    <row r="97" spans="2:2" ht="18">
      <c r="B97" s="273" t="s">
        <v>608</v>
      </c>
    </row>
    <row r="98" spans="2:2" ht="90">
      <c r="B98" s="271" t="s">
        <v>609</v>
      </c>
    </row>
    <row r="99" spans="2:2">
      <c r="B99" s="271"/>
    </row>
    <row r="100" spans="2:2" ht="18">
      <c r="B100" s="273" t="s">
        <v>599</v>
      </c>
    </row>
    <row r="101" spans="2:2" ht="54">
      <c r="B101" s="271" t="s">
        <v>610</v>
      </c>
    </row>
    <row r="102" spans="2:2" ht="36">
      <c r="B102" s="271" t="s">
        <v>611</v>
      </c>
    </row>
    <row r="103" spans="2:2">
      <c r="B103" s="271"/>
    </row>
    <row r="104" spans="2:2" ht="18">
      <c r="B104" s="273" t="s">
        <v>612</v>
      </c>
    </row>
    <row r="105" spans="2:2" ht="72">
      <c r="B105" s="271" t="s">
        <v>613</v>
      </c>
    </row>
    <row r="106" spans="2:2" ht="36">
      <c r="B106" s="271" t="s">
        <v>614</v>
      </c>
    </row>
    <row r="107" spans="2:2">
      <c r="B107" s="271"/>
    </row>
    <row r="108" spans="2:2" ht="18">
      <c r="B108" s="273" t="s">
        <v>615</v>
      </c>
    </row>
    <row r="109" spans="2:2" ht="54">
      <c r="B109" s="271" t="s">
        <v>616</v>
      </c>
    </row>
    <row r="110" spans="2:2" ht="72">
      <c r="B110" s="271" t="s">
        <v>617</v>
      </c>
    </row>
    <row r="111" spans="2:2" ht="54">
      <c r="B111" s="271" t="s">
        <v>618</v>
      </c>
    </row>
    <row r="112" spans="2:2" ht="36">
      <c r="B112" s="271" t="s">
        <v>619</v>
      </c>
    </row>
    <row r="113" spans="2:2">
      <c r="B113" s="271"/>
    </row>
    <row r="114" spans="2:2" ht="18">
      <c r="B114" s="273" t="s">
        <v>620</v>
      </c>
    </row>
    <row r="115" spans="2:2" ht="54">
      <c r="B115" s="271" t="s">
        <v>621</v>
      </c>
    </row>
    <row r="116" spans="2:2">
      <c r="B116" s="271"/>
    </row>
    <row r="117" spans="2:2" ht="18">
      <c r="B117" s="273" t="s">
        <v>622</v>
      </c>
    </row>
    <row r="118" spans="2:2" ht="54">
      <c r="B118" s="271" t="s">
        <v>623</v>
      </c>
    </row>
    <row r="119" spans="2:2">
      <c r="B119" s="271"/>
    </row>
    <row r="120" spans="2:2" ht="18">
      <c r="B120" s="273" t="s">
        <v>624</v>
      </c>
    </row>
    <row r="121" spans="2:2" ht="18">
      <c r="B121" s="271" t="s">
        <v>625</v>
      </c>
    </row>
    <row r="122" spans="2:2">
      <c r="B122" s="271"/>
    </row>
    <row r="123" spans="2:2" ht="18">
      <c r="B123" s="273" t="s">
        <v>626</v>
      </c>
    </row>
    <row r="124" spans="2:2" ht="18">
      <c r="B124" s="271" t="s">
        <v>627</v>
      </c>
    </row>
    <row r="125" spans="2:2" ht="18">
      <c r="B125" s="271" t="s">
        <v>628</v>
      </c>
    </row>
    <row r="126" spans="2:2" ht="18">
      <c r="B126" s="271" t="s">
        <v>629</v>
      </c>
    </row>
    <row r="127" spans="2:2" ht="54">
      <c r="B127" s="271" t="s">
        <v>630</v>
      </c>
    </row>
    <row r="128" spans="2:2">
      <c r="B128" s="271"/>
    </row>
    <row r="129" spans="2:2" ht="18">
      <c r="B129" s="273" t="s">
        <v>631</v>
      </c>
    </row>
    <row r="130" spans="2:2" ht="36">
      <c r="B130" s="271" t="s">
        <v>632</v>
      </c>
    </row>
    <row r="131" spans="2:2">
      <c r="B131" s="271"/>
    </row>
    <row r="132" spans="2:2" ht="18">
      <c r="B132" s="273" t="s">
        <v>633</v>
      </c>
    </row>
    <row r="133" spans="2:2" ht="18">
      <c r="B133" s="271" t="s">
        <v>634</v>
      </c>
    </row>
    <row r="134" spans="2:2" ht="36">
      <c r="B134" s="271" t="s">
        <v>635</v>
      </c>
    </row>
    <row r="135" spans="2:2" ht="36">
      <c r="B135" s="271" t="s">
        <v>636</v>
      </c>
    </row>
  </sheetData>
  <hyperlinks>
    <hyperlink ref="B121" r:id="rId1" xr:uid="{00000000-0004-0000-0000-000000000000}"/>
  </hyperlinks>
  <pageMargins left="0.75" right="0.75" top="1" bottom="1" header="0.5" footer="0.5"/>
  <pageSetup scale="63" orientation="landscape" horizontalDpi="4294967292" verticalDpi="4294967292"/>
  <drawing r:id="rId2"/>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L38"/>
  <sheetViews>
    <sheetView showGridLines="0" topLeftCell="A3" workbookViewId="0">
      <pane xSplit="2" topLeftCell="C1" activePane="topRight" state="frozen"/>
      <selection activeCell="B47" sqref="B47"/>
      <selection pane="topRight" activeCell="G32" sqref="G32"/>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33" style="2" customWidth="1"/>
    <col min="7" max="11" width="18.6640625" style="2" customWidth="1"/>
    <col min="12" max="15" width="10.83203125" style="2"/>
    <col min="16" max="16" width="12.6640625" style="2" customWidth="1"/>
    <col min="17" max="16384" width="10.83203125" style="2"/>
  </cols>
  <sheetData>
    <row r="2" spans="2:12">
      <c r="B2" s="19" t="s">
        <v>175</v>
      </c>
    </row>
    <row r="3" spans="2:12">
      <c r="B3" s="34" t="s">
        <v>58</v>
      </c>
    </row>
    <row r="6" spans="2:12" ht="36">
      <c r="B6" s="28" t="s">
        <v>55</v>
      </c>
      <c r="C6" s="27" t="s">
        <v>413</v>
      </c>
      <c r="D6" s="27" t="s">
        <v>39</v>
      </c>
      <c r="F6" s="27" t="s">
        <v>61</v>
      </c>
      <c r="G6" s="27" t="s">
        <v>62</v>
      </c>
      <c r="H6" s="27" t="s">
        <v>117</v>
      </c>
      <c r="I6" s="27" t="s">
        <v>413</v>
      </c>
      <c r="J6" s="27" t="s">
        <v>39</v>
      </c>
      <c r="K6" s="27" t="s">
        <v>63</v>
      </c>
    </row>
    <row r="8" spans="2:12">
      <c r="B8" s="13" t="s">
        <v>57</v>
      </c>
      <c r="C8" s="14">
        <f>D8*C$19</f>
        <v>6000000</v>
      </c>
      <c r="D8" s="29">
        <v>0.6</v>
      </c>
      <c r="F8" s="13">
        <v>0</v>
      </c>
      <c r="G8" s="37">
        <f>G$27</f>
        <v>0.3</v>
      </c>
      <c r="H8" s="10">
        <f>IFERROR(F8/G8,0)</f>
        <v>0</v>
      </c>
      <c r="I8" s="6">
        <f>H8+C8</f>
        <v>6000000</v>
      </c>
      <c r="J8" s="35">
        <f>IFERROR(I8/I$19,0)</f>
        <v>0.38400000000000001</v>
      </c>
      <c r="K8" s="4">
        <f>I8*G$27</f>
        <v>1800000</v>
      </c>
    </row>
    <row r="9" spans="2:12">
      <c r="B9" s="13" t="s">
        <v>57</v>
      </c>
      <c r="C9" s="14">
        <f>D9*C$19</f>
        <v>3000000</v>
      </c>
      <c r="D9" s="29">
        <v>0.3</v>
      </c>
      <c r="F9" s="13">
        <v>0</v>
      </c>
      <c r="G9" s="37">
        <f>G$27</f>
        <v>0.3</v>
      </c>
      <c r="H9" s="10">
        <f>IFERROR(F9/G9,0)</f>
        <v>0</v>
      </c>
      <c r="I9" s="6">
        <f>H9+C9</f>
        <v>3000000</v>
      </c>
      <c r="J9" s="35">
        <f>IFERROR(I9/I$19,0)</f>
        <v>0.192</v>
      </c>
      <c r="K9" s="4">
        <f>I9*G$27</f>
        <v>900000</v>
      </c>
    </row>
    <row r="10" spans="2:12">
      <c r="B10" s="13" t="s">
        <v>59</v>
      </c>
      <c r="C10" s="14">
        <f>D10*C$19</f>
        <v>500000</v>
      </c>
      <c r="D10" s="29">
        <v>0.05</v>
      </c>
      <c r="F10" s="13">
        <v>0</v>
      </c>
      <c r="G10" s="37">
        <f>G$27</f>
        <v>0.3</v>
      </c>
      <c r="H10" s="10">
        <f>IFERROR(F10/G10,0)</f>
        <v>0</v>
      </c>
      <c r="I10" s="6">
        <f t="shared" ref="I10:I17" si="0">H10+C10</f>
        <v>500000</v>
      </c>
      <c r="J10" s="35">
        <f>IFERROR(I10/I$19,0)</f>
        <v>3.2000000000000001E-2</v>
      </c>
      <c r="K10" s="4">
        <f>I10*G$27</f>
        <v>150000</v>
      </c>
    </row>
    <row r="11" spans="2:12">
      <c r="B11" s="13" t="s">
        <v>59</v>
      </c>
      <c r="C11" s="14">
        <f>D11*C$19</f>
        <v>300000</v>
      </c>
      <c r="D11" s="29">
        <v>0.03</v>
      </c>
      <c r="F11" s="13">
        <v>0</v>
      </c>
      <c r="G11" s="37">
        <f>G$27</f>
        <v>0.3</v>
      </c>
      <c r="H11" s="10">
        <f>IFERROR(F11/G11,0)</f>
        <v>0</v>
      </c>
      <c r="I11" s="6">
        <f t="shared" si="0"/>
        <v>300000</v>
      </c>
      <c r="J11" s="35">
        <f>IFERROR(I11/I$19,0)</f>
        <v>1.9199999999999998E-2</v>
      </c>
      <c r="K11" s="4">
        <f>I11*G$27</f>
        <v>90000</v>
      </c>
    </row>
    <row r="12" spans="2:12">
      <c r="B12" s="13" t="s">
        <v>59</v>
      </c>
      <c r="C12" s="14">
        <f>D12*C$19</f>
        <v>200000</v>
      </c>
      <c r="D12" s="29">
        <v>0.02</v>
      </c>
      <c r="F12" s="13">
        <v>0</v>
      </c>
      <c r="G12" s="37">
        <f>G$27</f>
        <v>0.3</v>
      </c>
      <c r="H12" s="10">
        <f>IFERROR(F12/G12,0)</f>
        <v>0</v>
      </c>
      <c r="I12" s="6">
        <f t="shared" si="0"/>
        <v>200000</v>
      </c>
      <c r="J12" s="35">
        <f>IFERROR(I12/I$19,0)</f>
        <v>1.2800000000000001E-2</v>
      </c>
      <c r="K12" s="4">
        <f>I12*G$27</f>
        <v>60000</v>
      </c>
    </row>
    <row r="13" spans="2:12">
      <c r="D13" s="36"/>
    </row>
    <row r="14" spans="2:12">
      <c r="B14" s="13" t="s">
        <v>60</v>
      </c>
      <c r="C14" s="14">
        <f>D14*C$19</f>
        <v>0</v>
      </c>
      <c r="D14" s="29">
        <v>0</v>
      </c>
      <c r="F14" s="13">
        <v>500000</v>
      </c>
      <c r="G14" s="37">
        <f>G$27</f>
        <v>0.3</v>
      </c>
      <c r="H14" s="4">
        <f>IFERROR(F14/G14,0)</f>
        <v>1666666.6666666667</v>
      </c>
      <c r="I14" s="6">
        <f t="shared" si="0"/>
        <v>1666666.6666666667</v>
      </c>
      <c r="J14" s="35">
        <f>IFERROR(I14/I$19,0)</f>
        <v>0.10666666666666667</v>
      </c>
      <c r="K14" s="4">
        <f>I14*G$27</f>
        <v>500000</v>
      </c>
      <c r="L14" s="10" t="s">
        <v>82</v>
      </c>
    </row>
    <row r="15" spans="2:12">
      <c r="B15" s="13" t="s">
        <v>64</v>
      </c>
      <c r="C15" s="14">
        <f>D15*C$19</f>
        <v>0</v>
      </c>
      <c r="D15" s="29">
        <v>0</v>
      </c>
      <c r="F15" s="13">
        <v>250000</v>
      </c>
      <c r="G15" s="37">
        <f>G$27</f>
        <v>0.3</v>
      </c>
      <c r="H15" s="4">
        <f>IFERROR(F15/G15,0)</f>
        <v>833333.33333333337</v>
      </c>
      <c r="I15" s="6">
        <f t="shared" si="0"/>
        <v>833333.33333333337</v>
      </c>
      <c r="J15" s="35">
        <f>IFERROR(I15/I$19,0)</f>
        <v>5.3333333333333337E-2</v>
      </c>
      <c r="K15" s="4">
        <f>I15*G$27</f>
        <v>250000</v>
      </c>
    </row>
    <row r="16" spans="2:12">
      <c r="D16" s="36"/>
    </row>
    <row r="17" spans="2:11">
      <c r="B17" s="13" t="s">
        <v>29</v>
      </c>
      <c r="C17" s="14">
        <f>D17*C$19</f>
        <v>0</v>
      </c>
      <c r="D17" s="29">
        <v>0</v>
      </c>
      <c r="F17" s="13">
        <v>0</v>
      </c>
      <c r="G17" s="37">
        <f>G$27</f>
        <v>0.3</v>
      </c>
      <c r="H17" s="6">
        <f>G31</f>
        <v>3125000</v>
      </c>
      <c r="I17" s="6">
        <f t="shared" si="0"/>
        <v>3125000</v>
      </c>
      <c r="J17" s="35">
        <f>IFERROR(I17/I$19,0)</f>
        <v>0.2</v>
      </c>
      <c r="K17" s="4">
        <f>I17*G$27</f>
        <v>937500</v>
      </c>
    </row>
    <row r="18" spans="2:11">
      <c r="D18" s="36"/>
    </row>
    <row r="19" spans="2:11">
      <c r="B19" s="38" t="s">
        <v>20</v>
      </c>
      <c r="C19" s="12">
        <v>10000000</v>
      </c>
      <c r="D19" s="39">
        <f>SUM(D8:D12,D14:D15,D17)</f>
        <v>1</v>
      </c>
      <c r="F19" s="8">
        <f>SUM(F8:F12,F14:F15,F17)</f>
        <v>750000</v>
      </c>
      <c r="G19" s="38"/>
      <c r="H19" s="8">
        <f>SUM(H8:H12,H14:H15,H17)</f>
        <v>5625000</v>
      </c>
      <c r="I19" s="8">
        <f>SUM(I8:I12,I14:I15,I17)</f>
        <v>15625000</v>
      </c>
      <c r="J19" s="39">
        <f>SUM(J8:J12,J14:J15,J17)</f>
        <v>1.0000000000000002</v>
      </c>
      <c r="K19" s="8">
        <f>SUM(K8:K12,K14:K15,K17)</f>
        <v>4687500</v>
      </c>
    </row>
    <row r="22" spans="2:11">
      <c r="F22" s="34" t="s">
        <v>65</v>
      </c>
    </row>
    <row r="23" spans="2:11">
      <c r="F23" s="2" t="s">
        <v>67</v>
      </c>
      <c r="G23" s="6">
        <f>F19</f>
        <v>750000</v>
      </c>
    </row>
    <row r="24" spans="2:11">
      <c r="F24" s="2" t="s">
        <v>113</v>
      </c>
      <c r="G24" s="6">
        <f>G25</f>
        <v>3000000</v>
      </c>
      <c r="H24" s="10" t="s">
        <v>78</v>
      </c>
    </row>
    <row r="25" spans="2:11">
      <c r="F25" s="2" t="s">
        <v>66</v>
      </c>
      <c r="G25" s="13">
        <v>3000000</v>
      </c>
    </row>
    <row r="26" spans="2:11">
      <c r="F26" s="2" t="s">
        <v>103</v>
      </c>
      <c r="G26" s="6">
        <f>G25+G23</f>
        <v>3750000</v>
      </c>
    </row>
    <row r="27" spans="2:11">
      <c r="F27" s="2" t="s">
        <v>62</v>
      </c>
      <c r="G27" s="37">
        <f>G24/C19</f>
        <v>0.3</v>
      </c>
    </row>
    <row r="28" spans="2:11">
      <c r="F28" s="2" t="s">
        <v>94</v>
      </c>
      <c r="G28" s="5">
        <f>IFERROR(G23/G26,0)</f>
        <v>0.2</v>
      </c>
    </row>
    <row r="30" spans="2:11">
      <c r="F30" s="2" t="s">
        <v>116</v>
      </c>
      <c r="G30" s="29">
        <v>0.2</v>
      </c>
    </row>
    <row r="31" spans="2:11">
      <c r="F31" s="2" t="s">
        <v>114</v>
      </c>
      <c r="G31" s="4">
        <f>IFERROR(IF(G26=0,G30*C19/(1-G30),G30*G26/(G27*(1-G30))),0)</f>
        <v>3125000</v>
      </c>
      <c r="H31" s="10" t="s">
        <v>172</v>
      </c>
    </row>
    <row r="33" spans="2:2">
      <c r="B33" s="33" t="s">
        <v>54</v>
      </c>
    </row>
    <row r="34" spans="2:2">
      <c r="B34" s="33"/>
    </row>
    <row r="35" spans="2:2">
      <c r="B35" s="2" t="s">
        <v>124</v>
      </c>
    </row>
    <row r="36" spans="2:2">
      <c r="B36" s="2" t="s">
        <v>125</v>
      </c>
    </row>
    <row r="37" spans="2:2">
      <c r="B37" s="2" t="s">
        <v>171</v>
      </c>
    </row>
    <row r="38" spans="2:2">
      <c r="B38" s="2" t="s">
        <v>173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S44"/>
  <sheetViews>
    <sheetView showGridLines="0" workbookViewId="0">
      <pane xSplit="2" topLeftCell="C1" activePane="topRight" state="frozen"/>
      <selection activeCell="B47" sqref="B47"/>
      <selection pane="topRight" activeCell="G34" sqref="G34"/>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33" style="2" customWidth="1"/>
    <col min="7" max="11" width="18.6640625" style="2" customWidth="1"/>
    <col min="12" max="12" width="10.83203125" style="2"/>
    <col min="13" max="13" width="31.5" style="2" customWidth="1"/>
    <col min="14" max="18" width="18.1640625" style="2" customWidth="1"/>
    <col min="19" max="16384" width="10.83203125" style="2"/>
  </cols>
  <sheetData>
    <row r="2" spans="2:19">
      <c r="B2" s="19" t="s">
        <v>176</v>
      </c>
    </row>
    <row r="3" spans="2:19">
      <c r="B3" s="34" t="s">
        <v>58</v>
      </c>
    </row>
    <row r="6" spans="2:19" ht="36">
      <c r="B6" s="28" t="s">
        <v>55</v>
      </c>
      <c r="C6" s="27" t="s">
        <v>413</v>
      </c>
      <c r="D6" s="27" t="s">
        <v>39</v>
      </c>
      <c r="F6" s="27" t="s">
        <v>61</v>
      </c>
      <c r="G6" s="27" t="s">
        <v>62</v>
      </c>
      <c r="H6" s="27" t="s">
        <v>117</v>
      </c>
      <c r="I6" s="27" t="s">
        <v>413</v>
      </c>
      <c r="J6" s="27" t="s">
        <v>39</v>
      </c>
      <c r="K6" s="27" t="s">
        <v>63</v>
      </c>
      <c r="M6" s="27" t="s">
        <v>61</v>
      </c>
      <c r="N6" s="27" t="s">
        <v>62</v>
      </c>
      <c r="O6" s="27" t="s">
        <v>117</v>
      </c>
      <c r="P6" s="27" t="s">
        <v>413</v>
      </c>
      <c r="Q6" s="27" t="s">
        <v>39</v>
      </c>
      <c r="R6" s="27" t="s">
        <v>63</v>
      </c>
    </row>
    <row r="8" spans="2:19">
      <c r="B8" s="13" t="s">
        <v>57</v>
      </c>
      <c r="C8" s="14">
        <f>D8*C$21</f>
        <v>6000000</v>
      </c>
      <c r="D8" s="29">
        <v>0.6</v>
      </c>
      <c r="F8" s="13">
        <v>0</v>
      </c>
      <c r="G8" s="37">
        <f>G$29</f>
        <v>0.22500000000000001</v>
      </c>
      <c r="H8" s="10">
        <f>IFERROR(F8/G8,0)</f>
        <v>0</v>
      </c>
      <c r="I8" s="6">
        <f>H8+C8</f>
        <v>6000000</v>
      </c>
      <c r="J8" s="35">
        <f>IFERROR(I8/I$21,0)</f>
        <v>0.36000000000000004</v>
      </c>
      <c r="K8" s="4">
        <f>I8*G$29</f>
        <v>1350000</v>
      </c>
      <c r="M8" s="13">
        <v>0</v>
      </c>
      <c r="N8" s="37">
        <f>N$29</f>
        <v>0.72000000000000008</v>
      </c>
      <c r="O8" s="10">
        <f>IFERROR(M8/N8,0)</f>
        <v>0</v>
      </c>
      <c r="P8" s="6">
        <f>O8+I8</f>
        <v>6000000</v>
      </c>
      <c r="Q8" s="35">
        <f>IFERROR(P8/P$21,0)</f>
        <v>0.24789424857645101</v>
      </c>
      <c r="R8" s="4">
        <f>P8*N$29</f>
        <v>4320000.0000000009</v>
      </c>
    </row>
    <row r="9" spans="2:19">
      <c r="B9" s="13" t="s">
        <v>57</v>
      </c>
      <c r="C9" s="14">
        <f>D9*C$21</f>
        <v>3000000</v>
      </c>
      <c r="D9" s="29">
        <v>0.3</v>
      </c>
      <c r="F9" s="13">
        <v>0</v>
      </c>
      <c r="G9" s="37">
        <f>G$29</f>
        <v>0.22500000000000001</v>
      </c>
      <c r="H9" s="10">
        <f>IFERROR(F9/G9,0)</f>
        <v>0</v>
      </c>
      <c r="I9" s="6">
        <f>H9+C9</f>
        <v>3000000</v>
      </c>
      <c r="J9" s="35">
        <f>IFERROR(I9/I$21,0)</f>
        <v>0.18000000000000002</v>
      </c>
      <c r="K9" s="4">
        <f>I9*G$29</f>
        <v>675000</v>
      </c>
      <c r="M9" s="13">
        <v>0</v>
      </c>
      <c r="N9" s="37">
        <f>N$29</f>
        <v>0.72000000000000008</v>
      </c>
      <c r="O9" s="10">
        <f>IFERROR(M9/N9,0)</f>
        <v>0</v>
      </c>
      <c r="P9" s="6">
        <f>O9+I9</f>
        <v>3000000</v>
      </c>
      <c r="Q9" s="35">
        <f>IFERROR(P9/P$21,0)</f>
        <v>0.1239471242882255</v>
      </c>
      <c r="R9" s="4">
        <f>P9*N$29</f>
        <v>2160000.0000000005</v>
      </c>
    </row>
    <row r="10" spans="2:19">
      <c r="B10" s="13" t="s">
        <v>59</v>
      </c>
      <c r="C10" s="14">
        <f>D10*C$21</f>
        <v>700000.00000000012</v>
      </c>
      <c r="D10" s="29">
        <v>7.0000000000000007E-2</v>
      </c>
      <c r="F10" s="13">
        <v>0</v>
      </c>
      <c r="G10" s="37">
        <f>G$29</f>
        <v>0.22500000000000001</v>
      </c>
      <c r="H10" s="10">
        <f>IFERROR(F10/G10,0)</f>
        <v>0</v>
      </c>
      <c r="I10" s="6">
        <f t="shared" ref="I10:I15" si="0">H10+C10</f>
        <v>700000.00000000012</v>
      </c>
      <c r="J10" s="35">
        <f>IFERROR(I10/I$21,0)</f>
        <v>4.2000000000000016E-2</v>
      </c>
      <c r="K10" s="4">
        <f>I10*G$29</f>
        <v>157500.00000000003</v>
      </c>
      <c r="M10" s="13">
        <v>0</v>
      </c>
      <c r="N10" s="37">
        <f>N$29</f>
        <v>0.72000000000000008</v>
      </c>
      <c r="O10" s="10">
        <f>IFERROR(M10/N10,0)</f>
        <v>0</v>
      </c>
      <c r="P10" s="6">
        <f>O10+I10</f>
        <v>700000.00000000012</v>
      </c>
      <c r="Q10" s="35">
        <f>IFERROR(P10/P$21,0)</f>
        <v>2.8920995667252623E-2</v>
      </c>
      <c r="R10" s="4">
        <f>P10*N$29</f>
        <v>504000.00000000012</v>
      </c>
      <c r="S10" s="10"/>
    </row>
    <row r="11" spans="2:19">
      <c r="B11" s="13" t="s">
        <v>59</v>
      </c>
      <c r="C11" s="14">
        <f>D11*C$21</f>
        <v>300000</v>
      </c>
      <c r="D11" s="29">
        <v>0.03</v>
      </c>
      <c r="F11" s="13">
        <v>0</v>
      </c>
      <c r="G11" s="37">
        <f>G$29</f>
        <v>0.22500000000000001</v>
      </c>
      <c r="H11" s="10">
        <f>IFERROR(F11/G11,0)</f>
        <v>0</v>
      </c>
      <c r="I11" s="6">
        <f t="shared" si="0"/>
        <v>300000</v>
      </c>
      <c r="J11" s="35">
        <f>IFERROR(I11/I$21,0)</f>
        <v>1.8000000000000002E-2</v>
      </c>
      <c r="K11" s="4">
        <f>I11*G$29</f>
        <v>67500</v>
      </c>
      <c r="M11" s="13">
        <v>0</v>
      </c>
      <c r="N11" s="37">
        <f>N$29</f>
        <v>0.72000000000000008</v>
      </c>
      <c r="O11" s="10">
        <f>IFERROR(M11/N11,0)</f>
        <v>0</v>
      </c>
      <c r="P11" s="6">
        <f>O11+I11</f>
        <v>300000</v>
      </c>
      <c r="Q11" s="35">
        <f>IFERROR(P11/P$21,0)</f>
        <v>1.2394712428822551E-2</v>
      </c>
      <c r="R11" s="4">
        <f>P11*N$29</f>
        <v>216000.00000000003</v>
      </c>
      <c r="S11" s="10"/>
    </row>
    <row r="12" spans="2:19">
      <c r="B12" s="13" t="s">
        <v>64</v>
      </c>
      <c r="C12" s="14">
        <f>D12*C$21</f>
        <v>0</v>
      </c>
      <c r="D12" s="29">
        <v>0</v>
      </c>
      <c r="F12" s="13">
        <v>0</v>
      </c>
      <c r="G12" s="37">
        <f>G$29</f>
        <v>0.22500000000000001</v>
      </c>
      <c r="H12" s="10">
        <f>IFERROR(F12/G12,0)</f>
        <v>0</v>
      </c>
      <c r="I12" s="6">
        <f t="shared" si="0"/>
        <v>0</v>
      </c>
      <c r="J12" s="35">
        <f>IFERROR(I12/I$21,0)</f>
        <v>0</v>
      </c>
      <c r="K12" s="4">
        <f>I12*G$29</f>
        <v>0</v>
      </c>
      <c r="M12" s="13">
        <v>100000</v>
      </c>
      <c r="N12" s="37">
        <f>N$29</f>
        <v>0.72000000000000008</v>
      </c>
      <c r="O12" s="4">
        <f>IFERROR(M12/N12,0)</f>
        <v>138888.88888888888</v>
      </c>
      <c r="P12" s="6">
        <f>O12+I12</f>
        <v>138888.88888888888</v>
      </c>
      <c r="Q12" s="35">
        <f>IFERROR(P12/P$21,0)</f>
        <v>5.738292791121551E-3</v>
      </c>
      <c r="R12" s="4">
        <f>P12*N$29</f>
        <v>100000</v>
      </c>
      <c r="S12" s="10" t="s">
        <v>79</v>
      </c>
    </row>
    <row r="13" spans="2:19">
      <c r="D13" s="36"/>
      <c r="S13" s="10"/>
    </row>
    <row r="14" spans="2:19">
      <c r="B14" s="13" t="s">
        <v>60</v>
      </c>
      <c r="C14" s="14">
        <f>D14*C$21</f>
        <v>0</v>
      </c>
      <c r="D14" s="29">
        <v>0</v>
      </c>
      <c r="F14" s="13">
        <v>500000</v>
      </c>
      <c r="G14" s="37">
        <f>G$29</f>
        <v>0.22500000000000001</v>
      </c>
      <c r="H14" s="4">
        <f>IFERROR(F14/G14,0)</f>
        <v>2222222.222222222</v>
      </c>
      <c r="I14" s="6">
        <f t="shared" si="0"/>
        <v>2222222.222222222</v>
      </c>
      <c r="J14" s="35">
        <f>IFERROR(I14/I$21,0)</f>
        <v>0.13333333333333333</v>
      </c>
      <c r="K14" s="4">
        <f>I14*G$29</f>
        <v>499999.99999999994</v>
      </c>
      <c r="M14" s="13">
        <v>584107.32530946471</v>
      </c>
      <c r="N14" s="37">
        <f>N$29</f>
        <v>0.72000000000000008</v>
      </c>
      <c r="O14" s="4">
        <f>IFERROR(M14/N14,0)</f>
        <v>811260.17404092313</v>
      </c>
      <c r="P14" s="6">
        <f>O14+I14</f>
        <v>3033482.3962631449</v>
      </c>
      <c r="Q14" s="35">
        <f>IFERROR(P14/P$21,0)</f>
        <v>0.12533047319859072</v>
      </c>
      <c r="R14" s="4">
        <f>P14*N$29</f>
        <v>2184107.3253094647</v>
      </c>
      <c r="S14" s="10" t="s">
        <v>83</v>
      </c>
    </row>
    <row r="15" spans="2:19">
      <c r="B15" s="13" t="s">
        <v>64</v>
      </c>
      <c r="C15" s="14">
        <f>D15*C$21</f>
        <v>0</v>
      </c>
      <c r="D15" s="29">
        <v>0</v>
      </c>
      <c r="F15" s="13">
        <v>250000</v>
      </c>
      <c r="G15" s="37">
        <f>G$29</f>
        <v>0.22500000000000001</v>
      </c>
      <c r="H15" s="4">
        <f>IFERROR(F15/G15,0)</f>
        <v>1111111.111111111</v>
      </c>
      <c r="I15" s="6">
        <f t="shared" si="0"/>
        <v>1111111.111111111</v>
      </c>
      <c r="J15" s="35">
        <f>IFERROR(I15/I$21,0)</f>
        <v>6.6666666666666666E-2</v>
      </c>
      <c r="K15" s="4">
        <f>I15*G$29</f>
        <v>249999.99999999997</v>
      </c>
      <c r="M15" s="13">
        <v>0</v>
      </c>
      <c r="N15" s="37">
        <f>N$29</f>
        <v>0.72000000000000008</v>
      </c>
      <c r="O15" s="4">
        <f>IFERROR(M15/N15,0)</f>
        <v>0</v>
      </c>
      <c r="P15" s="6">
        <f>O15+I15</f>
        <v>1111111.111111111</v>
      </c>
      <c r="Q15" s="35">
        <f>IFERROR(P15/P$21,0)</f>
        <v>4.5906342328972408E-2</v>
      </c>
      <c r="R15" s="4">
        <f>P15*N$29</f>
        <v>800000</v>
      </c>
      <c r="S15" s="10"/>
    </row>
    <row r="16" spans="2:19">
      <c r="B16" s="13" t="s">
        <v>91</v>
      </c>
      <c r="C16" s="14">
        <f>D16*C$21</f>
        <v>0</v>
      </c>
      <c r="D16" s="29">
        <v>0</v>
      </c>
      <c r="F16" s="13">
        <v>0</v>
      </c>
      <c r="G16" s="37">
        <f>G$29</f>
        <v>0.22500000000000001</v>
      </c>
      <c r="H16" s="4">
        <f>IFERROR(F16/G16,0)</f>
        <v>0</v>
      </c>
      <c r="I16" s="6">
        <f t="shared" ref="I16" si="1">H16+C16</f>
        <v>0</v>
      </c>
      <c r="J16" s="35">
        <f>IFERROR(I16/I$21,0)</f>
        <v>0</v>
      </c>
      <c r="K16" s="4">
        <f>I16*G$29</f>
        <v>0</v>
      </c>
      <c r="M16" s="13">
        <v>3000000</v>
      </c>
      <c r="N16" s="37">
        <f>N$29</f>
        <v>0.72000000000000008</v>
      </c>
      <c r="O16" s="4">
        <f>IFERROR(M16/N16,0)</f>
        <v>4166666.666666666</v>
      </c>
      <c r="P16" s="6">
        <f>O16+I16</f>
        <v>4166666.666666666</v>
      </c>
      <c r="Q16" s="35">
        <f>IFERROR(P16/P$21,0)</f>
        <v>0.1721487837336465</v>
      </c>
      <c r="R16" s="4">
        <f>P16*N$29</f>
        <v>3000000</v>
      </c>
    </row>
    <row r="17" spans="2:18">
      <c r="D17" s="36"/>
    </row>
    <row r="18" spans="2:18">
      <c r="B18" s="10" t="s">
        <v>190</v>
      </c>
      <c r="C18" s="14">
        <f>D18*C$21</f>
        <v>0</v>
      </c>
      <c r="D18" s="29">
        <v>0</v>
      </c>
      <c r="F18" s="13">
        <v>0</v>
      </c>
      <c r="G18" s="37">
        <f>G$29</f>
        <v>0.22500000000000001</v>
      </c>
      <c r="H18" s="4">
        <f>G35*C19</f>
        <v>0</v>
      </c>
      <c r="I18" s="6">
        <f t="shared" ref="I18" si="2">H18+C18</f>
        <v>0</v>
      </c>
      <c r="J18" s="35">
        <f>IFERROR(I18/I$21,0)</f>
        <v>0</v>
      </c>
      <c r="K18" s="4">
        <f>I18*G$29</f>
        <v>0</v>
      </c>
      <c r="M18" s="13">
        <v>0</v>
      </c>
      <c r="N18" s="37">
        <f>N$29</f>
        <v>0.72000000000000008</v>
      </c>
      <c r="O18" s="4">
        <f>N35*I19</f>
        <v>1666666.6666666665</v>
      </c>
      <c r="P18" s="6">
        <f>O18+I18</f>
        <v>1666666.6666666665</v>
      </c>
      <c r="Q18" s="35">
        <f>IFERROR(P18/P$21,0)</f>
        <v>6.8859513493458605E-2</v>
      </c>
      <c r="R18" s="4">
        <f>P18*N$29</f>
        <v>1200000</v>
      </c>
    </row>
    <row r="19" spans="2:18">
      <c r="B19" s="13" t="s">
        <v>29</v>
      </c>
      <c r="C19" s="14">
        <f>D19*C$21</f>
        <v>0</v>
      </c>
      <c r="D19" s="29">
        <v>0</v>
      </c>
      <c r="F19" s="13">
        <v>0</v>
      </c>
      <c r="G19" s="37">
        <f>G29</f>
        <v>0.22500000000000001</v>
      </c>
      <c r="H19" s="6">
        <f>G34</f>
        <v>3333333.333333333</v>
      </c>
      <c r="I19" s="6">
        <f>H19+C19-H18</f>
        <v>3333333.333333333</v>
      </c>
      <c r="J19" s="35">
        <f>IFERROR(I19/I$21,0)</f>
        <v>0.2</v>
      </c>
      <c r="K19" s="4">
        <f>I19*G$29</f>
        <v>750000</v>
      </c>
      <c r="M19" s="13">
        <v>0</v>
      </c>
      <c r="N19" s="37">
        <f>N29</f>
        <v>0.72000000000000008</v>
      </c>
      <c r="O19" s="6">
        <f>N34</f>
        <v>2420386.9329181272</v>
      </c>
      <c r="P19" s="6">
        <f>O19+I19-O18</f>
        <v>4087053.5995847932</v>
      </c>
      <c r="Q19" s="35">
        <f>IFERROR(P19/P$21,0)</f>
        <v>0.1688595134934586</v>
      </c>
      <c r="R19" s="4">
        <f>P19*N$29</f>
        <v>2942678.5917010517</v>
      </c>
    </row>
    <row r="20" spans="2:18">
      <c r="D20" s="36"/>
    </row>
    <row r="21" spans="2:18">
      <c r="B21" s="38" t="s">
        <v>20</v>
      </c>
      <c r="C21" s="12">
        <v>10000000</v>
      </c>
      <c r="D21" s="7">
        <f>SUM(D8:D12,D14:D16,D18:D19)</f>
        <v>1</v>
      </c>
      <c r="F21" s="8">
        <f>SUM(F8:F12,F14:F16,F18:F19)</f>
        <v>750000</v>
      </c>
      <c r="G21" s="38"/>
      <c r="H21" s="8">
        <f>SUM(H8:H12,H14:H16,H18:H19)</f>
        <v>6666666.666666666</v>
      </c>
      <c r="I21" s="8">
        <f>SUM(I8:I12,I14:I16,I18:I19)</f>
        <v>16666666.666666664</v>
      </c>
      <c r="J21" s="7">
        <f>SUM(J8:J12,J14:J16,J18:J19)</f>
        <v>1</v>
      </c>
      <c r="K21" s="8">
        <f>SUM(K8:K12,K14:K16,K18:K19)</f>
        <v>3750000</v>
      </c>
      <c r="M21" s="8">
        <f>SUM(M8:M12,M14:M16,M18:M19)</f>
        <v>3684107.3253094647</v>
      </c>
      <c r="N21" s="38"/>
      <c r="O21" s="8">
        <f>SUM(O8:O12,O14:O16,O18:O19)</f>
        <v>9203869.3291812725</v>
      </c>
      <c r="P21" s="8">
        <f>SUM(P8:P12,P14:P16,P18:P19)</f>
        <v>24203869.329181269</v>
      </c>
      <c r="Q21" s="7">
        <f>SUM(Q8:Q12,Q14:Q16,Q18:Q19)</f>
        <v>1</v>
      </c>
      <c r="R21" s="8">
        <f>SUM(R8:R12,R14:R16,R18:R19)</f>
        <v>17426785.91701052</v>
      </c>
    </row>
    <row r="24" spans="2:18">
      <c r="F24" s="34" t="s">
        <v>65</v>
      </c>
      <c r="M24" s="34" t="s">
        <v>89</v>
      </c>
    </row>
    <row r="25" spans="2:18">
      <c r="F25" s="2" t="s">
        <v>67</v>
      </c>
      <c r="G25" s="6">
        <f>F21</f>
        <v>750000</v>
      </c>
      <c r="M25" s="2" t="s">
        <v>67</v>
      </c>
      <c r="N25" s="6">
        <f>M21</f>
        <v>3684107.3253094647</v>
      </c>
    </row>
    <row r="26" spans="2:18">
      <c r="F26" s="2" t="s">
        <v>113</v>
      </c>
      <c r="G26" s="6">
        <f>G27-G28*G32</f>
        <v>2250000</v>
      </c>
      <c r="M26" s="2" t="s">
        <v>113</v>
      </c>
      <c r="N26" s="6">
        <f>N27-N28*N32</f>
        <v>12000000</v>
      </c>
    </row>
    <row r="27" spans="2:18">
      <c r="F27" s="2" t="s">
        <v>66</v>
      </c>
      <c r="G27" s="13">
        <v>3000000</v>
      </c>
      <c r="M27" s="2" t="s">
        <v>66</v>
      </c>
      <c r="N27" s="13">
        <v>12000000</v>
      </c>
    </row>
    <row r="28" spans="2:18">
      <c r="F28" s="2" t="s">
        <v>103</v>
      </c>
      <c r="G28" s="6">
        <f>G27+G25</f>
        <v>3750000</v>
      </c>
      <c r="M28" s="2" t="s">
        <v>103</v>
      </c>
      <c r="N28" s="6">
        <f>N27+N25</f>
        <v>15684107.325309465</v>
      </c>
      <c r="P28" s="87"/>
    </row>
    <row r="29" spans="2:18">
      <c r="F29" s="2" t="s">
        <v>62</v>
      </c>
      <c r="G29" s="37">
        <f>G26/C21</f>
        <v>0.22500000000000001</v>
      </c>
      <c r="M29" s="2" t="s">
        <v>62</v>
      </c>
      <c r="N29" s="37">
        <f>N26/I21</f>
        <v>0.72000000000000008</v>
      </c>
    </row>
    <row r="30" spans="2:18">
      <c r="F30" s="2" t="s">
        <v>94</v>
      </c>
      <c r="G30" s="5">
        <f>G25/G28</f>
        <v>0.2</v>
      </c>
      <c r="M30" s="2" t="s">
        <v>94</v>
      </c>
      <c r="N30" s="5">
        <f>N25/N28</f>
        <v>0.23489429451712662</v>
      </c>
    </row>
    <row r="31" spans="2:18">
      <c r="H31" s="10"/>
      <c r="O31" s="10"/>
    </row>
    <row r="32" spans="2:18">
      <c r="F32" s="2" t="s">
        <v>115</v>
      </c>
      <c r="G32" s="29">
        <v>0.2</v>
      </c>
      <c r="H32" s="10" t="s">
        <v>78</v>
      </c>
      <c r="M32" s="2" t="s">
        <v>115</v>
      </c>
      <c r="N32" s="29">
        <v>0</v>
      </c>
      <c r="O32" s="10" t="s">
        <v>78</v>
      </c>
    </row>
    <row r="33" spans="2:15">
      <c r="F33" s="2" t="s">
        <v>116</v>
      </c>
      <c r="G33" s="29">
        <v>0</v>
      </c>
      <c r="H33" s="10" t="s">
        <v>78</v>
      </c>
      <c r="M33" s="2" t="s">
        <v>116</v>
      </c>
      <c r="N33" s="29">
        <v>0.1</v>
      </c>
      <c r="O33" s="10" t="s">
        <v>78</v>
      </c>
    </row>
    <row r="34" spans="2:15">
      <c r="F34" s="2" t="s">
        <v>114</v>
      </c>
      <c r="G34" s="4">
        <f>IF(G28=0,G33*C21/(1-G33),G33*G28/(G29*(1-G33)))+IF(G27=0,C21*G32,G32*G28/G29)</f>
        <v>3333333.333333333</v>
      </c>
      <c r="H34" s="10"/>
      <c r="M34" s="2" t="s">
        <v>114</v>
      </c>
      <c r="N34" s="4">
        <f>IF(N28=0,N33*I21/(1-N33),N33*N28/(N29*(1-N33)))+IF(N27=0,I21*N32,N32*N28/N29)</f>
        <v>2420386.9329181272</v>
      </c>
      <c r="O34" s="10"/>
    </row>
    <row r="35" spans="2:15">
      <c r="F35" s="2" t="s">
        <v>177</v>
      </c>
      <c r="G35" s="29">
        <v>0</v>
      </c>
      <c r="H35" s="10" t="s">
        <v>160</v>
      </c>
      <c r="M35" s="2" t="s">
        <v>177</v>
      </c>
      <c r="N35" s="29">
        <v>0.5</v>
      </c>
      <c r="O35" s="10" t="s">
        <v>160</v>
      </c>
    </row>
    <row r="36" spans="2:15">
      <c r="F36" s="2" t="s">
        <v>40</v>
      </c>
      <c r="G36" s="73">
        <f ca="1">EDATE(TODAY(),-18)</f>
        <v>43272</v>
      </c>
      <c r="H36" s="10" t="s">
        <v>182</v>
      </c>
      <c r="M36" s="2" t="s">
        <v>40</v>
      </c>
      <c r="N36" s="73">
        <f ca="1">TODAY()</f>
        <v>43820</v>
      </c>
      <c r="O36" s="10" t="s">
        <v>182</v>
      </c>
    </row>
    <row r="37" spans="2:15">
      <c r="O37" s="10"/>
    </row>
    <row r="38" spans="2:15">
      <c r="B38" s="33" t="s">
        <v>54</v>
      </c>
    </row>
    <row r="39" spans="2:15">
      <c r="B39" s="2" t="s">
        <v>174</v>
      </c>
    </row>
    <row r="40" spans="2:15">
      <c r="B40" s="2" t="s">
        <v>289</v>
      </c>
    </row>
    <row r="41" spans="2:15">
      <c r="B41" s="2" t="s">
        <v>179</v>
      </c>
    </row>
    <row r="42" spans="2:15">
      <c r="B42" s="2" t="s">
        <v>183</v>
      </c>
    </row>
    <row r="43" spans="2:15">
      <c r="B43" s="2" t="s">
        <v>186</v>
      </c>
    </row>
    <row r="44" spans="2:15">
      <c r="B44" s="2" t="s">
        <v>187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32"/>
  <sheetViews>
    <sheetView showGridLines="0" workbookViewId="0">
      <pane xSplit="2" topLeftCell="C1" activePane="topRight" state="frozen"/>
      <selection activeCell="B47" sqref="B47"/>
      <selection pane="topRight" activeCell="O8" sqref="O8"/>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1.83203125" style="2" customWidth="1"/>
    <col min="7" max="8" width="18.6640625" style="2" customWidth="1"/>
    <col min="9" max="9" width="19.6640625" style="2" customWidth="1"/>
    <col min="10" max="12" width="16.83203125" style="2" customWidth="1"/>
    <col min="13" max="16" width="16.1640625" style="2" customWidth="1"/>
    <col min="17" max="16384" width="10.83203125" style="2"/>
  </cols>
  <sheetData>
    <row r="2" spans="2:16">
      <c r="B2" s="19" t="s">
        <v>97</v>
      </c>
    </row>
    <row r="3" spans="2:16">
      <c r="B3" s="34" t="s">
        <v>58</v>
      </c>
    </row>
    <row r="6" spans="2:16" s="43" customFormat="1" ht="36">
      <c r="B6" s="28" t="s">
        <v>55</v>
      </c>
      <c r="C6" s="27" t="s">
        <v>413</v>
      </c>
      <c r="D6" s="27" t="s">
        <v>39</v>
      </c>
      <c r="F6" s="27" t="s">
        <v>61</v>
      </c>
      <c r="G6" s="42" t="s">
        <v>15</v>
      </c>
      <c r="H6" s="42" t="s">
        <v>96</v>
      </c>
      <c r="I6" s="27" t="s">
        <v>128</v>
      </c>
      <c r="J6" s="27" t="s">
        <v>62</v>
      </c>
      <c r="K6" s="27" t="s">
        <v>117</v>
      </c>
      <c r="L6" s="27" t="s">
        <v>413</v>
      </c>
      <c r="M6" s="27" t="s">
        <v>39</v>
      </c>
      <c r="N6" s="27" t="s">
        <v>63</v>
      </c>
      <c r="O6" s="27" t="s">
        <v>644</v>
      </c>
      <c r="P6" s="27" t="s">
        <v>39</v>
      </c>
    </row>
    <row r="8" spans="2:16">
      <c r="B8" s="13" t="s">
        <v>57</v>
      </c>
      <c r="C8" s="14">
        <f>D8*C$17</f>
        <v>6000000</v>
      </c>
      <c r="D8" s="29">
        <v>0.6</v>
      </c>
      <c r="F8" s="13">
        <v>0</v>
      </c>
      <c r="G8" s="40">
        <v>0</v>
      </c>
      <c r="H8" s="13">
        <v>0</v>
      </c>
      <c r="I8" s="29">
        <v>0</v>
      </c>
      <c r="J8" s="37">
        <f>G$24</f>
        <v>0</v>
      </c>
      <c r="K8" s="10">
        <f>IFERROR(F8/J8,0)</f>
        <v>0</v>
      </c>
      <c r="L8" s="6">
        <f>K8+C8</f>
        <v>6000000</v>
      </c>
      <c r="M8" s="35">
        <f>IFERROR(L8/L$17,0)</f>
        <v>0.6</v>
      </c>
      <c r="N8" s="4">
        <f>L8*G$24</f>
        <v>0</v>
      </c>
      <c r="O8" s="4">
        <f>IFERROR(F8/(H8/C$17),0)+L8</f>
        <v>6000000</v>
      </c>
      <c r="P8" s="35">
        <f>IFERROR(O8/O$17,0)</f>
        <v>0.48</v>
      </c>
    </row>
    <row r="9" spans="2:16">
      <c r="B9" s="13" t="s">
        <v>57</v>
      </c>
      <c r="C9" s="14">
        <f>D9*C$17</f>
        <v>3000000</v>
      </c>
      <c r="D9" s="29">
        <v>0.3</v>
      </c>
      <c r="F9" s="13">
        <v>0</v>
      </c>
      <c r="G9" s="40">
        <v>0</v>
      </c>
      <c r="H9" s="13">
        <v>0</v>
      </c>
      <c r="I9" s="29">
        <v>0</v>
      </c>
      <c r="J9" s="37">
        <f>G$24</f>
        <v>0</v>
      </c>
      <c r="K9" s="10">
        <f>IFERROR(F9/J9,0)</f>
        <v>0</v>
      </c>
      <c r="L9" s="6">
        <f>K9+C9</f>
        <v>3000000</v>
      </c>
      <c r="M9" s="35">
        <f>IFERROR(L9/L$17,0)</f>
        <v>0.3</v>
      </c>
      <c r="N9" s="4">
        <f>L9*G$24</f>
        <v>0</v>
      </c>
      <c r="O9" s="4">
        <f>IFERROR(F9/(H9/C$17),0)+L9</f>
        <v>3000000</v>
      </c>
      <c r="P9" s="35">
        <f>IFERROR(O9/O$17,0)</f>
        <v>0.24</v>
      </c>
    </row>
    <row r="10" spans="2:16">
      <c r="B10" s="13" t="s">
        <v>59</v>
      </c>
      <c r="C10" s="14">
        <f>D10*C$17</f>
        <v>500000</v>
      </c>
      <c r="D10" s="29">
        <v>0.05</v>
      </c>
      <c r="F10" s="13">
        <v>0</v>
      </c>
      <c r="G10" s="40">
        <v>0</v>
      </c>
      <c r="H10" s="13">
        <v>0</v>
      </c>
      <c r="I10" s="29">
        <v>0</v>
      </c>
      <c r="J10" s="37">
        <f>G$24</f>
        <v>0</v>
      </c>
      <c r="K10" s="10">
        <f>IFERROR(F10/J10,0)</f>
        <v>0</v>
      </c>
      <c r="L10" s="6">
        <f>K10+C10</f>
        <v>500000</v>
      </c>
      <c r="M10" s="35">
        <f>IFERROR(L10/L$17,0)</f>
        <v>0.05</v>
      </c>
      <c r="N10" s="4">
        <f>L10*G$24</f>
        <v>0</v>
      </c>
      <c r="O10" s="4">
        <f>IFERROR(F10/(H10/C$17),0)+L10</f>
        <v>500000</v>
      </c>
      <c r="P10" s="35">
        <f>IFERROR(O10/O$17,0)</f>
        <v>0.04</v>
      </c>
    </row>
    <row r="11" spans="2:16">
      <c r="B11" s="13" t="s">
        <v>59</v>
      </c>
      <c r="C11" s="14">
        <f>D11*C$17</f>
        <v>300000</v>
      </c>
      <c r="D11" s="29">
        <v>0.03</v>
      </c>
      <c r="F11" s="13">
        <v>0</v>
      </c>
      <c r="G11" s="40">
        <v>0</v>
      </c>
      <c r="H11" s="13">
        <v>0</v>
      </c>
      <c r="I11" s="29">
        <v>0</v>
      </c>
      <c r="J11" s="37">
        <f>G$24</f>
        <v>0</v>
      </c>
      <c r="K11" s="10">
        <f>IFERROR(F11/J11,0)</f>
        <v>0</v>
      </c>
      <c r="L11" s="6">
        <f>K11+C11</f>
        <v>300000</v>
      </c>
      <c r="M11" s="35">
        <f>IFERROR(L11/L$17,0)</f>
        <v>0.03</v>
      </c>
      <c r="N11" s="4">
        <f>L11*G$24</f>
        <v>0</v>
      </c>
      <c r="O11" s="4">
        <f>IFERROR(F11/(H11/C$17),0)+L11</f>
        <v>300000</v>
      </c>
      <c r="P11" s="35">
        <f>IFERROR(O11/O$17,0)</f>
        <v>2.4E-2</v>
      </c>
    </row>
    <row r="12" spans="2:16">
      <c r="B12" s="13" t="s">
        <v>59</v>
      </c>
      <c r="C12" s="14">
        <f>D12*C$17</f>
        <v>200000</v>
      </c>
      <c r="D12" s="29">
        <v>0.02</v>
      </c>
      <c r="F12" s="13">
        <v>0</v>
      </c>
      <c r="G12" s="40">
        <v>0</v>
      </c>
      <c r="H12" s="13">
        <v>0</v>
      </c>
      <c r="I12" s="29">
        <v>0</v>
      </c>
      <c r="J12" s="37">
        <f>G$24</f>
        <v>0</v>
      </c>
      <c r="K12" s="10">
        <f>IFERROR(F12/J12,0)</f>
        <v>0</v>
      </c>
      <c r="L12" s="6">
        <f>K12+C12</f>
        <v>200000</v>
      </c>
      <c r="M12" s="35">
        <f>IFERROR(L12/L$17,0)</f>
        <v>0.02</v>
      </c>
      <c r="N12" s="4">
        <f>L12*G$24</f>
        <v>0</v>
      </c>
      <c r="O12" s="4">
        <f>IFERROR(F12/(H12/C$17),0)+L12</f>
        <v>200000</v>
      </c>
      <c r="P12" s="35">
        <f>IFERROR(O12/O$17,0)</f>
        <v>1.6E-2</v>
      </c>
    </row>
    <row r="13" spans="2:16">
      <c r="D13" s="36"/>
      <c r="G13" s="41"/>
    </row>
    <row r="14" spans="2:16">
      <c r="B14" s="13" t="s">
        <v>60</v>
      </c>
      <c r="C14" s="14">
        <f>D14*C$17</f>
        <v>0</v>
      </c>
      <c r="D14" s="29">
        <v>0</v>
      </c>
      <c r="F14" s="13">
        <v>500000</v>
      </c>
      <c r="G14" s="40">
        <v>0.2</v>
      </c>
      <c r="H14" s="13">
        <v>3000000</v>
      </c>
      <c r="I14" s="29">
        <v>0.08</v>
      </c>
      <c r="J14" s="37">
        <f>G$24</f>
        <v>0</v>
      </c>
      <c r="K14" s="4">
        <f>IFERROR(F14/J14,0)</f>
        <v>0</v>
      </c>
      <c r="L14" s="6">
        <f>K14+C14</f>
        <v>0</v>
      </c>
      <c r="M14" s="35">
        <f>IFERROR(L14/L$17,0)</f>
        <v>0</v>
      </c>
      <c r="N14" s="4">
        <f>L14*G$24</f>
        <v>0</v>
      </c>
      <c r="O14" s="4">
        <f>IFERROR(F14/(H14/C$17),0)+L14</f>
        <v>1666666.6666666667</v>
      </c>
      <c r="P14" s="35">
        <f>IFERROR(O14/O$17,0)</f>
        <v>0.13333333333333333</v>
      </c>
    </row>
    <row r="15" spans="2:16">
      <c r="B15" s="13" t="s">
        <v>64</v>
      </c>
      <c r="C15" s="14">
        <f>D15*C$17</f>
        <v>0</v>
      </c>
      <c r="D15" s="29">
        <v>0</v>
      </c>
      <c r="F15" s="13">
        <v>250000</v>
      </c>
      <c r="G15" s="40">
        <v>0.2</v>
      </c>
      <c r="H15" s="13">
        <v>3000000</v>
      </c>
      <c r="I15" s="29">
        <v>0.08</v>
      </c>
      <c r="J15" s="37">
        <f>G$24</f>
        <v>0</v>
      </c>
      <c r="K15" s="4">
        <f>IFERROR(F15/J15,0)</f>
        <v>0</v>
      </c>
      <c r="L15" s="6">
        <f>K15+C15</f>
        <v>0</v>
      </c>
      <c r="M15" s="35">
        <f>IFERROR(L15/L$17,0)</f>
        <v>0</v>
      </c>
      <c r="N15" s="4">
        <f>L15*G$24</f>
        <v>0</v>
      </c>
      <c r="O15" s="4">
        <f>IFERROR(F15/(H15/C$17),0)+L15</f>
        <v>833333.33333333337</v>
      </c>
      <c r="P15" s="35">
        <f>IFERROR(O15/O$17,0)</f>
        <v>6.6666666666666666E-2</v>
      </c>
    </row>
    <row r="16" spans="2:16">
      <c r="D16" s="36"/>
      <c r="O16" s="4"/>
      <c r="P16" s="35">
        <f>IFERROR(O16/O$17,0)</f>
        <v>0</v>
      </c>
    </row>
    <row r="17" spans="2:16">
      <c r="B17" s="38" t="s">
        <v>20</v>
      </c>
      <c r="C17" s="12">
        <v>10000000</v>
      </c>
      <c r="D17" s="39">
        <f>SUM(D8:D12,D14:D15)</f>
        <v>1</v>
      </c>
      <c r="F17" s="8">
        <f>SUM(F8:F12,F14:F15)</f>
        <v>750000</v>
      </c>
      <c r="G17" s="38"/>
      <c r="H17" s="38"/>
      <c r="I17" s="38"/>
      <c r="J17" s="38"/>
      <c r="K17" s="8">
        <f t="shared" ref="K17:P17" si="0">SUM(K8:K12,K14:K15)</f>
        <v>0</v>
      </c>
      <c r="L17" s="8">
        <f t="shared" si="0"/>
        <v>10000000</v>
      </c>
      <c r="M17" s="39">
        <f t="shared" si="0"/>
        <v>1</v>
      </c>
      <c r="N17" s="8">
        <f t="shared" si="0"/>
        <v>0</v>
      </c>
      <c r="O17" s="8">
        <f t="shared" si="0"/>
        <v>12500000</v>
      </c>
      <c r="P17" s="39">
        <f t="shared" si="0"/>
        <v>1</v>
      </c>
    </row>
    <row r="20" spans="2:16">
      <c r="F20" s="34" t="s">
        <v>65</v>
      </c>
    </row>
    <row r="21" spans="2:16">
      <c r="F21" s="2" t="s">
        <v>67</v>
      </c>
      <c r="G21" s="6">
        <f>F17</f>
        <v>750000</v>
      </c>
    </row>
    <row r="22" spans="2:16">
      <c r="F22" s="2" t="s">
        <v>66</v>
      </c>
      <c r="G22" s="13">
        <v>0</v>
      </c>
      <c r="H22" s="10" t="s">
        <v>78</v>
      </c>
    </row>
    <row r="23" spans="2:16">
      <c r="F23" s="2" t="s">
        <v>103</v>
      </c>
      <c r="G23" s="6">
        <f>IF(G22=0,0,G22+G21)</f>
        <v>0</v>
      </c>
    </row>
    <row r="24" spans="2:16">
      <c r="F24" s="2" t="s">
        <v>62</v>
      </c>
      <c r="G24" s="37">
        <f>G22/C17</f>
        <v>0</v>
      </c>
    </row>
    <row r="25" spans="2:16">
      <c r="F25" s="2" t="s">
        <v>94</v>
      </c>
      <c r="G25" s="5">
        <f>IFERROR(G21/G23,0)</f>
        <v>0</v>
      </c>
    </row>
    <row r="27" spans="2:16">
      <c r="B27" s="33" t="s">
        <v>54</v>
      </c>
    </row>
    <row r="29" spans="2:16">
      <c r="B29" s="2" t="s">
        <v>98</v>
      </c>
    </row>
    <row r="30" spans="2:16">
      <c r="B30" s="2" t="s">
        <v>99</v>
      </c>
    </row>
    <row r="31" spans="2:16">
      <c r="B31" s="2" t="s">
        <v>127</v>
      </c>
    </row>
    <row r="32" spans="2:16">
      <c r="B32" s="2" t="s">
        <v>645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AD48"/>
  <sheetViews>
    <sheetView showGridLines="0" topLeftCell="A4" workbookViewId="0">
      <pane xSplit="2" topLeftCell="O1" activePane="topRight" state="frozen"/>
      <selection activeCell="B47" sqref="B47"/>
      <selection pane="topRight" activeCell="T16" sqref="T16"/>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7.83203125" style="2" customWidth="1"/>
    <col min="7" max="9" width="18.6640625" style="2" customWidth="1"/>
    <col min="10" max="16" width="16.83203125" style="2" customWidth="1"/>
    <col min="17" max="17" width="10.83203125" style="2"/>
    <col min="18" max="18" width="29.1640625" style="2" customWidth="1"/>
    <col min="19" max="19" width="18.1640625" style="2" customWidth="1"/>
    <col min="20" max="35" width="16.83203125" style="2" customWidth="1"/>
    <col min="36" max="16384" width="10.83203125" style="2"/>
  </cols>
  <sheetData>
    <row r="2" spans="2:30">
      <c r="B2" s="19" t="s">
        <v>133</v>
      </c>
    </row>
    <row r="3" spans="2:30">
      <c r="B3" s="34" t="s">
        <v>58</v>
      </c>
    </row>
    <row r="6" spans="2:30" s="43" customFormat="1" ht="54">
      <c r="B6" s="28" t="s">
        <v>55</v>
      </c>
      <c r="C6" s="27" t="s">
        <v>413</v>
      </c>
      <c r="D6" s="27" t="s">
        <v>39</v>
      </c>
      <c r="F6" s="27" t="s">
        <v>61</v>
      </c>
      <c r="G6" s="42" t="s">
        <v>15</v>
      </c>
      <c r="H6" s="42" t="s">
        <v>96</v>
      </c>
      <c r="I6" s="27" t="s">
        <v>128</v>
      </c>
      <c r="J6" s="27" t="s">
        <v>62</v>
      </c>
      <c r="K6" s="27" t="s">
        <v>117</v>
      </c>
      <c r="L6" s="27" t="s">
        <v>413</v>
      </c>
      <c r="M6" s="27" t="s">
        <v>660</v>
      </c>
      <c r="N6" s="27" t="s">
        <v>63</v>
      </c>
      <c r="O6" s="27" t="s">
        <v>641</v>
      </c>
      <c r="P6" s="27" t="s">
        <v>659</v>
      </c>
      <c r="R6" s="27" t="s">
        <v>61</v>
      </c>
      <c r="S6" s="42" t="s">
        <v>100</v>
      </c>
      <c r="T6" s="42" t="s">
        <v>101</v>
      </c>
      <c r="U6" s="42" t="s">
        <v>102</v>
      </c>
      <c r="V6" s="42" t="s">
        <v>148</v>
      </c>
      <c r="W6" s="27" t="s">
        <v>143</v>
      </c>
      <c r="X6" s="27" t="s">
        <v>144</v>
      </c>
      <c r="Y6" s="27" t="s">
        <v>117</v>
      </c>
      <c r="Z6" s="27" t="s">
        <v>413</v>
      </c>
      <c r="AA6" s="27" t="s">
        <v>660</v>
      </c>
      <c r="AB6" s="27" t="s">
        <v>63</v>
      </c>
      <c r="AC6" s="27" t="s">
        <v>642</v>
      </c>
      <c r="AD6" s="27" t="s">
        <v>659</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IFERROR(F8/(H8/C$18),0)+L8</f>
        <v>6000000</v>
      </c>
      <c r="P8" s="35">
        <f>IFERROR(O8/O$18,0)</f>
        <v>0.55491329479768781</v>
      </c>
      <c r="R8" s="137">
        <v>0</v>
      </c>
      <c r="S8" s="6">
        <f>F8</f>
        <v>0</v>
      </c>
      <c r="T8" s="4">
        <f ca="1">FV(I8/12,DATEDIF(G$29,S$29,"m"),0,-S8)-S8</f>
        <v>0</v>
      </c>
      <c r="U8" s="6">
        <f ca="1">T8+S8</f>
        <v>0</v>
      </c>
      <c r="V8" s="6">
        <f ca="1">IFERROR(U8/(1-(MAX(G8,(S$28-H8/L$18)/S$28))),0)</f>
        <v>0</v>
      </c>
      <c r="W8" s="37">
        <f>S$28</f>
        <v>1.2</v>
      </c>
      <c r="X8" s="37">
        <f ca="1">IF(U8=0,0,IF(H8&lt;&gt;0,MIN(W8*(1-G8),H8/L$18),W8*(1-G8)))</f>
        <v>0</v>
      </c>
      <c r="Y8" s="4">
        <f ca="1">IFERROR(R8/W8,0)+IFERROR(U8/X8,0)</f>
        <v>0</v>
      </c>
      <c r="Z8" s="6">
        <f ca="1">Y8+L8</f>
        <v>6000000</v>
      </c>
      <c r="AA8" s="35">
        <f ca="1">IFERROR(Z8/Z$18,0)</f>
        <v>0.44645492642301393</v>
      </c>
      <c r="AB8" s="4">
        <f ca="1">Z8*S$28</f>
        <v>7200000</v>
      </c>
      <c r="AC8" s="4">
        <f ca="1">Z8</f>
        <v>6000000</v>
      </c>
      <c r="AD8" s="35">
        <f ca="1">IFERROR(AC8/AC$18,0)</f>
        <v>0.44645492642301393</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IFERROR(F9/(H9/C$18),0)+L9</f>
        <v>3000000</v>
      </c>
      <c r="P9" s="35">
        <f>IFERROR(O9/O$18,0)</f>
        <v>0.2774566473988439</v>
      </c>
      <c r="R9" s="137">
        <v>0</v>
      </c>
      <c r="S9" s="6">
        <f>F9</f>
        <v>0</v>
      </c>
      <c r="T9" s="4">
        <f t="shared" ref="T9:T16" ca="1" si="0">FV(I9/12,DATEDIF(G$29,S$29,"m"),0,-S9)-S9</f>
        <v>0</v>
      </c>
      <c r="U9" s="6">
        <f ca="1">T9+S9</f>
        <v>0</v>
      </c>
      <c r="V9" s="6">
        <f ca="1">IFERROR(U9/(1-(MAX(G9,(S$28-H9/L$18)/S$28))),0)</f>
        <v>0</v>
      </c>
      <c r="W9" s="37">
        <f>S$28</f>
        <v>1.2</v>
      </c>
      <c r="X9" s="37">
        <f ca="1">IF(U9=0,0,IF(H9&lt;&gt;0,MIN(W9*(1-G9),H9/L$18),W9*(1-G9)))</f>
        <v>0</v>
      </c>
      <c r="Y9" s="4">
        <f ca="1">IFERROR(R9/W9,0)+IFERROR(U9/X9,0)</f>
        <v>0</v>
      </c>
      <c r="Z9" s="6">
        <f ca="1">Y9+L9</f>
        <v>3000000</v>
      </c>
      <c r="AA9" s="35">
        <f ca="1">IFERROR(Z9/Z$18,0)</f>
        <v>0.22322746321150697</v>
      </c>
      <c r="AB9" s="4">
        <f ca="1">Z9*S$28</f>
        <v>3600000</v>
      </c>
      <c r="AC9" s="4">
        <f ca="1">Z9</f>
        <v>3000000</v>
      </c>
      <c r="AD9" s="35">
        <f ca="1">IFERROR(AC9/AC$18,0)</f>
        <v>0.22322746321150697</v>
      </c>
    </row>
    <row r="10" spans="2:30">
      <c r="B10" s="137" t="s">
        <v>59</v>
      </c>
      <c r="C10" s="14">
        <f>D10*C$18</f>
        <v>500000</v>
      </c>
      <c r="D10" s="277">
        <v>0.05</v>
      </c>
      <c r="F10" s="137">
        <v>0</v>
      </c>
      <c r="G10" s="276">
        <v>0</v>
      </c>
      <c r="H10" s="137">
        <v>0</v>
      </c>
      <c r="I10" s="277">
        <v>0</v>
      </c>
      <c r="J10" s="37">
        <f>G$28</f>
        <v>0</v>
      </c>
      <c r="K10" s="10">
        <f>IFERROR(F10/J10,0)</f>
        <v>0</v>
      </c>
      <c r="L10" s="6">
        <f>K10+C10</f>
        <v>500000</v>
      </c>
      <c r="M10" s="35">
        <f>IFERROR(L10/L$18,0)</f>
        <v>0.05</v>
      </c>
      <c r="N10" s="4">
        <f>L10*G$28</f>
        <v>0</v>
      </c>
      <c r="O10" s="4">
        <f>IFERROR(F10/(H10/C$18),0)+L10</f>
        <v>500000</v>
      </c>
      <c r="P10" s="35">
        <f>IFERROR(O10/O$18,0)</f>
        <v>4.6242774566473986E-2</v>
      </c>
      <c r="R10" s="137">
        <v>0</v>
      </c>
      <c r="S10" s="6">
        <f>F10</f>
        <v>0</v>
      </c>
      <c r="T10" s="4">
        <f t="shared" ca="1" si="0"/>
        <v>0</v>
      </c>
      <c r="U10" s="6">
        <f ca="1">T10+S10</f>
        <v>0</v>
      </c>
      <c r="V10" s="6">
        <f ca="1">IFERROR(U10/(1-(MAX(G10,(S$28-H10/L$18)/S$28))),0)</f>
        <v>0</v>
      </c>
      <c r="W10" s="37">
        <f>S$28</f>
        <v>1.2</v>
      </c>
      <c r="X10" s="37">
        <f ca="1">IF(U10=0,0,IF(H10&lt;&gt;0,MIN(W10*(1-G10),H10/L$18),W10*(1-G10)))</f>
        <v>0</v>
      </c>
      <c r="Y10" s="4">
        <f ca="1">IFERROR(R10/W10,0)+IFERROR(U10/X10,0)</f>
        <v>0</v>
      </c>
      <c r="Z10" s="6">
        <f ca="1">Y10+L10</f>
        <v>500000</v>
      </c>
      <c r="AA10" s="35">
        <f ca="1">IFERROR(Z10/Z$18,0)</f>
        <v>3.7204577201917825E-2</v>
      </c>
      <c r="AB10" s="4">
        <f ca="1">Z10*S$28</f>
        <v>600000</v>
      </c>
      <c r="AC10" s="4">
        <f ca="1">Z10</f>
        <v>500000</v>
      </c>
      <c r="AD10" s="35">
        <f ca="1">IFERROR(AC10/AC$18,0)</f>
        <v>3.7204577201917825E-2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IFERROR(F11/(H11/C$18),0)+L11</f>
        <v>300000</v>
      </c>
      <c r="P11" s="35">
        <f>IFERROR(O11/O$18,0)</f>
        <v>2.7745664739884393E-2</v>
      </c>
      <c r="R11" s="137">
        <v>0</v>
      </c>
      <c r="S11" s="6">
        <f>F11</f>
        <v>0</v>
      </c>
      <c r="T11" s="4">
        <f t="shared" ca="1" si="0"/>
        <v>0</v>
      </c>
      <c r="U11" s="6">
        <f ca="1">T11+S11</f>
        <v>0</v>
      </c>
      <c r="V11" s="6">
        <f ca="1">IFERROR(U11/(1-(MAX(G11,(S$28-H11/L$18)/S$28))),0)</f>
        <v>0</v>
      </c>
      <c r="W11" s="37">
        <f>S$28</f>
        <v>1.2</v>
      </c>
      <c r="X11" s="37">
        <f ca="1">IF(U11=0,0,IF(H11&lt;&gt;0,MIN(W11*(1-G11),H11/L$18),W11*(1-G11)))</f>
        <v>0</v>
      </c>
      <c r="Y11" s="4">
        <f ca="1">IFERROR(R11/W11,0)+IFERROR(U11/X11,0)</f>
        <v>0</v>
      </c>
      <c r="Z11" s="6">
        <f ca="1">Y11+L11</f>
        <v>300000</v>
      </c>
      <c r="AA11" s="35">
        <f ca="1">IFERROR(Z11/Z$18,0)</f>
        <v>2.2322746321150697E-2</v>
      </c>
      <c r="AB11" s="4">
        <f ca="1">Z11*S$28</f>
        <v>360000</v>
      </c>
      <c r="AC11" s="4">
        <f ca="1">Z11</f>
        <v>300000</v>
      </c>
      <c r="AD11" s="35">
        <f ca="1">IFERROR(AC11/AC$18,0)</f>
        <v>2.2322746321150697E-2</v>
      </c>
    </row>
    <row r="12" spans="2:30">
      <c r="B12" s="137" t="s">
        <v>59</v>
      </c>
      <c r="C12" s="14">
        <f>D12*C$18</f>
        <v>200000</v>
      </c>
      <c r="D12" s="277">
        <v>0.02</v>
      </c>
      <c r="F12" s="137">
        <v>0</v>
      </c>
      <c r="G12" s="276">
        <v>0</v>
      </c>
      <c r="H12" s="137">
        <v>0</v>
      </c>
      <c r="I12" s="277">
        <v>0</v>
      </c>
      <c r="J12" s="37">
        <f>G$28</f>
        <v>0</v>
      </c>
      <c r="K12" s="10">
        <f>IFERROR(F12/J12,0)</f>
        <v>0</v>
      </c>
      <c r="L12" s="6">
        <f>K12+C12</f>
        <v>200000</v>
      </c>
      <c r="M12" s="35">
        <f>IFERROR(L12/L$18,0)</f>
        <v>0.02</v>
      </c>
      <c r="N12" s="4">
        <f>L12*G$28</f>
        <v>0</v>
      </c>
      <c r="O12" s="4">
        <f>IFERROR(F12/(H12/C$18),0)+L12</f>
        <v>200000</v>
      </c>
      <c r="P12" s="35">
        <f>IFERROR(O12/O$18,0)</f>
        <v>1.8497109826589597E-2</v>
      </c>
      <c r="R12" s="137">
        <v>0</v>
      </c>
      <c r="S12" s="6">
        <f>F12</f>
        <v>0</v>
      </c>
      <c r="T12" s="4">
        <f t="shared" ca="1" si="0"/>
        <v>0</v>
      </c>
      <c r="U12" s="6">
        <f ca="1">T12+S12</f>
        <v>0</v>
      </c>
      <c r="V12" s="6">
        <f ca="1">IFERROR(U12/(1-(MAX(G12,(S$28-H12/L$18)/S$28))),0)</f>
        <v>0</v>
      </c>
      <c r="W12" s="37">
        <f>S$28</f>
        <v>1.2</v>
      </c>
      <c r="X12" s="37">
        <f ca="1">IF(U12=0,0,IF(H12&lt;&gt;0,MIN(W12*(1-G12),H12/L$18),W12*(1-G12)))</f>
        <v>0</v>
      </c>
      <c r="Y12" s="4">
        <f ca="1">IFERROR(R12/W12,0)+IFERROR(U12/X12,0)</f>
        <v>0</v>
      </c>
      <c r="Z12" s="6">
        <f ca="1">Y12+L12</f>
        <v>200000</v>
      </c>
      <c r="AA12" s="35">
        <f ca="1">IFERROR(Z12/Z$18,0)</f>
        <v>1.4881830880767132E-2</v>
      </c>
      <c r="AB12" s="4">
        <f ca="1">Z12*S$28</f>
        <v>240000</v>
      </c>
      <c r="AC12" s="4">
        <f ca="1">Z12</f>
        <v>200000</v>
      </c>
      <c r="AD12" s="35">
        <f ca="1">IFERROR(AC12/AC$18,0)</f>
        <v>1.4881830880767132E-2</v>
      </c>
    </row>
    <row r="13" spans="2:30">
      <c r="D13" s="36"/>
      <c r="G13" s="41"/>
    </row>
    <row r="14" spans="2:30">
      <c r="B14" s="137" t="s">
        <v>60</v>
      </c>
      <c r="C14" s="14">
        <f>D14*C$18</f>
        <v>0</v>
      </c>
      <c r="D14" s="277">
        <v>0</v>
      </c>
      <c r="F14" s="137">
        <v>500000</v>
      </c>
      <c r="G14" s="276">
        <v>0.2</v>
      </c>
      <c r="H14" s="137">
        <v>10000000</v>
      </c>
      <c r="I14" s="277">
        <v>0.08</v>
      </c>
      <c r="J14" s="37">
        <f>G$28</f>
        <v>0</v>
      </c>
      <c r="K14" s="4">
        <f>IFERROR(F14/J14,0)</f>
        <v>0</v>
      </c>
      <c r="L14" s="6">
        <f>K14+C14</f>
        <v>0</v>
      </c>
      <c r="M14" s="35">
        <f>IFERROR(L14/L$18,0)</f>
        <v>0</v>
      </c>
      <c r="N14" s="4">
        <f>L14*G$28</f>
        <v>0</v>
      </c>
      <c r="O14" s="4">
        <f>IFERROR(F14/(H14/C$18),0)+L14</f>
        <v>500000</v>
      </c>
      <c r="P14" s="35">
        <f>IFERROR(O14/O$18,0)</f>
        <v>4.6242774566473986E-2</v>
      </c>
      <c r="R14" s="137">
        <v>0</v>
      </c>
      <c r="S14" s="6">
        <f>F14</f>
        <v>500000</v>
      </c>
      <c r="T14" s="4">
        <f t="shared" ca="1" si="0"/>
        <v>63523.968350204988</v>
      </c>
      <c r="U14" s="6">
        <f ca="1">T14+S14</f>
        <v>563523.96835020499</v>
      </c>
      <c r="V14" s="6">
        <f ca="1">IFERROR(U14/(1-(MAX(G14,(S$28-H14/L$18)/S$28))),0)</f>
        <v>704404.96043775615</v>
      </c>
      <c r="W14" s="37">
        <f>S$28</f>
        <v>1.2</v>
      </c>
      <c r="X14" s="37">
        <f ca="1">IF(U14=0,0,IF(H14&lt;&gt;0,MIN(W14*(1-G14),H14/L$18),W14*(1-G14)))</f>
        <v>0.96</v>
      </c>
      <c r="Y14" s="4">
        <f ca="1">IFERROR(R14/W14,0)+IFERROR(U14/X14,0)</f>
        <v>587004.13369813026</v>
      </c>
      <c r="Z14" s="6">
        <f ca="1">Y14+L14</f>
        <v>587004.13369813026</v>
      </c>
      <c r="AA14" s="35">
        <f ca="1">IFERROR(Z14/Z$18,0)</f>
        <v>4.3678481220033961E-2</v>
      </c>
      <c r="AB14" s="4">
        <f ca="1">Z14*S$28</f>
        <v>704404.96043775626</v>
      </c>
      <c r="AC14" s="4">
        <f ca="1">Z14</f>
        <v>587004.13369813026</v>
      </c>
      <c r="AD14" s="35">
        <f ca="1">IFERROR(AC14/AC$18,0)</f>
        <v>4.3678481220033961E-2</v>
      </c>
    </row>
    <row r="15" spans="2:30">
      <c r="B15" s="137" t="s">
        <v>64</v>
      </c>
      <c r="C15" s="14">
        <f>D15*C$18</f>
        <v>0</v>
      </c>
      <c r="D15" s="277">
        <v>0</v>
      </c>
      <c r="F15" s="137">
        <v>250000</v>
      </c>
      <c r="G15" s="276">
        <v>0.2</v>
      </c>
      <c r="H15" s="137">
        <v>8000000</v>
      </c>
      <c r="I15" s="277">
        <v>0.08</v>
      </c>
      <c r="J15" s="37">
        <f>G$28</f>
        <v>0</v>
      </c>
      <c r="K15" s="4">
        <f>IFERROR(F15/J15,0)</f>
        <v>0</v>
      </c>
      <c r="L15" s="6">
        <f>K15+C15</f>
        <v>0</v>
      </c>
      <c r="M15" s="35">
        <f>IFERROR(L15/L$18,0)</f>
        <v>0</v>
      </c>
      <c r="N15" s="4">
        <f>L15*G$28</f>
        <v>0</v>
      </c>
      <c r="O15" s="4">
        <f>IFERROR(F15/(H15/C$18),0)+L15</f>
        <v>312500</v>
      </c>
      <c r="P15" s="35">
        <f>IFERROR(O15/O$18,0)</f>
        <v>2.8901734104046242E-2</v>
      </c>
      <c r="R15" s="137">
        <v>0</v>
      </c>
      <c r="S15" s="6">
        <f>F15</f>
        <v>250000</v>
      </c>
      <c r="T15" s="4">
        <f t="shared" ca="1" si="0"/>
        <v>31761.984175102494</v>
      </c>
      <c r="U15" s="6">
        <f ca="1">T15+S15</f>
        <v>281761.98417510249</v>
      </c>
      <c r="V15" s="6">
        <f ca="1">IFERROR(U15/(1-(MAX(G15,(S$28-H15/L$18)/S$28))),0)</f>
        <v>422642.97626265371</v>
      </c>
      <c r="W15" s="37">
        <f>S$28</f>
        <v>1.2</v>
      </c>
      <c r="X15" s="37">
        <f ca="1">IF(U15=0,0,IF(H15&lt;&gt;0,MIN(W15*(1-G15),H15/L$18),W15*(1-G15)))</f>
        <v>0.8</v>
      </c>
      <c r="Y15" s="4">
        <f ca="1">IFERROR(R15/W15,0)+IFERROR(U15/X15,0)</f>
        <v>352202.48021887807</v>
      </c>
      <c r="Z15" s="6">
        <f ca="1">Y15+L15</f>
        <v>352202.48021887807</v>
      </c>
      <c r="AA15" s="35">
        <f ca="1">IFERROR(Z15/Z$18,0)</f>
        <v>2.6207088732020371E-2</v>
      </c>
      <c r="AB15" s="4">
        <f ca="1">Z15*S$28</f>
        <v>422642.97626265365</v>
      </c>
      <c r="AC15" s="4">
        <f ca="1">Z15</f>
        <v>352202.48021887807</v>
      </c>
      <c r="AD15" s="35">
        <f ca="1">IFERROR(AC15/AC$18,0)</f>
        <v>2.6207088732020371E-2</v>
      </c>
    </row>
    <row r="16" spans="2:30">
      <c r="B16" s="137" t="s">
        <v>91</v>
      </c>
      <c r="C16" s="14">
        <f>D16*C$18</f>
        <v>0</v>
      </c>
      <c r="D16" s="277">
        <v>0</v>
      </c>
      <c r="F16" s="137">
        <v>0</v>
      </c>
      <c r="G16" s="276">
        <v>0</v>
      </c>
      <c r="H16" s="137">
        <v>0</v>
      </c>
      <c r="I16" s="277">
        <v>0</v>
      </c>
      <c r="J16" s="37">
        <f>G$28</f>
        <v>0</v>
      </c>
      <c r="K16" s="4">
        <f>IFERROR(F16/J16,0)</f>
        <v>0</v>
      </c>
      <c r="L16" s="6">
        <f>K16+C16</f>
        <v>0</v>
      </c>
      <c r="M16" s="35">
        <f>IFERROR(L16/L$18,0)</f>
        <v>0</v>
      </c>
      <c r="N16" s="4">
        <f>L16*G$28</f>
        <v>0</v>
      </c>
      <c r="O16" s="4">
        <f>IFERROR(F16/(H16/C$18),0)+L16</f>
        <v>0</v>
      </c>
      <c r="P16" s="35">
        <f>IFERROR(O16/O$18,0)</f>
        <v>0</v>
      </c>
      <c r="R16" s="137">
        <v>3000000</v>
      </c>
      <c r="S16" s="6">
        <f>F16</f>
        <v>0</v>
      </c>
      <c r="T16" s="4">
        <f t="shared" ca="1" si="0"/>
        <v>0</v>
      </c>
      <c r="U16" s="6">
        <f ca="1">T16+S16</f>
        <v>0</v>
      </c>
      <c r="V16" s="6">
        <f ca="1">IFERROR(U16/(1-(MAX(G16,(S$28-H16/L$18)/S$28))),0)</f>
        <v>0</v>
      </c>
      <c r="W16" s="37">
        <f>S$28</f>
        <v>1.2</v>
      </c>
      <c r="X16" s="37">
        <f ca="1">IF(U16=0,0,IF(H16&lt;&gt;0,MIN(W16*(1-G16),H16/L$18),W16*(1-G16)))</f>
        <v>0</v>
      </c>
      <c r="Y16" s="4">
        <f ca="1">IFERROR(R16/W16,0)+IFERROR(U16/X16,0)</f>
        <v>2500000</v>
      </c>
      <c r="Z16" s="6">
        <f ca="1">Y16+L16</f>
        <v>2500000</v>
      </c>
      <c r="AA16" s="35">
        <f ca="1">IFERROR(Z16/Z$18,0)</f>
        <v>0.18602288600958913</v>
      </c>
      <c r="AB16" s="4">
        <f ca="1">Z16*S$28</f>
        <v>3000000</v>
      </c>
      <c r="AC16" s="4">
        <f ca="1">Z16</f>
        <v>2500000</v>
      </c>
      <c r="AD16" s="35">
        <f ca="1">IFERROR(AC16/AC$18,0)</f>
        <v>0.18602288600958913</v>
      </c>
    </row>
    <row r="17" spans="2:30">
      <c r="D17" s="36"/>
    </row>
    <row r="18" spans="2:30">
      <c r="B18" s="38" t="s">
        <v>20</v>
      </c>
      <c r="C18" s="278">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95285.952525307483</v>
      </c>
      <c r="U18" s="8">
        <f ca="1">SUM(U8:U12,U14:U16)</f>
        <v>845285.95252530742</v>
      </c>
      <c r="V18" s="8">
        <f ca="1">SUM(V8:V12,V14:V16)</f>
        <v>1127047.9367004097</v>
      </c>
      <c r="W18" s="45"/>
      <c r="X18" s="45" t="s">
        <v>145</v>
      </c>
      <c r="Y18" s="8">
        <f t="shared" ref="Y18:AD18" ca="1" si="1">SUM(Y8:Y12,Y14:Y16)</f>
        <v>3439206.613917008</v>
      </c>
      <c r="Z18" s="8">
        <f t="shared" ca="1" si="1"/>
        <v>13439206.613917008</v>
      </c>
      <c r="AA18" s="39">
        <f t="shared" ca="1" si="1"/>
        <v>1</v>
      </c>
      <c r="AB18" s="8">
        <f t="shared" ca="1" si="1"/>
        <v>16127047.936700409</v>
      </c>
      <c r="AC18" s="8">
        <f t="shared" ca="1" si="1"/>
        <v>13439206.613917008</v>
      </c>
      <c r="AD18" s="39">
        <f t="shared" ca="1" si="1"/>
        <v>1</v>
      </c>
    </row>
    <row r="19" spans="2:30">
      <c r="V19" s="46" t="s">
        <v>151</v>
      </c>
    </row>
    <row r="21" spans="2:30">
      <c r="F21" s="34" t="s">
        <v>65</v>
      </c>
      <c r="R21" s="34" t="s">
        <v>89</v>
      </c>
    </row>
    <row r="22" spans="2:30">
      <c r="F22" s="2" t="s">
        <v>67</v>
      </c>
      <c r="G22" s="6">
        <f>F18</f>
        <v>750000</v>
      </c>
      <c r="R22" s="2" t="s">
        <v>67</v>
      </c>
      <c r="S22" s="6">
        <f>R18</f>
        <v>3000000</v>
      </c>
      <c r="T22" s="10"/>
    </row>
    <row r="23" spans="2:30">
      <c r="F23" s="2" t="s">
        <v>100</v>
      </c>
      <c r="G23" s="6">
        <v>0</v>
      </c>
      <c r="R23" s="2" t="s">
        <v>100</v>
      </c>
      <c r="S23" s="6">
        <f ca="1">U18</f>
        <v>845285.95252530742</v>
      </c>
      <c r="T23" s="10" t="s">
        <v>135</v>
      </c>
    </row>
    <row r="24" spans="2:30">
      <c r="F24" s="2" t="s">
        <v>148</v>
      </c>
      <c r="G24" s="6">
        <v>0</v>
      </c>
      <c r="R24" s="2" t="s">
        <v>148</v>
      </c>
      <c r="S24" s="6">
        <f ca="1">V18</f>
        <v>1127047.9367004097</v>
      </c>
      <c r="T24" s="10" t="s">
        <v>151</v>
      </c>
    </row>
    <row r="25" spans="2:30">
      <c r="F25" s="2" t="s">
        <v>66</v>
      </c>
      <c r="G25" s="137">
        <v>0</v>
      </c>
      <c r="H25" s="10"/>
      <c r="R25" s="2" t="s">
        <v>66</v>
      </c>
      <c r="S25" s="137">
        <v>12000000</v>
      </c>
    </row>
    <row r="26" spans="2:30">
      <c r="F26" s="2" t="s">
        <v>103</v>
      </c>
      <c r="G26" s="14">
        <f>IF(G25=0,0,G25+G22)</f>
        <v>0</v>
      </c>
      <c r="H26" s="10"/>
      <c r="R26" s="2" t="s">
        <v>103</v>
      </c>
      <c r="S26" s="6">
        <f ca="1">S25+S22+S23</f>
        <v>15845285.952525306</v>
      </c>
      <c r="T26" s="10" t="s">
        <v>79</v>
      </c>
    </row>
    <row r="27" spans="2:30">
      <c r="F27" s="2" t="s">
        <v>152</v>
      </c>
      <c r="G27" s="6">
        <f>G26</f>
        <v>0</v>
      </c>
      <c r="R27" s="2" t="s">
        <v>152</v>
      </c>
      <c r="S27" s="6">
        <f ca="1">S25+S22+S24</f>
        <v>16127047.936700409</v>
      </c>
      <c r="T27" s="10"/>
    </row>
    <row r="28" spans="2:30">
      <c r="F28" s="2" t="s">
        <v>62</v>
      </c>
      <c r="G28" s="37">
        <f>G25/C18</f>
        <v>0</v>
      </c>
      <c r="R28" s="2" t="s">
        <v>62</v>
      </c>
      <c r="S28" s="37">
        <f>S25/L18</f>
        <v>1.2</v>
      </c>
      <c r="T28" s="10" t="s">
        <v>146</v>
      </c>
    </row>
    <row r="29" spans="2:30">
      <c r="F29" s="2" t="s">
        <v>40</v>
      </c>
      <c r="G29" s="25">
        <f ca="1">EDATE(TODAY(),-18)</f>
        <v>43272</v>
      </c>
      <c r="H29" s="10" t="s">
        <v>134</v>
      </c>
      <c r="R29" s="2" t="s">
        <v>40</v>
      </c>
      <c r="S29" s="25">
        <f ca="1">TODAY()</f>
        <v>43820</v>
      </c>
      <c r="T29" s="10" t="s">
        <v>134</v>
      </c>
    </row>
    <row r="31" spans="2:30">
      <c r="B31" s="33" t="s">
        <v>54</v>
      </c>
    </row>
    <row r="33" spans="2:2">
      <c r="B33" s="2" t="s">
        <v>129</v>
      </c>
    </row>
    <row r="34" spans="2:2">
      <c r="B34" s="2" t="s">
        <v>130</v>
      </c>
    </row>
    <row r="35" spans="2:2">
      <c r="B35" s="2" t="s">
        <v>131</v>
      </c>
    </row>
    <row r="36" spans="2:2">
      <c r="B36" s="2" t="s">
        <v>132</v>
      </c>
    </row>
    <row r="37" spans="2:2">
      <c r="B37" s="2" t="s">
        <v>136</v>
      </c>
    </row>
    <row r="38" spans="2:2">
      <c r="B38" s="2" t="s">
        <v>137</v>
      </c>
    </row>
    <row r="39" spans="2:2">
      <c r="B39" s="44" t="s">
        <v>138</v>
      </c>
    </row>
    <row r="40" spans="2:2">
      <c r="B40" s="44" t="s">
        <v>140</v>
      </c>
    </row>
    <row r="41" spans="2:2">
      <c r="B41" s="2" t="s">
        <v>141</v>
      </c>
    </row>
    <row r="42" spans="2:2">
      <c r="B42" s="2" t="s">
        <v>142</v>
      </c>
    </row>
    <row r="43" spans="2:2">
      <c r="B43" s="2" t="s">
        <v>242</v>
      </c>
    </row>
    <row r="44" spans="2:2">
      <c r="B44" s="2" t="s">
        <v>147</v>
      </c>
    </row>
    <row r="45" spans="2:2">
      <c r="B45" s="2" t="s">
        <v>150</v>
      </c>
    </row>
    <row r="46" spans="2:2">
      <c r="B46" s="2" t="s">
        <v>139</v>
      </c>
    </row>
    <row r="47" spans="2:2">
      <c r="B47" s="2" t="s">
        <v>640</v>
      </c>
    </row>
    <row r="48" spans="2:2">
      <c r="B48" s="2" t="s">
        <v>643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AD41"/>
  <sheetViews>
    <sheetView showGridLines="0" topLeftCell="A5" workbookViewId="0">
      <pane xSplit="2" topLeftCell="R1" activePane="topRight" state="frozen"/>
      <selection activeCell="B47" sqref="B47"/>
      <selection pane="topRight" activeCell="P14" sqref="P14"/>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0.6640625" style="2" customWidth="1"/>
    <col min="7" max="9" width="18.6640625" style="2" customWidth="1"/>
    <col min="10" max="16" width="16.83203125" style="2" customWidth="1"/>
    <col min="17" max="17" width="10.83203125" style="2"/>
    <col min="18" max="18" width="23.83203125" style="2" customWidth="1"/>
    <col min="19" max="19" width="18.1640625" style="2" customWidth="1"/>
    <col min="20" max="33" width="16.83203125" style="2" customWidth="1"/>
    <col min="34" max="16384" width="10.83203125" style="2"/>
  </cols>
  <sheetData>
    <row r="2" spans="2:30">
      <c r="B2" s="19" t="s">
        <v>678</v>
      </c>
    </row>
    <row r="3" spans="2:30">
      <c r="B3" s="34" t="s">
        <v>58</v>
      </c>
    </row>
    <row r="4" spans="2:30">
      <c r="B4" s="2" t="s">
        <v>685</v>
      </c>
    </row>
    <row r="6" spans="2:30" s="43" customFormat="1" ht="54">
      <c r="B6" s="28" t="s">
        <v>55</v>
      </c>
      <c r="C6" s="27" t="s">
        <v>413</v>
      </c>
      <c r="D6" s="27" t="s">
        <v>39</v>
      </c>
      <c r="F6" s="27" t="s">
        <v>61</v>
      </c>
      <c r="G6" s="42" t="s">
        <v>15</v>
      </c>
      <c r="H6" s="42" t="s">
        <v>96</v>
      </c>
      <c r="I6" s="27" t="s">
        <v>128</v>
      </c>
      <c r="J6" s="27" t="s">
        <v>62</v>
      </c>
      <c r="K6" s="27" t="s">
        <v>117</v>
      </c>
      <c r="L6" s="27" t="s">
        <v>413</v>
      </c>
      <c r="M6" s="27" t="s">
        <v>660</v>
      </c>
      <c r="N6" s="27" t="s">
        <v>63</v>
      </c>
      <c r="O6" s="27" t="s">
        <v>649</v>
      </c>
      <c r="P6" s="27" t="s">
        <v>659</v>
      </c>
      <c r="R6" s="27" t="s">
        <v>61</v>
      </c>
      <c r="S6" s="42" t="s">
        <v>100</v>
      </c>
      <c r="T6" s="42" t="s">
        <v>101</v>
      </c>
      <c r="U6" s="42" t="s">
        <v>102</v>
      </c>
      <c r="V6" s="42" t="s">
        <v>148</v>
      </c>
      <c r="W6" s="27" t="s">
        <v>143</v>
      </c>
      <c r="X6" s="27" t="s">
        <v>144</v>
      </c>
      <c r="Y6" s="27" t="s">
        <v>117</v>
      </c>
      <c r="Z6" s="27" t="s">
        <v>413</v>
      </c>
      <c r="AA6" s="27" t="s">
        <v>660</v>
      </c>
      <c r="AB6" s="27" t="s">
        <v>63</v>
      </c>
      <c r="AC6" s="27" t="s">
        <v>650</v>
      </c>
      <c r="AD6" s="27" t="s">
        <v>659</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IFERROR(F8/(H8/C$18)/IF(G$31="postmoney",(1-G$32),1),0)+L8</f>
        <v>6000000</v>
      </c>
      <c r="P8" s="35">
        <f>IFERROR(O8/O$18,0)</f>
        <v>0.5093099671412924</v>
      </c>
      <c r="R8" s="137">
        <v>0</v>
      </c>
      <c r="S8" s="6">
        <f>F8</f>
        <v>0</v>
      </c>
      <c r="T8" s="4">
        <f ca="1">FV(I8/12,DATEDIF(G$29,S$29,"m"),0,-S8)-S8</f>
        <v>0</v>
      </c>
      <c r="U8" s="6">
        <f ca="1">T8+S8</f>
        <v>0</v>
      </c>
      <c r="V8" s="6">
        <f ca="1">IF(G$30="no",IFERROR(U8/(1-G8),0),IFERROR(U8/(1-(MAX(G8,(S$28-H8/L$18)/S$28))),0))</f>
        <v>0</v>
      </c>
      <c r="W8" s="37">
        <f>S$28</f>
        <v>1.0186199342825848</v>
      </c>
      <c r="X8" s="37">
        <f t="shared" ref="X8:X11" ca="1" si="0">IF(U8=0,0,IF(H8&lt;&gt;0,MIN(W8*(1-G8),H8/L$18*IF(S$31="postmoney",(1-S$32),1)),W8*(1-G8)))</f>
        <v>0</v>
      </c>
      <c r="Y8" s="4">
        <f ca="1">IFERROR(R8/W8,0)+IFERROR(U8/X8,0)</f>
        <v>0</v>
      </c>
      <c r="Z8" s="6">
        <f ca="1">Y8+L8</f>
        <v>6000000</v>
      </c>
      <c r="AA8" s="35">
        <f ca="1">IFERROR(Z8/Z$18,0)</f>
        <v>0.40744797371303393</v>
      </c>
      <c r="AB8" s="4">
        <f ca="1">Z8*S$28</f>
        <v>6111719.6056955084</v>
      </c>
      <c r="AC8" s="4">
        <f ca="1">Z8</f>
        <v>6000000</v>
      </c>
      <c r="AD8" s="35">
        <f ca="1">IFERROR(AC8/AC$18,0)</f>
        <v>0.40744797371303393</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IFERROR(F9/(H9/C$18)/IF(G$31="postmoney",(1-G$32),1),0)+L9</f>
        <v>3000000</v>
      </c>
      <c r="P9" s="35">
        <f>IFERROR(O9/O$18,0)</f>
        <v>0.2546549835706462</v>
      </c>
      <c r="R9" s="137">
        <v>0</v>
      </c>
      <c r="S9" s="6">
        <f>F9</f>
        <v>0</v>
      </c>
      <c r="T9" s="4">
        <f t="shared" ref="T9:T16" ca="1" si="1">FV(I9/12,DATEDIF(G$29,S$29,"m"),0,-S9)-S9</f>
        <v>0</v>
      </c>
      <c r="U9" s="6">
        <f ca="1">T9+S9</f>
        <v>0</v>
      </c>
      <c r="V9" s="6">
        <f ca="1">IF(G$30="no",IFERROR(U9/(1-G9),0),IFERROR(U9/(1-(MAX(G9,(S$28-H9/L$18)/S$28))),0))</f>
        <v>0</v>
      </c>
      <c r="W9" s="37">
        <f>S$28</f>
        <v>1.0186199342825848</v>
      </c>
      <c r="X9" s="37">
        <f t="shared" ca="1" si="0"/>
        <v>0</v>
      </c>
      <c r="Y9" s="4">
        <f ca="1">IFERROR(R9/W9,0)+IFERROR(U9/X9,0)</f>
        <v>0</v>
      </c>
      <c r="Z9" s="6">
        <f ca="1">Y9+L9</f>
        <v>3000000</v>
      </c>
      <c r="AA9" s="35">
        <f ca="1">IFERROR(Z9/Z$18,0)</f>
        <v>0.20372398685651696</v>
      </c>
      <c r="AB9" s="4">
        <f ca="1">Z9*S$28</f>
        <v>3055859.8028477542</v>
      </c>
      <c r="AC9" s="4">
        <f ca="1">Z9</f>
        <v>3000000</v>
      </c>
      <c r="AD9" s="35">
        <f ca="1">IFERROR(AC9/AC$18,0)</f>
        <v>0.20372398685651696</v>
      </c>
    </row>
    <row r="10" spans="2:30">
      <c r="B10" s="137" t="s">
        <v>59</v>
      </c>
      <c r="C10" s="14">
        <f>D10*C$18</f>
        <v>700000.00000000012</v>
      </c>
      <c r="D10" s="277">
        <v>7.0000000000000007E-2</v>
      </c>
      <c r="F10" s="137">
        <v>0</v>
      </c>
      <c r="G10" s="276">
        <v>0</v>
      </c>
      <c r="H10" s="137">
        <v>0</v>
      </c>
      <c r="I10" s="277">
        <v>0</v>
      </c>
      <c r="J10" s="37">
        <f>G$28</f>
        <v>0</v>
      </c>
      <c r="K10" s="10">
        <f>IFERROR(F10/J10,0)</f>
        <v>0</v>
      </c>
      <c r="L10" s="6">
        <f>K10+C10</f>
        <v>700000.00000000012</v>
      </c>
      <c r="M10" s="35">
        <f>IFERROR(L10/L$18,0)</f>
        <v>7.0000000000000007E-2</v>
      </c>
      <c r="N10" s="4">
        <f>L10*G$28</f>
        <v>0</v>
      </c>
      <c r="O10" s="4">
        <f>IFERROR(F10/(H10/C$18)/IF(G$31="postmoney",(1-G$32),1),0)+L10</f>
        <v>700000.00000000012</v>
      </c>
      <c r="P10" s="35">
        <f>IFERROR(O10/O$18,0)</f>
        <v>5.9419496166484127E-2</v>
      </c>
      <c r="R10" s="137">
        <v>0</v>
      </c>
      <c r="S10" s="6">
        <f>F10</f>
        <v>0</v>
      </c>
      <c r="T10" s="4">
        <f t="shared" ca="1" si="1"/>
        <v>0</v>
      </c>
      <c r="U10" s="6">
        <f ca="1">T10+S10</f>
        <v>0</v>
      </c>
      <c r="V10" s="6">
        <f ca="1">IF(G$30="no",IFERROR(U10/(1-G10),0),IFERROR(U10/(1-(MAX(G10,(S$28-H10/L$18)/S$28))),0))</f>
        <v>0</v>
      </c>
      <c r="W10" s="37">
        <f>S$28</f>
        <v>1.0186199342825848</v>
      </c>
      <c r="X10" s="37">
        <f t="shared" ca="1" si="0"/>
        <v>0</v>
      </c>
      <c r="Y10" s="4">
        <f ca="1">IFERROR(R10/W10,0)+IFERROR(U10/X10,0)</f>
        <v>0</v>
      </c>
      <c r="Z10" s="6">
        <f ca="1">Y10+L10</f>
        <v>700000.00000000012</v>
      </c>
      <c r="AA10" s="35">
        <f ca="1">IFERROR(Z10/Z$18,0)</f>
        <v>4.7535596933187298E-2</v>
      </c>
      <c r="AB10" s="4">
        <f ca="1">Z10*S$28</f>
        <v>713033.95399780944</v>
      </c>
      <c r="AC10" s="4">
        <f ca="1">Z10</f>
        <v>700000.00000000012</v>
      </c>
      <c r="AD10" s="35">
        <f ca="1">IFERROR(AC10/AC$18,0)</f>
        <v>4.7535596933187298E-2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IFERROR(F11/(H11/C$18)/IF(G$31="postmoney",(1-G$32),1),0)+L11</f>
        <v>300000</v>
      </c>
      <c r="P11" s="35">
        <f>IFERROR(O11/O$18,0)</f>
        <v>2.5465498357064621E-2</v>
      </c>
      <c r="R11" s="137">
        <v>0</v>
      </c>
      <c r="S11" s="6">
        <f>F11</f>
        <v>0</v>
      </c>
      <c r="T11" s="4">
        <f t="shared" ca="1" si="1"/>
        <v>0</v>
      </c>
      <c r="U11" s="6">
        <f ca="1">T11+S11</f>
        <v>0</v>
      </c>
      <c r="V11" s="6">
        <f ca="1">IF(G$30="no",IFERROR(U11/(1-G11),0),IFERROR(U11/(1-(MAX(G11,(S$28-H11/L$18)/S$28))),0))</f>
        <v>0</v>
      </c>
      <c r="W11" s="37">
        <f>S$28</f>
        <v>1.0186199342825848</v>
      </c>
      <c r="X11" s="37">
        <f t="shared" ca="1" si="0"/>
        <v>0</v>
      </c>
      <c r="Y11" s="4">
        <f ca="1">IFERROR(R11/W11,0)+IFERROR(U11/X11,0)</f>
        <v>0</v>
      </c>
      <c r="Z11" s="6">
        <f ca="1">Y11+L11</f>
        <v>300000</v>
      </c>
      <c r="AA11" s="35">
        <f ca="1">IFERROR(Z11/Z$18,0)</f>
        <v>2.0372398685651695E-2</v>
      </c>
      <c r="AB11" s="4">
        <f ca="1">Z11*S$28</f>
        <v>305585.98028477543</v>
      </c>
      <c r="AC11" s="4">
        <f ca="1">Z11</f>
        <v>300000</v>
      </c>
      <c r="AD11" s="35">
        <f ca="1">IFERROR(AC11/AC$18,0)</f>
        <v>2.0372398685651695E-2</v>
      </c>
    </row>
    <row r="12" spans="2:30">
      <c r="B12" s="137" t="s">
        <v>59</v>
      </c>
      <c r="C12" s="14">
        <f>D12*C$18</f>
        <v>0</v>
      </c>
      <c r="D12" s="277">
        <v>0</v>
      </c>
      <c r="F12" s="137">
        <v>0</v>
      </c>
      <c r="G12" s="276">
        <v>0</v>
      </c>
      <c r="H12" s="137">
        <v>0</v>
      </c>
      <c r="I12" s="277">
        <v>0</v>
      </c>
      <c r="J12" s="37">
        <f>G$28</f>
        <v>0</v>
      </c>
      <c r="K12" s="10">
        <f>IFERROR(F12/J12,0)</f>
        <v>0</v>
      </c>
      <c r="L12" s="6">
        <f>K12+C12</f>
        <v>0</v>
      </c>
      <c r="M12" s="35">
        <f>IFERROR(L12/L$18,0)</f>
        <v>0</v>
      </c>
      <c r="N12" s="4">
        <f>L12*G$28</f>
        <v>0</v>
      </c>
      <c r="O12" s="4">
        <f>IFERROR(F12/(H12/C$18)/IF(G$31="postmoney",(1-G$32),1),0)+L12</f>
        <v>0</v>
      </c>
      <c r="P12" s="35">
        <f>IFERROR(O12/O$18,0)</f>
        <v>0</v>
      </c>
      <c r="R12" s="137">
        <v>0</v>
      </c>
      <c r="S12" s="6">
        <f>F12</f>
        <v>0</v>
      </c>
      <c r="T12" s="4">
        <f t="shared" ca="1" si="1"/>
        <v>0</v>
      </c>
      <c r="U12" s="6">
        <f ca="1">T12+S12</f>
        <v>0</v>
      </c>
      <c r="V12" s="6">
        <f ca="1">IF(G$30="no",IFERROR(U12/(1-G12),0),IFERROR(U12/(1-(MAX(G12,(S$28-H12/L$18)/S$28))),0))</f>
        <v>0</v>
      </c>
      <c r="W12" s="37">
        <f>S$28</f>
        <v>1.0186199342825848</v>
      </c>
      <c r="X12" s="37">
        <f ca="1">IF(U12=0,0,IF(H12&lt;&gt;0,MIN(W12*(1-G12),H12/L$18*IF(S$31="postmoney",(1-S$32),1)),W12*(1-G12)))</f>
        <v>0</v>
      </c>
      <c r="Y12" s="4">
        <f ca="1">IFERROR(R12/W12,0)+IFERROR(U12/X12,0)</f>
        <v>0</v>
      </c>
      <c r="Z12" s="6">
        <f ca="1">Y12+L12</f>
        <v>0</v>
      </c>
      <c r="AA12" s="35">
        <f ca="1">IFERROR(Z12/Z$18,0)</f>
        <v>0</v>
      </c>
      <c r="AB12" s="4">
        <f ca="1">Z12*S$28</f>
        <v>0</v>
      </c>
      <c r="AC12" s="4">
        <f ca="1">Z12</f>
        <v>0</v>
      </c>
      <c r="AD12" s="35">
        <f ca="1">IFERROR(AC12/AC$18,0)</f>
        <v>0</v>
      </c>
    </row>
    <row r="14" spans="2:30">
      <c r="B14" s="137" t="s">
        <v>680</v>
      </c>
      <c r="C14" s="14">
        <f>D14*C$18</f>
        <v>0</v>
      </c>
      <c r="D14" s="277">
        <v>0</v>
      </c>
      <c r="F14" s="137">
        <v>500000</v>
      </c>
      <c r="G14" s="276">
        <v>0</v>
      </c>
      <c r="H14" s="137">
        <v>5500000</v>
      </c>
      <c r="I14" s="277">
        <v>0</v>
      </c>
      <c r="J14" s="37">
        <f>G$28</f>
        <v>0</v>
      </c>
      <c r="K14" s="4">
        <f>IFERROR(F14/J14,0)</f>
        <v>0</v>
      </c>
      <c r="L14" s="6">
        <f>K14+C14</f>
        <v>0</v>
      </c>
      <c r="M14" s="35">
        <f>IFERROR(L14/L$18,0)</f>
        <v>0</v>
      </c>
      <c r="N14" s="4">
        <f>L14*G$28</f>
        <v>0</v>
      </c>
      <c r="O14" s="4">
        <f>IFERROR(F14/(H14/C$18)/IF(G$31="postmoney",(1-G$32),1),0)+L14</f>
        <v>1070967.7419354839</v>
      </c>
      <c r="P14" s="35">
        <f>IFERROR(O14/O$18,0)</f>
        <v>9.0909090909090898E-2</v>
      </c>
      <c r="R14" s="137">
        <v>0</v>
      </c>
      <c r="S14" s="6">
        <f>F14</f>
        <v>500000</v>
      </c>
      <c r="T14" s="4">
        <f t="shared" ca="1" si="1"/>
        <v>0</v>
      </c>
      <c r="U14" s="6">
        <f ca="1">T14+S14</f>
        <v>500000</v>
      </c>
      <c r="V14" s="6">
        <f ca="1">IF(G$30="no",IFERROR(U14/(1-G14),0),IFERROR(U14/(1-(MAX(G14,(S$28-H14/L$18)/S$28))),0))</f>
        <v>500000</v>
      </c>
      <c r="W14" s="37">
        <f>S$28</f>
        <v>1.0186199342825848</v>
      </c>
      <c r="X14" s="37">
        <f ca="1">IF(U14=0,0,IF(H14&lt;&gt;0,MIN(W14*(1-G14),H14/L$18*IF(S$31="postmoney",(1-S$32),1)),W14*(1-G14)))</f>
        <v>0.4668674698795181</v>
      </c>
      <c r="Y14" s="4">
        <f ca="1">IFERROR(R14/W14,0)+IFERROR(U14/X14,0)</f>
        <v>1070967.7419354839</v>
      </c>
      <c r="Z14" s="6">
        <f ca="1">Y14+L14</f>
        <v>1070967.7419354839</v>
      </c>
      <c r="AA14" s="35">
        <f ca="1">IFERROR(Z14/Z$18,0)</f>
        <v>7.2727272727272724E-2</v>
      </c>
      <c r="AB14" s="4">
        <f ca="1">Z14*S$28</f>
        <v>1090909.0909090908</v>
      </c>
      <c r="AC14" s="4">
        <f ca="1">Z14</f>
        <v>1070967.7419354839</v>
      </c>
      <c r="AD14" s="35">
        <f ca="1">IFERROR(AC14/AC$18,0)</f>
        <v>7.2727272727272724E-2</v>
      </c>
    </row>
    <row r="15" spans="2:30">
      <c r="B15" s="137" t="s">
        <v>680</v>
      </c>
      <c r="C15" s="14">
        <f>D15*C$18</f>
        <v>0</v>
      </c>
      <c r="D15" s="277">
        <v>0</v>
      </c>
      <c r="F15" s="137">
        <v>500000</v>
      </c>
      <c r="G15" s="276">
        <v>0</v>
      </c>
      <c r="H15" s="137">
        <v>8300000</v>
      </c>
      <c r="I15" s="277">
        <v>0</v>
      </c>
      <c r="J15" s="37">
        <f>G$28</f>
        <v>0</v>
      </c>
      <c r="K15" s="4">
        <f>IFERROR(F15/J15,0)</f>
        <v>0</v>
      </c>
      <c r="L15" s="6">
        <f>K15+C15</f>
        <v>0</v>
      </c>
      <c r="M15" s="35">
        <f>IFERROR(L15/L$18,0)</f>
        <v>0</v>
      </c>
      <c r="N15" s="4">
        <f>L15*G$28</f>
        <v>0</v>
      </c>
      <c r="O15" s="4">
        <f>IFERROR(F15/(H15/C$18)/IF(G$31="postmoney",(1-G$32),1),0)+L15</f>
        <v>709677.41935483878</v>
      </c>
      <c r="P15" s="35">
        <f>IFERROR(O15/O$18,0)</f>
        <v>6.0240963855421686E-2</v>
      </c>
      <c r="R15" s="137">
        <v>0</v>
      </c>
      <c r="S15" s="6">
        <f>F15</f>
        <v>500000</v>
      </c>
      <c r="T15" s="4">
        <f t="shared" ca="1" si="1"/>
        <v>0</v>
      </c>
      <c r="U15" s="6">
        <f ca="1">T15+S15</f>
        <v>500000</v>
      </c>
      <c r="V15" s="6">
        <f ca="1">IF(G$30="no",IFERROR(U15/(1-G15),0),IFERROR(U15/(1-(MAX(G15,(S$28-H15/L$18)/S$28))),0))</f>
        <v>500000</v>
      </c>
      <c r="W15" s="37">
        <f>S$28</f>
        <v>1.0186199342825848</v>
      </c>
      <c r="X15" s="37">
        <f ca="1">IF(U15=0,0,IF(H15&lt;&gt;0,MIN(W15*(1-G15),H15/L$18*IF(S$31="postmoney",(1-S$32),1)),W15*(1-G15)))</f>
        <v>0.70454545454545447</v>
      </c>
      <c r="Y15" s="4">
        <f ca="1">IFERROR(R15/W15,0)+IFERROR(U15/X15,0)</f>
        <v>709677.41935483878</v>
      </c>
      <c r="Z15" s="6">
        <f ca="1">Y15+L15</f>
        <v>709677.41935483878</v>
      </c>
      <c r="AA15" s="35">
        <f ca="1">IFERROR(Z15/Z$18,0)</f>
        <v>4.8192771084337352E-2</v>
      </c>
      <c r="AB15" s="4">
        <f ca="1">Z15*S$28</f>
        <v>722891.56626506022</v>
      </c>
      <c r="AC15" s="4">
        <f ca="1">Z15</f>
        <v>709677.41935483878</v>
      </c>
      <c r="AD15" s="35">
        <f ca="1">IFERROR(AC15/AC$18,0)</f>
        <v>4.8192771084337352E-2</v>
      </c>
    </row>
    <row r="16" spans="2:30">
      <c r="B16" s="137" t="s">
        <v>681</v>
      </c>
      <c r="C16" s="14">
        <f>D16*C$18</f>
        <v>0</v>
      </c>
      <c r="D16" s="277">
        <v>0</v>
      </c>
      <c r="F16" s="137">
        <v>0</v>
      </c>
      <c r="G16" s="276">
        <v>0</v>
      </c>
      <c r="H16" s="137">
        <v>0</v>
      </c>
      <c r="I16" s="277">
        <v>0</v>
      </c>
      <c r="J16" s="37">
        <f>G$28</f>
        <v>0</v>
      </c>
      <c r="K16" s="4">
        <f>IFERROR(F16/J16,0)</f>
        <v>0</v>
      </c>
      <c r="L16" s="6">
        <f>K16+C16</f>
        <v>0</v>
      </c>
      <c r="M16" s="35">
        <f>IFERROR(L16/L$18,0)</f>
        <v>0</v>
      </c>
      <c r="N16" s="4">
        <f>L16*G$28</f>
        <v>0</v>
      </c>
      <c r="O16" s="4">
        <f>IFERROR(F16/(H16/C$18)/IF(G$31="postmoney",(1-G$32),1),0)+L16</f>
        <v>0</v>
      </c>
      <c r="P16" s="35">
        <f>IFERROR(O16/O$18,0)</f>
        <v>0</v>
      </c>
      <c r="R16" s="137">
        <v>3000000</v>
      </c>
      <c r="S16" s="6">
        <f>F16</f>
        <v>0</v>
      </c>
      <c r="T16" s="4">
        <f t="shared" ca="1" si="1"/>
        <v>0</v>
      </c>
      <c r="U16" s="6">
        <f ca="1">T16+S16</f>
        <v>0</v>
      </c>
      <c r="V16" s="6">
        <f ca="1">IF(G$30="no",IFERROR(U16/(1-G16),0),IFERROR(U16/(1-(MAX(G16,(S$28-H16/L$18)/S$28))),0))</f>
        <v>0</v>
      </c>
      <c r="W16" s="37">
        <f>S$28</f>
        <v>1.0186199342825848</v>
      </c>
      <c r="X16" s="37">
        <f ca="1">IF(U16=0,0,IF(H16&lt;&gt;0,MIN(W16*(1-G16),H16/L$18*IF(S$31="postmoney",(1-S$32),1)),W16*(1-G16)))</f>
        <v>0</v>
      </c>
      <c r="Y16" s="4">
        <f ca="1">IFERROR(R16/W16,0)+IFERROR(U16/X16,0)</f>
        <v>2945161.2903225808</v>
      </c>
      <c r="Z16" s="6">
        <f ca="1">Y16+L16</f>
        <v>2945161.2903225808</v>
      </c>
      <c r="AA16" s="35">
        <f ca="1">IFERROR(Z16/Z$18,0)</f>
        <v>0.19999999999999998</v>
      </c>
      <c r="AB16" s="4">
        <f ca="1">Z16*S$28</f>
        <v>3000000</v>
      </c>
      <c r="AC16" s="4">
        <f ca="1">Z16</f>
        <v>2945161.2903225808</v>
      </c>
      <c r="AD16" s="35">
        <f ca="1">IFERROR(AC16/AC$18,0)</f>
        <v>0.19999999999999998</v>
      </c>
    </row>
    <row r="17" spans="2:30">
      <c r="D17" s="36"/>
    </row>
    <row r="18" spans="2:30">
      <c r="B18" s="38" t="s">
        <v>20</v>
      </c>
      <c r="C18" s="278">
        <v>10000000</v>
      </c>
      <c r="D18" s="39">
        <f>SUM(D8:D12,D14:D16)</f>
        <v>1</v>
      </c>
      <c r="F18" s="8">
        <f>SUM(F8:F12,F14:F16)</f>
        <v>1000000</v>
      </c>
      <c r="G18" s="38"/>
      <c r="H18" s="38"/>
      <c r="I18" s="38"/>
      <c r="J18" s="38"/>
      <c r="K18" s="8">
        <f>SUM(K8:K12,K14:K15)</f>
        <v>0</v>
      </c>
      <c r="L18" s="8">
        <f>SUM(L8:L12,L14:L16)</f>
        <v>10000000</v>
      </c>
      <c r="M18" s="39">
        <f>SUM(M8:M12,M14:M16)</f>
        <v>1</v>
      </c>
      <c r="N18" s="8">
        <f>SUM(N8:N12,N14:N16)</f>
        <v>0</v>
      </c>
      <c r="O18" s="8">
        <f>SUM(O8:O12,O14:O16)</f>
        <v>11780645.161290323</v>
      </c>
      <c r="P18" s="39">
        <f>SUM(P8:P12,P14:P16)</f>
        <v>0.99999999999999989</v>
      </c>
      <c r="R18" s="8">
        <f>SUM(R8:R12,R14:R16)</f>
        <v>3000000</v>
      </c>
      <c r="S18" s="8">
        <f>SUM(S8:S12,S14:S16)</f>
        <v>1000000</v>
      </c>
      <c r="T18" s="8">
        <f ca="1">SUM(T8:T12,T14:T16)</f>
        <v>0</v>
      </c>
      <c r="U18" s="8">
        <f ca="1">SUM(U8:U12,U14:U16)</f>
        <v>1000000</v>
      </c>
      <c r="V18" s="8">
        <f ca="1">SUM(V8:V12,V14:V16)</f>
        <v>1000000</v>
      </c>
      <c r="W18" s="45"/>
      <c r="X18" s="45"/>
      <c r="Y18" s="8">
        <f t="shared" ref="Y18:AD18" ca="1" si="2">SUM(Y8:Y12,Y14:Y16)</f>
        <v>4725806.4516129037</v>
      </c>
      <c r="Z18" s="8">
        <f t="shared" ca="1" si="2"/>
        <v>14725806.451612905</v>
      </c>
      <c r="AA18" s="39">
        <f t="shared" ca="1" si="2"/>
        <v>1</v>
      </c>
      <c r="AB18" s="8">
        <f t="shared" ca="1" si="2"/>
        <v>14999999.999999998</v>
      </c>
      <c r="AC18" s="8">
        <f t="shared" ca="1" si="2"/>
        <v>14725806.451612905</v>
      </c>
      <c r="AD18" s="39">
        <f t="shared" ca="1" si="2"/>
        <v>1</v>
      </c>
    </row>
    <row r="19" spans="2:30">
      <c r="AA19" s="49" t="s">
        <v>81</v>
      </c>
    </row>
    <row r="21" spans="2:30">
      <c r="F21" s="34" t="s">
        <v>65</v>
      </c>
      <c r="P21" s="36"/>
      <c r="R21" s="34" t="s">
        <v>89</v>
      </c>
    </row>
    <row r="22" spans="2:30">
      <c r="F22" s="2" t="s">
        <v>67</v>
      </c>
      <c r="G22" s="6">
        <f>F18</f>
        <v>1000000</v>
      </c>
      <c r="P22" s="36"/>
      <c r="R22" s="2" t="s">
        <v>67</v>
      </c>
      <c r="S22" s="6">
        <f>R18</f>
        <v>3000000</v>
      </c>
    </row>
    <row r="23" spans="2:30">
      <c r="F23" s="2" t="s">
        <v>100</v>
      </c>
      <c r="G23" s="6">
        <v>0</v>
      </c>
      <c r="R23" s="2" t="s">
        <v>100</v>
      </c>
      <c r="S23" s="6">
        <f ca="1">U18</f>
        <v>1000000</v>
      </c>
    </row>
    <row r="24" spans="2:30">
      <c r="F24" s="2" t="s">
        <v>148</v>
      </c>
      <c r="G24" s="6">
        <v>0</v>
      </c>
      <c r="R24" s="2" t="s">
        <v>148</v>
      </c>
      <c r="S24" s="6">
        <f ca="1">V18</f>
        <v>1000000</v>
      </c>
      <c r="T24" s="130"/>
    </row>
    <row r="25" spans="2:30">
      <c r="F25" s="2" t="s">
        <v>66</v>
      </c>
      <c r="G25" s="13">
        <v>0</v>
      </c>
      <c r="H25" s="10"/>
      <c r="R25" s="2" t="s">
        <v>66</v>
      </c>
      <c r="S25" s="68">
        <f>S26-S22</f>
        <v>12000000</v>
      </c>
      <c r="T25" s="10" t="s">
        <v>82</v>
      </c>
    </row>
    <row r="26" spans="2:30">
      <c r="F26" s="2" t="s">
        <v>103</v>
      </c>
      <c r="G26" s="6">
        <f>IF(G25=0,0,G25+G22)</f>
        <v>0</v>
      </c>
      <c r="R26" s="2" t="s">
        <v>103</v>
      </c>
      <c r="S26" s="137">
        <v>15000000</v>
      </c>
      <c r="T26" s="10" t="s">
        <v>78</v>
      </c>
    </row>
    <row r="27" spans="2:30">
      <c r="F27" s="2" t="s">
        <v>152</v>
      </c>
      <c r="G27" s="6">
        <f>G26</f>
        <v>0</v>
      </c>
      <c r="R27" s="2" t="s">
        <v>152</v>
      </c>
      <c r="S27" s="6">
        <f>S26</f>
        <v>15000000</v>
      </c>
      <c r="T27" s="10"/>
    </row>
    <row r="28" spans="2:30">
      <c r="F28" s="2" t="s">
        <v>62</v>
      </c>
      <c r="G28" s="37">
        <f>G25/C18</f>
        <v>0</v>
      </c>
      <c r="R28" s="2" t="s">
        <v>62</v>
      </c>
      <c r="S28" s="37">
        <f>S25/IF(S31="postmoney",O18,L18)</f>
        <v>1.0186199342825848</v>
      </c>
      <c r="T28" s="10"/>
    </row>
    <row r="29" spans="2:30">
      <c r="F29" s="2" t="s">
        <v>40</v>
      </c>
      <c r="G29" s="25">
        <f ca="1">EDATE(TODAY(),-18)</f>
        <v>43272</v>
      </c>
      <c r="R29" s="2" t="s">
        <v>40</v>
      </c>
      <c r="S29" s="25">
        <f ca="1">TODAY()</f>
        <v>43820</v>
      </c>
      <c r="T29" s="10"/>
    </row>
    <row r="30" spans="2:30">
      <c r="F30" s="2" t="s">
        <v>210</v>
      </c>
      <c r="G30" s="55" t="s">
        <v>211</v>
      </c>
      <c r="H30" s="10" t="s">
        <v>80</v>
      </c>
      <c r="R30" s="2" t="s">
        <v>210</v>
      </c>
      <c r="S30" s="124" t="str">
        <f>G30</f>
        <v>no</v>
      </c>
    </row>
    <row r="31" spans="2:30">
      <c r="F31" s="2" t="s">
        <v>688</v>
      </c>
      <c r="G31" s="55" t="s">
        <v>684</v>
      </c>
      <c r="H31" s="10" t="s">
        <v>87</v>
      </c>
      <c r="R31" s="2" t="str">
        <f>F31</f>
        <v>Convert SAFE (or Note) on premoney or postmoney</v>
      </c>
      <c r="S31" s="26" t="str">
        <f>G31</f>
        <v>postmoney</v>
      </c>
      <c r="T31" s="10" t="s">
        <v>87</v>
      </c>
    </row>
    <row r="32" spans="2:30">
      <c r="F32" s="2" t="s">
        <v>687</v>
      </c>
      <c r="G32" s="35">
        <f>IFERROR(F$14/H$14,0)+IFERROR(F$15/H$15,0)+IFERROR(F$16/H$16,0)+IFERROR(F$8/H$8,0)+IFERROR(F$9/H$9,0)+IFERROR(F$10/H$10,0)+IFERROR(F$11/H$11,0)+IFERROR(F$12/H$12,0)</f>
        <v>0.1511500547645126</v>
      </c>
      <c r="H32" s="10" t="s">
        <v>87</v>
      </c>
      <c r="R32" s="2" t="str">
        <f>F32</f>
        <v>Total Note or SAFE dilution</v>
      </c>
      <c r="S32" s="291">
        <f>G32</f>
        <v>0.1511500547645126</v>
      </c>
      <c r="T32" s="10" t="s">
        <v>87</v>
      </c>
    </row>
    <row r="33" spans="2:20">
      <c r="S33" s="10"/>
      <c r="T33" s="10"/>
    </row>
    <row r="34" spans="2:20">
      <c r="B34" s="33" t="s">
        <v>54</v>
      </c>
    </row>
    <row r="35" spans="2:20">
      <c r="B35" s="2" t="s">
        <v>153</v>
      </c>
    </row>
    <row r="36" spans="2:20">
      <c r="B36" s="2" t="s">
        <v>690</v>
      </c>
    </row>
    <row r="37" spans="2:20">
      <c r="B37" s="2" t="s">
        <v>155</v>
      </c>
    </row>
    <row r="38" spans="2:20">
      <c r="B38" s="2" t="s">
        <v>212</v>
      </c>
    </row>
    <row r="39" spans="2:20">
      <c r="B39" s="2" t="s">
        <v>682</v>
      </c>
    </row>
    <row r="40" spans="2:20">
      <c r="B40" s="2" t="s">
        <v>652</v>
      </c>
    </row>
    <row r="41" spans="2:20">
      <c r="B41" s="2" t="s">
        <v>686</v>
      </c>
    </row>
  </sheetData>
  <dataValidations disablePrompts="1" count="2">
    <dataValidation type="list" allowBlank="1" showInputMessage="1" showErrorMessage="1" sqref="G30" xr:uid="{00000000-0002-0000-0D00-000000000000}">
      <formula1>"no,yes"</formula1>
    </dataValidation>
    <dataValidation type="list" allowBlank="1" showInputMessage="1" showErrorMessage="1" sqref="G31" xr:uid="{00000000-0002-0000-0D00-000001000000}">
      <formula1>"premoney,postmoney"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AD37"/>
  <sheetViews>
    <sheetView showGridLines="0" topLeftCell="A8" workbookViewId="0">
      <pane xSplit="2" topLeftCell="C1" activePane="topRight" state="frozen"/>
      <selection activeCell="B47" sqref="B47"/>
      <selection pane="topRight" activeCell="T16" sqref="T16"/>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0.6640625" style="2" customWidth="1"/>
    <col min="7" max="9" width="18.6640625" style="2" customWidth="1"/>
    <col min="10" max="16" width="16.83203125" style="2" customWidth="1"/>
    <col min="17" max="17" width="10.83203125" style="2"/>
    <col min="18" max="18" width="23.83203125" style="2" customWidth="1"/>
    <col min="19" max="19" width="18.1640625" style="2" customWidth="1"/>
    <col min="20" max="33" width="16.83203125" style="2" customWidth="1"/>
    <col min="34" max="16384" width="10.83203125" style="2"/>
  </cols>
  <sheetData>
    <row r="2" spans="2:30">
      <c r="B2" s="19" t="s">
        <v>149</v>
      </c>
    </row>
    <row r="3" spans="2:30">
      <c r="B3" s="34" t="s">
        <v>58</v>
      </c>
    </row>
    <row r="6" spans="2:30" s="43" customFormat="1" ht="54">
      <c r="B6" s="28" t="s">
        <v>55</v>
      </c>
      <c r="C6" s="27" t="s">
        <v>413</v>
      </c>
      <c r="D6" s="27" t="s">
        <v>39</v>
      </c>
      <c r="F6" s="27" t="s">
        <v>61</v>
      </c>
      <c r="G6" s="42" t="s">
        <v>15</v>
      </c>
      <c r="H6" s="42" t="s">
        <v>96</v>
      </c>
      <c r="I6" s="27" t="s">
        <v>128</v>
      </c>
      <c r="J6" s="27" t="s">
        <v>62</v>
      </c>
      <c r="K6" s="27" t="s">
        <v>117</v>
      </c>
      <c r="L6" s="27" t="s">
        <v>413</v>
      </c>
      <c r="M6" s="27" t="s">
        <v>660</v>
      </c>
      <c r="N6" s="27" t="s">
        <v>63</v>
      </c>
      <c r="O6" s="27" t="s">
        <v>649</v>
      </c>
      <c r="P6" s="27" t="s">
        <v>659</v>
      </c>
      <c r="R6" s="27" t="s">
        <v>61</v>
      </c>
      <c r="S6" s="42" t="s">
        <v>100</v>
      </c>
      <c r="T6" s="42" t="s">
        <v>101</v>
      </c>
      <c r="U6" s="42" t="s">
        <v>102</v>
      </c>
      <c r="V6" s="42" t="s">
        <v>148</v>
      </c>
      <c r="W6" s="27" t="s">
        <v>143</v>
      </c>
      <c r="X6" s="27" t="s">
        <v>144</v>
      </c>
      <c r="Y6" s="27" t="s">
        <v>117</v>
      </c>
      <c r="Z6" s="27" t="s">
        <v>413</v>
      </c>
      <c r="AA6" s="27" t="s">
        <v>660</v>
      </c>
      <c r="AB6" s="27" t="s">
        <v>63</v>
      </c>
      <c r="AC6" s="27" t="s">
        <v>650</v>
      </c>
      <c r="AD6" s="27" t="s">
        <v>659</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IFERROR(F8/(H8/C$18),0)+L8</f>
        <v>6000000</v>
      </c>
      <c r="P8" s="35">
        <f>IFERROR(O8/O$18,0)</f>
        <v>0.55491329479768781</v>
      </c>
      <c r="R8" s="137">
        <v>0</v>
      </c>
      <c r="S8" s="6">
        <f>F8</f>
        <v>0</v>
      </c>
      <c r="T8" s="4">
        <f ca="1">FV(I8/12,DATEDIF(G$29,S$29,"m"),0,-S8)-S8</f>
        <v>0</v>
      </c>
      <c r="U8" s="6">
        <f ca="1">T8+S8</f>
        <v>0</v>
      </c>
      <c r="V8" s="6">
        <f ca="1">IF(S$30="no",IFERROR(U8/(1-G8),0),IFERROR(U8/(1-(MAX(G8,(S$28-H8/L$18)/S$28))),0))</f>
        <v>0</v>
      </c>
      <c r="W8" s="37">
        <f ca="1">S$28</f>
        <v>1.0943392559343366</v>
      </c>
      <c r="X8" s="37">
        <f ca="1">IF(U8=0,0,IF(H8&lt;&gt;0,MIN(W8*(1-G8),H8/L$18),W8*(1-G8)))</f>
        <v>0</v>
      </c>
      <c r="Y8" s="4">
        <f ca="1">IFERROR(R8/W8,0)+IFERROR(U8/X8,0)</f>
        <v>0</v>
      </c>
      <c r="Z8" s="6">
        <f ca="1">Y8+L8</f>
        <v>6000000</v>
      </c>
      <c r="AA8" s="35">
        <f ca="1">IFERROR(Z8/Z$18,0)</f>
        <v>0.43676821651723863</v>
      </c>
      <c r="AB8" s="4">
        <f ca="1">Z8*S$28</f>
        <v>6566035.5356060192</v>
      </c>
      <c r="AC8" s="4">
        <f ca="1">Z8</f>
        <v>6000000</v>
      </c>
      <c r="AD8" s="35">
        <f ca="1">IFERROR(AC8/AC$18,0)</f>
        <v>0.43676821651723863</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 t="shared" ref="O9:O16" si="0">IFERROR(F9/(H9/C$18),0)+L9</f>
        <v>3000000</v>
      </c>
      <c r="P9" s="35">
        <f>IFERROR(O9/O$18,0)</f>
        <v>0.2774566473988439</v>
      </c>
      <c r="R9" s="137">
        <v>0</v>
      </c>
      <c r="S9" s="6">
        <f>F9</f>
        <v>0</v>
      </c>
      <c r="T9" s="4">
        <f t="shared" ref="T9:T16" ca="1" si="1">FV(I9/12,DATEDIF(G$29,S$29,"m"),0,-S9)-S9</f>
        <v>0</v>
      </c>
      <c r="U9" s="6">
        <f ca="1">T9+S9</f>
        <v>0</v>
      </c>
      <c r="V9" s="6">
        <f ca="1">IF(S$30="no",IFERROR(U9/(1-G9),0),IFERROR(U9/(1-(MAX(G9,(S$28-H9/L$18)/S$28))),0))</f>
        <v>0</v>
      </c>
      <c r="W9" s="37">
        <f ca="1">S$28</f>
        <v>1.0943392559343366</v>
      </c>
      <c r="X9" s="37">
        <f ca="1">IF(U9=0,0,IF(H9&lt;&gt;0,MIN(W9*(1-G9),H9/L$18),W9*(1-G9)))</f>
        <v>0</v>
      </c>
      <c r="Y9" s="4">
        <f ca="1">IFERROR(R9/W9,0)+IFERROR(U9/X9,0)</f>
        <v>0</v>
      </c>
      <c r="Z9" s="6">
        <f ca="1">Y9+L9</f>
        <v>3000000</v>
      </c>
      <c r="AA9" s="35">
        <f ca="1">IFERROR(Z9/Z$18,0)</f>
        <v>0.21838410825861931</v>
      </c>
      <c r="AB9" s="4">
        <f ca="1">Z9*S$28</f>
        <v>3283017.7678030096</v>
      </c>
      <c r="AC9" s="4">
        <f ca="1">Z9</f>
        <v>3000000</v>
      </c>
      <c r="AD9" s="35">
        <f ca="1">IFERROR(AC9/AC$18,0)</f>
        <v>0.21838410825861931</v>
      </c>
    </row>
    <row r="10" spans="2:30">
      <c r="B10" s="137" t="s">
        <v>59</v>
      </c>
      <c r="C10" s="14">
        <f>D10*C$18</f>
        <v>500000</v>
      </c>
      <c r="D10" s="277">
        <v>0.05</v>
      </c>
      <c r="F10" s="137">
        <v>0</v>
      </c>
      <c r="G10" s="276">
        <v>0</v>
      </c>
      <c r="H10" s="137">
        <v>0</v>
      </c>
      <c r="I10" s="277">
        <v>0</v>
      </c>
      <c r="J10" s="37">
        <f>G$28</f>
        <v>0</v>
      </c>
      <c r="K10" s="10">
        <f>IFERROR(F10/J10,0)</f>
        <v>0</v>
      </c>
      <c r="L10" s="6">
        <f>K10+C10</f>
        <v>500000</v>
      </c>
      <c r="M10" s="35">
        <f>IFERROR(L10/L$18,0)</f>
        <v>0.05</v>
      </c>
      <c r="N10" s="4">
        <f>L10*G$28</f>
        <v>0</v>
      </c>
      <c r="O10" s="4">
        <f t="shared" si="0"/>
        <v>500000</v>
      </c>
      <c r="P10" s="35">
        <f>IFERROR(O10/O$18,0)</f>
        <v>4.6242774566473986E-2</v>
      </c>
      <c r="R10" s="137">
        <v>0</v>
      </c>
      <c r="S10" s="6">
        <f>F10</f>
        <v>0</v>
      </c>
      <c r="T10" s="4">
        <f t="shared" ca="1" si="1"/>
        <v>0</v>
      </c>
      <c r="U10" s="6">
        <f ca="1">T10+S10</f>
        <v>0</v>
      </c>
      <c r="V10" s="6">
        <f ca="1">IF(S$30="no",IFERROR(U10/(1-G10),0),IFERROR(U10/(1-(MAX(G10,(S$28-H10/L$18)/S$28))),0))</f>
        <v>0</v>
      </c>
      <c r="W10" s="37">
        <f ca="1">S$28</f>
        <v>1.0943392559343366</v>
      </c>
      <c r="X10" s="37">
        <f ca="1">IF(U10=0,0,IF(H10&lt;&gt;0,MIN(W10*(1-G10),H10/L$18),W10*(1-G10)))</f>
        <v>0</v>
      </c>
      <c r="Y10" s="4">
        <f ca="1">IFERROR(R10/W10,0)+IFERROR(U10/X10,0)</f>
        <v>0</v>
      </c>
      <c r="Z10" s="6">
        <f ca="1">Y10+L10</f>
        <v>500000</v>
      </c>
      <c r="AA10" s="35">
        <f ca="1">IFERROR(Z10/Z$18,0)</f>
        <v>3.6397351376436557E-2</v>
      </c>
      <c r="AB10" s="4">
        <f ca="1">Z10*S$28</f>
        <v>547169.62796716823</v>
      </c>
      <c r="AC10" s="4">
        <f ca="1">Z10</f>
        <v>500000</v>
      </c>
      <c r="AD10" s="35">
        <f ca="1">IFERROR(AC10/AC$18,0)</f>
        <v>3.6397351376436557E-2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 t="shared" si="0"/>
        <v>300000</v>
      </c>
      <c r="P11" s="35">
        <f>IFERROR(O11/O$18,0)</f>
        <v>2.7745664739884393E-2</v>
      </c>
      <c r="R11" s="137">
        <v>0</v>
      </c>
      <c r="S11" s="6">
        <f>F11</f>
        <v>0</v>
      </c>
      <c r="T11" s="4">
        <f t="shared" ca="1" si="1"/>
        <v>0</v>
      </c>
      <c r="U11" s="6">
        <f ca="1">T11+S11</f>
        <v>0</v>
      </c>
      <c r="V11" s="6">
        <f ca="1">IF(S$30="no",IFERROR(U11/(1-G11),0),IFERROR(U11/(1-(MAX(G11,(S$28-H11/L$18)/S$28))),0))</f>
        <v>0</v>
      </c>
      <c r="W11" s="37">
        <f ca="1">S$28</f>
        <v>1.0943392559343366</v>
      </c>
      <c r="X11" s="37">
        <f ca="1">IF(U11=0,0,IF(H11&lt;&gt;0,MIN(W11*(1-G11),H11/L$18),W11*(1-G11)))</f>
        <v>0</v>
      </c>
      <c r="Y11" s="4">
        <f ca="1">IFERROR(R11/W11,0)+IFERROR(U11/X11,0)</f>
        <v>0</v>
      </c>
      <c r="Z11" s="6">
        <f ca="1">Y11+L11</f>
        <v>300000</v>
      </c>
      <c r="AA11" s="35">
        <f ca="1">IFERROR(Z11/Z$18,0)</f>
        <v>2.1838410825861933E-2</v>
      </c>
      <c r="AB11" s="4">
        <f ca="1">Z11*S$28</f>
        <v>328301.77678030095</v>
      </c>
      <c r="AC11" s="4">
        <f ca="1">Z11</f>
        <v>300000</v>
      </c>
      <c r="AD11" s="35">
        <f ca="1">IFERROR(AC11/AC$18,0)</f>
        <v>2.1838410825861933E-2</v>
      </c>
    </row>
    <row r="12" spans="2:30">
      <c r="B12" s="137" t="s">
        <v>59</v>
      </c>
      <c r="C12" s="14">
        <f>D12*C$18</f>
        <v>200000</v>
      </c>
      <c r="D12" s="277">
        <v>0.02</v>
      </c>
      <c r="F12" s="137">
        <v>0</v>
      </c>
      <c r="G12" s="276">
        <v>0</v>
      </c>
      <c r="H12" s="137">
        <v>0</v>
      </c>
      <c r="I12" s="277">
        <v>0</v>
      </c>
      <c r="J12" s="37">
        <f>G$28</f>
        <v>0</v>
      </c>
      <c r="K12" s="10">
        <f>IFERROR(F12/J12,0)</f>
        <v>0</v>
      </c>
      <c r="L12" s="6">
        <f>K12+C12</f>
        <v>200000</v>
      </c>
      <c r="M12" s="35">
        <f>IFERROR(L12/L$18,0)</f>
        <v>0.02</v>
      </c>
      <c r="N12" s="4">
        <f>L12*G$28</f>
        <v>0</v>
      </c>
      <c r="O12" s="4">
        <f t="shared" si="0"/>
        <v>200000</v>
      </c>
      <c r="P12" s="35">
        <f>IFERROR(O12/O$18,0)</f>
        <v>1.8497109826589597E-2</v>
      </c>
      <c r="R12" s="137">
        <v>0</v>
      </c>
      <c r="S12" s="6">
        <f>F12</f>
        <v>0</v>
      </c>
      <c r="T12" s="4">
        <f t="shared" ca="1" si="1"/>
        <v>0</v>
      </c>
      <c r="U12" s="6">
        <f ca="1">T12+S12</f>
        <v>0</v>
      </c>
      <c r="V12" s="6">
        <f ca="1">IF(S$30="no",IFERROR(U12/(1-G12),0),IFERROR(U12/(1-(MAX(G12,(S$28-H12/L$18)/S$28))),0))</f>
        <v>0</v>
      </c>
      <c r="W12" s="37">
        <f ca="1">S$28</f>
        <v>1.0943392559343366</v>
      </c>
      <c r="X12" s="37">
        <f ca="1">IF(U12=0,0,IF(H12&lt;&gt;0,MIN(W12*(1-G12),H12/L$18),W12*(1-G12)))</f>
        <v>0</v>
      </c>
      <c r="Y12" s="4">
        <f ca="1">IFERROR(R12/W12,0)+IFERROR(U12/X12,0)</f>
        <v>0</v>
      </c>
      <c r="Z12" s="6">
        <f ca="1">Y12+L12</f>
        <v>200000</v>
      </c>
      <c r="AA12" s="35">
        <f ca="1">IFERROR(Z12/Z$18,0)</f>
        <v>1.4558940550574622E-2</v>
      </c>
      <c r="AB12" s="4">
        <f ca="1">Z12*S$28</f>
        <v>218867.85118686731</v>
      </c>
      <c r="AC12" s="4">
        <f ca="1">Z12</f>
        <v>200000</v>
      </c>
      <c r="AD12" s="35">
        <f ca="1">IFERROR(AC12/AC$18,0)</f>
        <v>1.4558940550574622E-2</v>
      </c>
    </row>
    <row r="14" spans="2:30">
      <c r="B14" s="137" t="s">
        <v>60</v>
      </c>
      <c r="C14" s="14">
        <f>D14*C$18</f>
        <v>0</v>
      </c>
      <c r="D14" s="277">
        <v>0</v>
      </c>
      <c r="F14" s="137">
        <v>500000</v>
      </c>
      <c r="G14" s="276">
        <v>0.2</v>
      </c>
      <c r="H14" s="137">
        <v>10000000</v>
      </c>
      <c r="I14" s="277">
        <v>0.08</v>
      </c>
      <c r="J14" s="37">
        <f>G$28</f>
        <v>0</v>
      </c>
      <c r="K14" s="4">
        <f>IFERROR(F14/J14,0)</f>
        <v>0</v>
      </c>
      <c r="L14" s="6">
        <f>K14+C14</f>
        <v>0</v>
      </c>
      <c r="M14" s="35">
        <f>IFERROR(L14/L$18,0)</f>
        <v>0</v>
      </c>
      <c r="N14" s="4">
        <f>L14*G$28</f>
        <v>0</v>
      </c>
      <c r="O14" s="4">
        <f t="shared" si="0"/>
        <v>500000</v>
      </c>
      <c r="P14" s="35">
        <f>IFERROR(O14/O$18,0)</f>
        <v>4.6242774566473986E-2</v>
      </c>
      <c r="R14" s="137">
        <v>0</v>
      </c>
      <c r="S14" s="6">
        <f>F14</f>
        <v>500000</v>
      </c>
      <c r="T14" s="4">
        <f t="shared" ca="1" si="1"/>
        <v>63523.968350204988</v>
      </c>
      <c r="U14" s="6">
        <f ca="1">T14+S14</f>
        <v>563523.96835020499</v>
      </c>
      <c r="V14" s="6">
        <f ca="1">IF(S$30="no",IFERROR(U14/(1-G14),0),IFERROR(U14/(1-(MAX(G14,(S$28-H14/L$18)/S$28))),0))</f>
        <v>704404.96043775615</v>
      </c>
      <c r="W14" s="37">
        <f ca="1">S$28</f>
        <v>1.0943392559343366</v>
      </c>
      <c r="X14" s="37">
        <f ca="1">IF(U14=0,0,IF(H14&lt;&gt;0,MIN(W14*(1-G14),H14/L$18),W14*(1-G14)))</f>
        <v>0.87547140474746932</v>
      </c>
      <c r="Y14" s="4">
        <f ca="1">IFERROR(R14/W14,0)+IFERROR(U14/X14,0)</f>
        <v>643680.6105766003</v>
      </c>
      <c r="Z14" s="6">
        <f ca="1">Y14+L14</f>
        <v>643680.6105766003</v>
      </c>
      <c r="AA14" s="35">
        <f ca="1">IFERROR(Z14/Z$18,0)</f>
        <v>4.6856538714711488E-2</v>
      </c>
      <c r="AB14" s="4">
        <f ca="1">Z14*S$28</f>
        <v>704404.96043775626</v>
      </c>
      <c r="AC14" s="4">
        <f ca="1">Z14</f>
        <v>643680.6105766003</v>
      </c>
      <c r="AD14" s="35">
        <f ca="1">IFERROR(AC14/AC$18,0)</f>
        <v>4.6856538714711488E-2</v>
      </c>
    </row>
    <row r="15" spans="2:30">
      <c r="B15" s="137" t="s">
        <v>64</v>
      </c>
      <c r="C15" s="14">
        <f>D15*C$18</f>
        <v>0</v>
      </c>
      <c r="D15" s="277">
        <v>0</v>
      </c>
      <c r="F15" s="137">
        <v>250000</v>
      </c>
      <c r="G15" s="276">
        <v>0.2</v>
      </c>
      <c r="H15" s="137">
        <v>8000000</v>
      </c>
      <c r="I15" s="277">
        <v>0.08</v>
      </c>
      <c r="J15" s="37">
        <f>G$28</f>
        <v>0</v>
      </c>
      <c r="K15" s="4">
        <f>IFERROR(F15/J15,0)</f>
        <v>0</v>
      </c>
      <c r="L15" s="6">
        <f>K15+C15</f>
        <v>0</v>
      </c>
      <c r="M15" s="35">
        <f>IFERROR(L15/L$18,0)</f>
        <v>0</v>
      </c>
      <c r="N15" s="4">
        <f>L15*G$28</f>
        <v>0</v>
      </c>
      <c r="O15" s="4">
        <f t="shared" si="0"/>
        <v>312500</v>
      </c>
      <c r="P15" s="35">
        <f>IFERROR(O15/O$18,0)</f>
        <v>2.8901734104046242E-2</v>
      </c>
      <c r="R15" s="137">
        <v>0</v>
      </c>
      <c r="S15" s="6">
        <f>F15</f>
        <v>250000</v>
      </c>
      <c r="T15" s="4">
        <f t="shared" ca="1" si="1"/>
        <v>31761.984175102494</v>
      </c>
      <c r="U15" s="6">
        <f ca="1">T15+S15</f>
        <v>281761.98417510249</v>
      </c>
      <c r="V15" s="6">
        <f ca="1">IF(S$30="no",IFERROR(U15/(1-G15),0),IFERROR(U15/(1-(MAX(G15,(S$28-H15/L$18)/S$28))),0))</f>
        <v>352202.48021887807</v>
      </c>
      <c r="W15" s="37">
        <f ca="1">S$28</f>
        <v>1.0943392559343366</v>
      </c>
      <c r="X15" s="37">
        <f ca="1">IF(U15=0,0,IF(H15&lt;&gt;0,MIN(W15*(1-G15),H15/L$18),W15*(1-G15)))</f>
        <v>0.8</v>
      </c>
      <c r="Y15" s="4">
        <f ca="1">IFERROR(R15/W15,0)+IFERROR(U15/X15,0)</f>
        <v>352202.48021887807</v>
      </c>
      <c r="Z15" s="6">
        <f ca="1">Y15+L15</f>
        <v>352202.48021887807</v>
      </c>
      <c r="AA15" s="35">
        <f ca="1">IFERROR(Z15/Z$18,0)</f>
        <v>2.5638474856357899E-2</v>
      </c>
      <c r="AB15" s="4">
        <f ca="1">Z15*S$28</f>
        <v>385429.00014095491</v>
      </c>
      <c r="AC15" s="4">
        <f ca="1">Z15</f>
        <v>352202.48021887807</v>
      </c>
      <c r="AD15" s="35">
        <f ca="1">IFERROR(AC15/AC$18,0)</f>
        <v>2.5638474856357899E-2</v>
      </c>
    </row>
    <row r="16" spans="2:30">
      <c r="B16" s="137" t="s">
        <v>91</v>
      </c>
      <c r="C16" s="14">
        <f>D16*C$18</f>
        <v>0</v>
      </c>
      <c r="D16" s="277">
        <v>0</v>
      </c>
      <c r="F16" s="137">
        <v>0</v>
      </c>
      <c r="G16" s="276">
        <v>0</v>
      </c>
      <c r="H16" s="137">
        <v>0</v>
      </c>
      <c r="I16" s="277">
        <v>0</v>
      </c>
      <c r="J16" s="37">
        <f>G$28</f>
        <v>0</v>
      </c>
      <c r="K16" s="4">
        <f>IFERROR(F16/J16,0)</f>
        <v>0</v>
      </c>
      <c r="L16" s="6">
        <f>K16+C16</f>
        <v>0</v>
      </c>
      <c r="M16" s="35">
        <f>IFERROR(L16/L$18,0)</f>
        <v>0</v>
      </c>
      <c r="N16" s="4">
        <f>L16*G$28</f>
        <v>0</v>
      </c>
      <c r="O16" s="4">
        <f t="shared" si="0"/>
        <v>0</v>
      </c>
      <c r="P16" s="35">
        <f>IFERROR(O16/O$18,0)</f>
        <v>0</v>
      </c>
      <c r="R16" s="137">
        <v>3000000</v>
      </c>
      <c r="S16" s="6">
        <f>F16</f>
        <v>0</v>
      </c>
      <c r="T16" s="4">
        <f t="shared" ca="1" si="1"/>
        <v>0</v>
      </c>
      <c r="U16" s="6">
        <f ca="1">T16+S16</f>
        <v>0</v>
      </c>
      <c r="V16" s="6">
        <f ca="1">IF(S$30="no",IFERROR(U16/(1-G16),0),IFERROR(U16/(1-(MAX(G16,(S$28-H16/L$18)/S$28))),0))</f>
        <v>0</v>
      </c>
      <c r="W16" s="37">
        <f ca="1">S$28</f>
        <v>1.0943392559343366</v>
      </c>
      <c r="X16" s="37">
        <f ca="1">IF(U16=0,0,IF(H16&lt;&gt;0,MIN(W16*(1-G16),H16/L$18),W16*(1-G16)))</f>
        <v>0</v>
      </c>
      <c r="Y16" s="4">
        <f ca="1">IFERROR(R16/W16,0)+IFERROR(U16/X16,0)</f>
        <v>2741380.2289662249</v>
      </c>
      <c r="Z16" s="6">
        <f ca="1">Y16+L16</f>
        <v>2741380.2289662249</v>
      </c>
      <c r="AA16" s="35">
        <f ca="1">IFERROR(Z16/Z$18,0)</f>
        <v>0.19955795890019956</v>
      </c>
      <c r="AB16" s="4">
        <f ca="1">Z16*S$28</f>
        <v>3000000</v>
      </c>
      <c r="AC16" s="4">
        <f ca="1">Z16</f>
        <v>2741380.2289662249</v>
      </c>
      <c r="AD16" s="35">
        <f ca="1">IFERROR(AC16/AC$18,0)</f>
        <v>0.19955795890019956</v>
      </c>
    </row>
    <row r="17" spans="2:30">
      <c r="D17" s="36"/>
    </row>
    <row r="18" spans="2:30">
      <c r="B18" s="38" t="s">
        <v>20</v>
      </c>
      <c r="C18" s="278">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95285.952525307483</v>
      </c>
      <c r="U18" s="8">
        <f ca="1">SUM(U8:U12,U14:U16)</f>
        <v>845285.95252530742</v>
      </c>
      <c r="V18" s="8">
        <f ca="1">SUM(V8:V12,V14:V16)</f>
        <v>1056607.4406566343</v>
      </c>
      <c r="W18" s="45"/>
      <c r="X18" s="45"/>
      <c r="Y18" s="8">
        <f t="shared" ref="Y18:AD18" ca="1" si="2">SUM(Y8:Y12,Y14:Y16)</f>
        <v>3737263.3197617033</v>
      </c>
      <c r="Z18" s="8">
        <f t="shared" ca="1" si="2"/>
        <v>13737263.319761703</v>
      </c>
      <c r="AA18" s="39">
        <f t="shared" ca="1" si="2"/>
        <v>1</v>
      </c>
      <c r="AB18" s="8">
        <f t="shared" ca="1" si="2"/>
        <v>15033226.519922078</v>
      </c>
      <c r="AC18" s="8">
        <f t="shared" ca="1" si="2"/>
        <v>13737263.319761703</v>
      </c>
      <c r="AD18" s="39">
        <f t="shared" ca="1" si="2"/>
        <v>1</v>
      </c>
    </row>
    <row r="19" spans="2:30">
      <c r="AA19" s="49" t="s">
        <v>81</v>
      </c>
    </row>
    <row r="21" spans="2:30">
      <c r="F21" s="34" t="s">
        <v>65</v>
      </c>
      <c r="R21" s="34" t="s">
        <v>89</v>
      </c>
    </row>
    <row r="22" spans="2:30">
      <c r="F22" s="2" t="s">
        <v>67</v>
      </c>
      <c r="G22" s="6">
        <f>F18</f>
        <v>750000</v>
      </c>
      <c r="R22" s="2" t="s">
        <v>67</v>
      </c>
      <c r="S22" s="6">
        <f>R18</f>
        <v>3000000</v>
      </c>
    </row>
    <row r="23" spans="2:30">
      <c r="F23" s="2" t="s">
        <v>100</v>
      </c>
      <c r="G23" s="6">
        <v>0</v>
      </c>
      <c r="R23" s="2" t="s">
        <v>100</v>
      </c>
      <c r="S23" s="6">
        <f ca="1">U18</f>
        <v>845285.95252530742</v>
      </c>
    </row>
    <row r="24" spans="2:30">
      <c r="F24" s="2" t="s">
        <v>148</v>
      </c>
      <c r="G24" s="6">
        <v>0</v>
      </c>
      <c r="R24" s="2" t="s">
        <v>148</v>
      </c>
      <c r="S24" s="6">
        <f ca="1">V18</f>
        <v>1056607.4406566343</v>
      </c>
      <c r="T24" s="130"/>
    </row>
    <row r="25" spans="2:30">
      <c r="F25" s="2" t="s">
        <v>66</v>
      </c>
      <c r="G25" s="13">
        <v>0</v>
      </c>
      <c r="H25" s="10"/>
      <c r="R25" s="2" t="s">
        <v>66</v>
      </c>
      <c r="S25" s="6">
        <f ca="1">S26-S24-S22</f>
        <v>10943392.559343366</v>
      </c>
      <c r="T25" s="10" t="s">
        <v>82</v>
      </c>
    </row>
    <row r="26" spans="2:30">
      <c r="F26" s="2" t="s">
        <v>103</v>
      </c>
      <c r="G26" s="6">
        <f>IF(G25=0,0,G25+G22)</f>
        <v>0</v>
      </c>
      <c r="R26" s="2" t="s">
        <v>103</v>
      </c>
      <c r="S26" s="137">
        <v>15000000</v>
      </c>
      <c r="T26" s="10" t="s">
        <v>78</v>
      </c>
    </row>
    <row r="27" spans="2:30">
      <c r="F27" s="2" t="s">
        <v>152</v>
      </c>
      <c r="G27" s="6">
        <f>G26</f>
        <v>0</v>
      </c>
      <c r="R27" s="2" t="s">
        <v>152</v>
      </c>
      <c r="S27" s="6">
        <f>S26</f>
        <v>15000000</v>
      </c>
      <c r="T27" s="10"/>
    </row>
    <row r="28" spans="2:30">
      <c r="F28" s="2" t="s">
        <v>62</v>
      </c>
      <c r="G28" s="37">
        <f>G25/C18</f>
        <v>0</v>
      </c>
      <c r="R28" s="2" t="s">
        <v>62</v>
      </c>
      <c r="S28" s="37">
        <f ca="1">S25/L18</f>
        <v>1.0943392559343366</v>
      </c>
      <c r="T28" s="10"/>
    </row>
    <row r="29" spans="2:30">
      <c r="F29" s="2" t="s">
        <v>40</v>
      </c>
      <c r="G29" s="25">
        <f ca="1">EDATE(TODAY(),-18)</f>
        <v>43272</v>
      </c>
      <c r="R29" s="2" t="s">
        <v>40</v>
      </c>
      <c r="S29" s="25">
        <f ca="1">TODAY()</f>
        <v>43820</v>
      </c>
      <c r="T29" s="10"/>
    </row>
    <row r="30" spans="2:30">
      <c r="R30" s="2" t="s">
        <v>210</v>
      </c>
      <c r="S30" s="55" t="s">
        <v>211</v>
      </c>
      <c r="T30" s="10" t="s">
        <v>80</v>
      </c>
    </row>
    <row r="31" spans="2:30">
      <c r="B31" s="33" t="s">
        <v>54</v>
      </c>
    </row>
    <row r="32" spans="2:30">
      <c r="B32" s="2" t="s">
        <v>153</v>
      </c>
    </row>
    <row r="33" spans="2:2">
      <c r="B33" s="2" t="s">
        <v>154</v>
      </c>
    </row>
    <row r="34" spans="2:2">
      <c r="B34" s="2" t="s">
        <v>155</v>
      </c>
    </row>
    <row r="35" spans="2:2">
      <c r="B35" s="2" t="s">
        <v>212</v>
      </c>
    </row>
    <row r="36" spans="2:2">
      <c r="B36" s="2" t="s">
        <v>651</v>
      </c>
    </row>
    <row r="37" spans="2:2">
      <c r="B37" s="2" t="s">
        <v>652</v>
      </c>
    </row>
  </sheetData>
  <dataValidations count="1">
    <dataValidation type="list" allowBlank="1" showInputMessage="1" showErrorMessage="1" sqref="S30" xr:uid="{00000000-0002-0000-0E00-000000000000}">
      <formula1>"no,yes"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AD39"/>
  <sheetViews>
    <sheetView showGridLines="0" workbookViewId="0">
      <pane xSplit="2" topLeftCell="C1" activePane="topRight" state="frozen"/>
      <selection activeCell="B47" sqref="B47"/>
      <selection pane="topRight" activeCell="T16" sqref="T16"/>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8.33203125" style="2" customWidth="1"/>
    <col min="7" max="9" width="18.6640625" style="2" customWidth="1"/>
    <col min="10" max="16" width="16.83203125" style="2" customWidth="1"/>
    <col min="17" max="17" width="10.83203125" style="2"/>
    <col min="18" max="18" width="28.6640625" style="2" customWidth="1"/>
    <col min="19" max="19" width="18.1640625" style="2" customWidth="1"/>
    <col min="20" max="33" width="16.83203125" style="2" customWidth="1"/>
    <col min="34" max="16384" width="10.83203125" style="2"/>
  </cols>
  <sheetData>
    <row r="2" spans="2:30">
      <c r="B2" s="19" t="s">
        <v>414</v>
      </c>
    </row>
    <row r="3" spans="2:30">
      <c r="B3" s="34" t="s">
        <v>58</v>
      </c>
    </row>
    <row r="6" spans="2:30" s="43" customFormat="1" ht="54">
      <c r="B6" s="28" t="s">
        <v>55</v>
      </c>
      <c r="C6" s="27" t="s">
        <v>413</v>
      </c>
      <c r="D6" s="27" t="s">
        <v>39</v>
      </c>
      <c r="F6" s="27" t="s">
        <v>61</v>
      </c>
      <c r="G6" s="42" t="s">
        <v>15</v>
      </c>
      <c r="H6" s="42" t="s">
        <v>96</v>
      </c>
      <c r="I6" s="27" t="s">
        <v>128</v>
      </c>
      <c r="J6" s="27" t="s">
        <v>62</v>
      </c>
      <c r="K6" s="27" t="s">
        <v>117</v>
      </c>
      <c r="L6" s="27" t="s">
        <v>413</v>
      </c>
      <c r="M6" s="27" t="s">
        <v>660</v>
      </c>
      <c r="N6" s="27" t="s">
        <v>63</v>
      </c>
      <c r="O6" s="27" t="s">
        <v>649</v>
      </c>
      <c r="P6" s="27" t="s">
        <v>659</v>
      </c>
      <c r="R6" s="27" t="s">
        <v>61</v>
      </c>
      <c r="S6" s="42" t="s">
        <v>100</v>
      </c>
      <c r="T6" s="42" t="s">
        <v>101</v>
      </c>
      <c r="U6" s="42" t="s">
        <v>102</v>
      </c>
      <c r="V6" s="42" t="s">
        <v>148</v>
      </c>
      <c r="W6" s="27" t="s">
        <v>143</v>
      </c>
      <c r="X6" s="27" t="s">
        <v>144</v>
      </c>
      <c r="Y6" s="27" t="s">
        <v>117</v>
      </c>
      <c r="Z6" s="27" t="s">
        <v>413</v>
      </c>
      <c r="AA6" s="27" t="s">
        <v>660</v>
      </c>
      <c r="AB6" s="27" t="s">
        <v>63</v>
      </c>
      <c r="AC6" s="27" t="s">
        <v>650</v>
      </c>
      <c r="AD6" s="27" t="s">
        <v>659</v>
      </c>
    </row>
    <row r="8" spans="2:30">
      <c r="B8" s="13" t="s">
        <v>57</v>
      </c>
      <c r="C8" s="14">
        <f>D8*C$18</f>
        <v>6000000</v>
      </c>
      <c r="D8" s="29">
        <v>0.6</v>
      </c>
      <c r="F8" s="13">
        <v>0</v>
      </c>
      <c r="G8" s="40">
        <v>0</v>
      </c>
      <c r="H8" s="13">
        <v>0</v>
      </c>
      <c r="I8" s="29">
        <v>0</v>
      </c>
      <c r="J8" s="37">
        <f>G$29</f>
        <v>0</v>
      </c>
      <c r="K8" s="10">
        <f>IFERROR(F8/J8,0)</f>
        <v>0</v>
      </c>
      <c r="L8" s="6">
        <f>K8+C8</f>
        <v>6000000</v>
      </c>
      <c r="M8" s="35">
        <f>IFERROR(L8/L$18,0)</f>
        <v>0.6</v>
      </c>
      <c r="N8" s="4">
        <f>L8*G$29</f>
        <v>0</v>
      </c>
      <c r="O8" s="4">
        <f>IFERROR(F8/(H8/C$18),0)+L8</f>
        <v>6000000</v>
      </c>
      <c r="P8" s="35">
        <f>IFERROR(O8/O$18,0)</f>
        <v>0.55491329479768781</v>
      </c>
      <c r="R8" s="13">
        <v>0</v>
      </c>
      <c r="S8" s="6">
        <f>F8</f>
        <v>0</v>
      </c>
      <c r="T8" s="4">
        <f ca="1">FV(I8/12,DATEDIF(G$30,S$30,"m"),0,-S8)-S8</f>
        <v>0</v>
      </c>
      <c r="U8" s="6">
        <f ca="1">T8+S8</f>
        <v>0</v>
      </c>
      <c r="V8" s="6">
        <f ca="1">IF(S$31="no",IFERROR(U8/(1-G8),0),IFERROR(U8/(1-(MAX(G8,(S$29-H8/L$18)/S$29))),0))</f>
        <v>0</v>
      </c>
      <c r="W8" s="37">
        <f ca="1">S$29</f>
        <v>1.1788678511868673</v>
      </c>
      <c r="X8" s="37">
        <f ca="1">IF(U8=0,0,IF(H8&lt;&gt;0,MIN(W8*(1-G8),H8/L$18),W8*(1-G8)))</f>
        <v>0</v>
      </c>
      <c r="Y8" s="4">
        <f ca="1">IFERROR(R8/W8,0)+IFERROR(U8/X8,0)</f>
        <v>0</v>
      </c>
      <c r="Z8" s="6">
        <f ca="1">Y8+L8</f>
        <v>6000000</v>
      </c>
      <c r="AA8" s="35">
        <f ca="1">IFERROR(Z8/Z$18,0)</f>
        <v>0.44462415061564797</v>
      </c>
      <c r="AB8" s="4">
        <f ca="1">Z8*S$29</f>
        <v>7073207.107121204</v>
      </c>
      <c r="AC8" s="4">
        <f ca="1">Z8</f>
        <v>6000000</v>
      </c>
      <c r="AD8" s="35">
        <f ca="1">IFERROR(AC8/AC$18,0)</f>
        <v>0.44462415061564797</v>
      </c>
    </row>
    <row r="9" spans="2:30">
      <c r="B9" s="13" t="s">
        <v>57</v>
      </c>
      <c r="C9" s="14">
        <f>D9*C$18</f>
        <v>3000000</v>
      </c>
      <c r="D9" s="29">
        <v>0.3</v>
      </c>
      <c r="F9" s="13">
        <v>0</v>
      </c>
      <c r="G9" s="40">
        <v>0</v>
      </c>
      <c r="H9" s="13">
        <v>0</v>
      </c>
      <c r="I9" s="29">
        <v>0</v>
      </c>
      <c r="J9" s="37">
        <f>G$29</f>
        <v>0</v>
      </c>
      <c r="K9" s="10">
        <f>IFERROR(F9/J9,0)</f>
        <v>0</v>
      </c>
      <c r="L9" s="6">
        <f>K9+C9</f>
        <v>3000000</v>
      </c>
      <c r="M9" s="35">
        <f>IFERROR(L9/L$18,0)</f>
        <v>0.3</v>
      </c>
      <c r="N9" s="4">
        <f>L9*G$29</f>
        <v>0</v>
      </c>
      <c r="O9" s="4">
        <f t="shared" ref="O9:O16" si="0">IFERROR(F9/(H9/C$18),0)+L9</f>
        <v>3000000</v>
      </c>
      <c r="P9" s="35">
        <f>IFERROR(O9/O$18,0)</f>
        <v>0.2774566473988439</v>
      </c>
      <c r="R9" s="13">
        <v>0</v>
      </c>
      <c r="S9" s="6">
        <f>F9</f>
        <v>0</v>
      </c>
      <c r="T9" s="4">
        <f t="shared" ref="T9:T16" ca="1" si="1">FV(I9/12,DATEDIF(G$30,S$30,"m"),0,-S9)-S9</f>
        <v>0</v>
      </c>
      <c r="U9" s="6">
        <f ca="1">T9+S9</f>
        <v>0</v>
      </c>
      <c r="V9" s="6">
        <f ca="1">IF(S$31="no",IFERROR(U9/(1-G9),0),IFERROR(U9/(1-(MAX(G9,(S$29-H9/L$18)/S$29))),0))</f>
        <v>0</v>
      </c>
      <c r="W9" s="37">
        <f ca="1">S$29</f>
        <v>1.1788678511868673</v>
      </c>
      <c r="X9" s="37">
        <f ca="1">IF(U9=0,0,IF(H9&lt;&gt;0,MIN(W9*(1-G9),H9/L$18),W9*(1-G9)))</f>
        <v>0</v>
      </c>
      <c r="Y9" s="4">
        <f ca="1">IFERROR(R9/W9,0)+IFERROR(U9/X9,0)</f>
        <v>0</v>
      </c>
      <c r="Z9" s="6">
        <f ca="1">Y9+L9</f>
        <v>3000000</v>
      </c>
      <c r="AA9" s="35">
        <f ca="1">IFERROR(Z9/Z$18,0)</f>
        <v>0.22231207530782399</v>
      </c>
      <c r="AB9" s="4">
        <f ca="1">Z9*S$29</f>
        <v>3536603.553560602</v>
      </c>
      <c r="AC9" s="4">
        <f ca="1">Z9</f>
        <v>3000000</v>
      </c>
      <c r="AD9" s="35">
        <f ca="1">IFERROR(AC9/AC$18,0)</f>
        <v>0.22231207530782399</v>
      </c>
    </row>
    <row r="10" spans="2:30">
      <c r="B10" s="13" t="s">
        <v>59</v>
      </c>
      <c r="C10" s="14">
        <f>D10*C$18</f>
        <v>500000</v>
      </c>
      <c r="D10" s="29">
        <v>0.05</v>
      </c>
      <c r="F10" s="13">
        <v>0</v>
      </c>
      <c r="G10" s="40">
        <v>0</v>
      </c>
      <c r="H10" s="13">
        <v>0</v>
      </c>
      <c r="I10" s="29">
        <v>0</v>
      </c>
      <c r="J10" s="37">
        <f>G$29</f>
        <v>0</v>
      </c>
      <c r="K10" s="10">
        <f>IFERROR(F10/J10,0)</f>
        <v>0</v>
      </c>
      <c r="L10" s="6">
        <f>K10+C10</f>
        <v>500000</v>
      </c>
      <c r="M10" s="35">
        <f>IFERROR(L10/L$18,0)</f>
        <v>0.05</v>
      </c>
      <c r="N10" s="4">
        <f>L10*G$29</f>
        <v>0</v>
      </c>
      <c r="O10" s="4">
        <f t="shared" si="0"/>
        <v>500000</v>
      </c>
      <c r="P10" s="35">
        <f>IFERROR(O10/O$18,0)</f>
        <v>4.6242774566473986E-2</v>
      </c>
      <c r="R10" s="13">
        <v>0</v>
      </c>
      <c r="S10" s="6">
        <f>F10</f>
        <v>0</v>
      </c>
      <c r="T10" s="4">
        <f t="shared" ca="1" si="1"/>
        <v>0</v>
      </c>
      <c r="U10" s="6">
        <f ca="1">T10+S10</f>
        <v>0</v>
      </c>
      <c r="V10" s="6">
        <f ca="1">IF(S$31="no",IFERROR(U10/(1-G10),0),IFERROR(U10/(1-(MAX(G10,(S$29-H10/L$18)/S$29))),0))</f>
        <v>0</v>
      </c>
      <c r="W10" s="37">
        <f ca="1">S$29</f>
        <v>1.1788678511868673</v>
      </c>
      <c r="X10" s="37">
        <f ca="1">IF(U10=0,0,IF(H10&lt;&gt;0,MIN(W10*(1-G10),H10/L$18),W10*(1-G10)))</f>
        <v>0</v>
      </c>
      <c r="Y10" s="4">
        <f ca="1">IFERROR(R10/W10,0)+IFERROR(U10/X10,0)</f>
        <v>0</v>
      </c>
      <c r="Z10" s="6">
        <f ca="1">Y10+L10</f>
        <v>500000</v>
      </c>
      <c r="AA10" s="35">
        <f ca="1">IFERROR(Z10/Z$18,0)</f>
        <v>3.7052012551303998E-2</v>
      </c>
      <c r="AB10" s="4">
        <f ca="1">Z10*S$29</f>
        <v>589433.92559343367</v>
      </c>
      <c r="AC10" s="4">
        <f ca="1">Z10</f>
        <v>500000</v>
      </c>
      <c r="AD10" s="35">
        <f ca="1">IFERROR(AC10/AC$18,0)</f>
        <v>3.7052012551303998E-2</v>
      </c>
    </row>
    <row r="11" spans="2:30">
      <c r="B11" s="13" t="s">
        <v>59</v>
      </c>
      <c r="C11" s="14">
        <f>D11*C$18</f>
        <v>300000</v>
      </c>
      <c r="D11" s="29">
        <v>0.03</v>
      </c>
      <c r="F11" s="13">
        <v>0</v>
      </c>
      <c r="G11" s="40">
        <v>0</v>
      </c>
      <c r="H11" s="13">
        <v>0</v>
      </c>
      <c r="I11" s="29">
        <v>0</v>
      </c>
      <c r="J11" s="37">
        <f>G$29</f>
        <v>0</v>
      </c>
      <c r="K11" s="10">
        <f>IFERROR(F11/J11,0)</f>
        <v>0</v>
      </c>
      <c r="L11" s="6">
        <f>K11+C11</f>
        <v>300000</v>
      </c>
      <c r="M11" s="35">
        <f>IFERROR(L11/L$18,0)</f>
        <v>0.03</v>
      </c>
      <c r="N11" s="4">
        <f>L11*G$29</f>
        <v>0</v>
      </c>
      <c r="O11" s="4">
        <f t="shared" si="0"/>
        <v>300000</v>
      </c>
      <c r="P11" s="35">
        <f>IFERROR(O11/O$18,0)</f>
        <v>2.7745664739884393E-2</v>
      </c>
      <c r="R11" s="13">
        <v>0</v>
      </c>
      <c r="S11" s="6">
        <f>F11</f>
        <v>0</v>
      </c>
      <c r="T11" s="4">
        <f t="shared" ca="1" si="1"/>
        <v>0</v>
      </c>
      <c r="U11" s="6">
        <f ca="1">T11+S11</f>
        <v>0</v>
      </c>
      <c r="V11" s="6">
        <f ca="1">IF(S$31="no",IFERROR(U11/(1-G11),0),IFERROR(U11/(1-(MAX(G11,(S$29-H11/L$18)/S$29))),0))</f>
        <v>0</v>
      </c>
      <c r="W11" s="37">
        <f ca="1">S$29</f>
        <v>1.1788678511868673</v>
      </c>
      <c r="X11" s="37">
        <f ca="1">IF(U11=0,0,IF(H11&lt;&gt;0,MIN(W11*(1-G11),H11/L$18),W11*(1-G11)))</f>
        <v>0</v>
      </c>
      <c r="Y11" s="4">
        <f ca="1">IFERROR(R11/W11,0)+IFERROR(U11/X11,0)</f>
        <v>0</v>
      </c>
      <c r="Z11" s="6">
        <f ca="1">Y11+L11</f>
        <v>300000</v>
      </c>
      <c r="AA11" s="35">
        <f ca="1">IFERROR(Z11/Z$18,0)</f>
        <v>2.2231207530782397E-2</v>
      </c>
      <c r="AB11" s="4">
        <f ca="1">Z11*S$29</f>
        <v>353660.3553560602</v>
      </c>
      <c r="AC11" s="4">
        <f ca="1">Z11</f>
        <v>300000</v>
      </c>
      <c r="AD11" s="35">
        <f ca="1">IFERROR(AC11/AC$18,0)</f>
        <v>2.2231207530782397E-2</v>
      </c>
    </row>
    <row r="12" spans="2:30">
      <c r="B12" s="13" t="s">
        <v>59</v>
      </c>
      <c r="C12" s="14">
        <f>D12*C$18</f>
        <v>200000</v>
      </c>
      <c r="D12" s="29">
        <v>0.02</v>
      </c>
      <c r="F12" s="13">
        <v>0</v>
      </c>
      <c r="G12" s="40">
        <v>0</v>
      </c>
      <c r="H12" s="13">
        <v>0</v>
      </c>
      <c r="I12" s="29">
        <v>0</v>
      </c>
      <c r="J12" s="37">
        <f>G$29</f>
        <v>0</v>
      </c>
      <c r="K12" s="10">
        <f>IFERROR(F12/J12,0)</f>
        <v>0</v>
      </c>
      <c r="L12" s="6">
        <f>K12+C12</f>
        <v>200000</v>
      </c>
      <c r="M12" s="35">
        <f>IFERROR(L12/L$18,0)</f>
        <v>0.02</v>
      </c>
      <c r="N12" s="4">
        <f>L12*G$29</f>
        <v>0</v>
      </c>
      <c r="O12" s="4">
        <f t="shared" si="0"/>
        <v>200000</v>
      </c>
      <c r="P12" s="35">
        <f>IFERROR(O12/O$18,0)</f>
        <v>1.8497109826589597E-2</v>
      </c>
      <c r="R12" s="13">
        <v>0</v>
      </c>
      <c r="S12" s="6">
        <f>F12</f>
        <v>0</v>
      </c>
      <c r="T12" s="4">
        <f t="shared" ca="1" si="1"/>
        <v>0</v>
      </c>
      <c r="U12" s="6">
        <f ca="1">T12+S12</f>
        <v>0</v>
      </c>
      <c r="V12" s="6">
        <f ca="1">IF(S$31="no",IFERROR(U12/(1-G12),0),IFERROR(U12/(1-(MAX(G12,(S$29-H12/L$18)/S$29))),0))</f>
        <v>0</v>
      </c>
      <c r="W12" s="37">
        <f ca="1">S$29</f>
        <v>1.1788678511868673</v>
      </c>
      <c r="X12" s="37">
        <f ca="1">IF(U12=0,0,IF(H12&lt;&gt;0,MIN(W12*(1-G12),H12/L$18),W12*(1-G12)))</f>
        <v>0</v>
      </c>
      <c r="Y12" s="4">
        <f ca="1">IFERROR(R12/W12,0)+IFERROR(U12/X12,0)</f>
        <v>0</v>
      </c>
      <c r="Z12" s="6">
        <f ca="1">Y12+L12</f>
        <v>200000</v>
      </c>
      <c r="AA12" s="35">
        <f ca="1">IFERROR(Z12/Z$18,0)</f>
        <v>1.4820805020521598E-2</v>
      </c>
      <c r="AB12" s="4">
        <f ca="1">Z12*S$29</f>
        <v>235773.57023737347</v>
      </c>
      <c r="AC12" s="4">
        <f ca="1">Z12</f>
        <v>200000</v>
      </c>
      <c r="AD12" s="35">
        <f ca="1">IFERROR(AC12/AC$18,0)</f>
        <v>1.4820805020521598E-2</v>
      </c>
    </row>
    <row r="13" spans="2:30">
      <c r="D13" s="36"/>
      <c r="G13" s="41"/>
    </row>
    <row r="14" spans="2:30">
      <c r="B14" s="13" t="s">
        <v>60</v>
      </c>
      <c r="C14" s="14">
        <f>D14*C$18</f>
        <v>0</v>
      </c>
      <c r="D14" s="29">
        <v>0</v>
      </c>
      <c r="F14" s="13">
        <v>500000</v>
      </c>
      <c r="G14" s="40">
        <v>0.2</v>
      </c>
      <c r="H14" s="13">
        <v>10000000</v>
      </c>
      <c r="I14" s="29">
        <v>0.08</v>
      </c>
      <c r="J14" s="37">
        <f>G$29</f>
        <v>0</v>
      </c>
      <c r="K14" s="4">
        <f>IFERROR(F14/J14,0)</f>
        <v>0</v>
      </c>
      <c r="L14" s="6">
        <f>K14+C14</f>
        <v>0</v>
      </c>
      <c r="M14" s="35">
        <f>IFERROR(L14/L$18,0)</f>
        <v>0</v>
      </c>
      <c r="N14" s="4">
        <f>L14*G$29</f>
        <v>0</v>
      </c>
      <c r="O14" s="4">
        <f t="shared" si="0"/>
        <v>500000</v>
      </c>
      <c r="P14" s="35">
        <f>IFERROR(O14/O$18,0)</f>
        <v>4.6242774566473986E-2</v>
      </c>
      <c r="R14" s="13">
        <v>0</v>
      </c>
      <c r="S14" s="6">
        <f>F14</f>
        <v>500000</v>
      </c>
      <c r="T14" s="4">
        <f t="shared" ca="1" si="1"/>
        <v>63523.968350204988</v>
      </c>
      <c r="U14" s="6">
        <f ca="1">T14+S14</f>
        <v>563523.96835020499</v>
      </c>
      <c r="V14" s="6">
        <f ca="1">IF(S$31="no",IFERROR(U14/(1-G14),0),IFERROR(U14/(1-(MAX(G14,(S$29-H14/L$18)/S$29))),0))</f>
        <v>704404.96043775615</v>
      </c>
      <c r="W14" s="37">
        <f ca="1">S$29</f>
        <v>1.1788678511868673</v>
      </c>
      <c r="X14" s="37">
        <f ca="1">IF(U14=0,0,IF(H14&lt;&gt;0,MIN(W14*(1-G14),H14/L$18),W14*(1-G14)))</f>
        <v>0.94309428094949388</v>
      </c>
      <c r="Y14" s="4">
        <f ca="1">IFERROR(R14/W14,0)+IFERROR(U14/X14,0)</f>
        <v>597526.65214219841</v>
      </c>
      <c r="Z14" s="6">
        <f ca="1">Y14+L14</f>
        <v>597526.65214219841</v>
      </c>
      <c r="AA14" s="35">
        <f ca="1">IFERROR(Z14/Z$18,0)</f>
        <v>4.4279130029822783E-2</v>
      </c>
      <c r="AB14" s="4">
        <f ca="1">Z14*S$29</f>
        <v>704404.96043775615</v>
      </c>
      <c r="AC14" s="4">
        <f ca="1">Z14</f>
        <v>597526.65214219841</v>
      </c>
      <c r="AD14" s="35">
        <f ca="1">IFERROR(AC14/AC$18,0)</f>
        <v>4.4279130029822783E-2</v>
      </c>
    </row>
    <row r="15" spans="2:30">
      <c r="B15" s="13" t="s">
        <v>64</v>
      </c>
      <c r="C15" s="14">
        <f>D15*C$18</f>
        <v>0</v>
      </c>
      <c r="D15" s="29">
        <v>0</v>
      </c>
      <c r="F15" s="13">
        <v>250000</v>
      </c>
      <c r="G15" s="40">
        <v>0.2</v>
      </c>
      <c r="H15" s="13">
        <v>8000000</v>
      </c>
      <c r="I15" s="29">
        <v>0.08</v>
      </c>
      <c r="J15" s="37">
        <f>G$29</f>
        <v>0</v>
      </c>
      <c r="K15" s="4">
        <f>IFERROR(F15/J15,0)</f>
        <v>0</v>
      </c>
      <c r="L15" s="6">
        <f>K15+C15</f>
        <v>0</v>
      </c>
      <c r="M15" s="35">
        <f>IFERROR(L15/L$18,0)</f>
        <v>0</v>
      </c>
      <c r="N15" s="4">
        <f>L15*G$29</f>
        <v>0</v>
      </c>
      <c r="O15" s="4">
        <f t="shared" si="0"/>
        <v>312500</v>
      </c>
      <c r="P15" s="35">
        <f>IFERROR(O15/O$18,0)</f>
        <v>2.8901734104046242E-2</v>
      </c>
      <c r="R15" s="13">
        <v>0</v>
      </c>
      <c r="S15" s="6">
        <f>F15</f>
        <v>250000</v>
      </c>
      <c r="T15" s="4">
        <f t="shared" ca="1" si="1"/>
        <v>31761.984175102494</v>
      </c>
      <c r="U15" s="6">
        <f ca="1">T15+S15</f>
        <v>281761.98417510249</v>
      </c>
      <c r="V15" s="6">
        <f ca="1">IF(S$31="no",IFERROR(U15/(1-G15),0),IFERROR(U15/(1-(MAX(G15,(S$29-H15/L$18)/S$29))),0))</f>
        <v>352202.48021887807</v>
      </c>
      <c r="W15" s="37">
        <f ca="1">S$29</f>
        <v>1.1788678511868673</v>
      </c>
      <c r="X15" s="37">
        <f ca="1">IF(U15=0,0,IF(H15&lt;&gt;0,MIN(W15*(1-G15),H15/L$18),W15*(1-G15)))</f>
        <v>0.8</v>
      </c>
      <c r="Y15" s="4">
        <f ca="1">IFERROR(R15/W15,0)+IFERROR(U15/X15,0)</f>
        <v>352202.48021887807</v>
      </c>
      <c r="Z15" s="6">
        <f ca="1">Y15+L15</f>
        <v>352202.48021887807</v>
      </c>
      <c r="AA15" s="35">
        <f ca="1">IFERROR(Z15/Z$18,0)</f>
        <v>2.6099621435340534E-2</v>
      </c>
      <c r="AB15" s="4">
        <f ca="1">Z15*S$29</f>
        <v>415200.18103831395</v>
      </c>
      <c r="AC15" s="4">
        <f ca="1">Z15</f>
        <v>352202.48021887807</v>
      </c>
      <c r="AD15" s="35">
        <f ca="1">IFERROR(AC15/AC$18,0)</f>
        <v>2.6099621435340534E-2</v>
      </c>
    </row>
    <row r="16" spans="2:30">
      <c r="B16" s="13" t="s">
        <v>91</v>
      </c>
      <c r="C16" s="14">
        <f>D16*C$18</f>
        <v>0</v>
      </c>
      <c r="D16" s="29">
        <v>0</v>
      </c>
      <c r="F16" s="13">
        <v>0</v>
      </c>
      <c r="G16" s="40">
        <v>0</v>
      </c>
      <c r="H16" s="13">
        <v>0</v>
      </c>
      <c r="I16" s="29">
        <v>0</v>
      </c>
      <c r="J16" s="37">
        <f>G$29</f>
        <v>0</v>
      </c>
      <c r="K16" s="4">
        <f>IFERROR(F16/J16,0)</f>
        <v>0</v>
      </c>
      <c r="L16" s="6">
        <f>K16+C16</f>
        <v>0</v>
      </c>
      <c r="M16" s="35">
        <f>IFERROR(L16/L$18,0)</f>
        <v>0</v>
      </c>
      <c r="N16" s="4">
        <f>L16*G$29</f>
        <v>0</v>
      </c>
      <c r="O16" s="4">
        <f t="shared" si="0"/>
        <v>0</v>
      </c>
      <c r="P16" s="35">
        <f>IFERROR(O16/O$18,0)</f>
        <v>0</v>
      </c>
      <c r="R16" s="13">
        <v>3000000</v>
      </c>
      <c r="S16" s="6">
        <f>F16</f>
        <v>0</v>
      </c>
      <c r="T16" s="4">
        <f t="shared" ca="1" si="1"/>
        <v>0</v>
      </c>
      <c r="U16" s="6">
        <f ca="1">T16+S16</f>
        <v>0</v>
      </c>
      <c r="V16" s="6">
        <f ca="1">IF(S$31="no",IFERROR(U16/(1-G16),0),IFERROR(U16/(1-(MAX(G16,(S$29-H16/L$18)/S$29))),0))</f>
        <v>0</v>
      </c>
      <c r="W16" s="37">
        <f ca="1">S$29</f>
        <v>1.1788678511868673</v>
      </c>
      <c r="X16" s="37">
        <f ca="1">IF(U16=0,0,IF(H16&lt;&gt;0,MIN(W16*(1-G16),H16/L$18),W16*(1-G16)))</f>
        <v>0</v>
      </c>
      <c r="Y16" s="4">
        <f ca="1">IFERROR(R16/W16,0)+IFERROR(U16/X16,0)</f>
        <v>2544814.498910665</v>
      </c>
      <c r="Z16" s="6">
        <f ca="1">Y16+L16</f>
        <v>2544814.498910665</v>
      </c>
      <c r="AA16" s="35">
        <f ca="1">IFERROR(Z16/Z$18,0)</f>
        <v>0.1885809975087567</v>
      </c>
      <c r="AB16" s="4">
        <f ca="1">Z16*S$29</f>
        <v>3000000</v>
      </c>
      <c r="AC16" s="4">
        <f ca="1">Z16</f>
        <v>2544814.498910665</v>
      </c>
      <c r="AD16" s="35">
        <f ca="1">IFERROR(AC16/AC$18,0)</f>
        <v>0.1885809975087567</v>
      </c>
    </row>
    <row r="17" spans="2:30">
      <c r="D17" s="36"/>
    </row>
    <row r="18" spans="2:30">
      <c r="B18" s="38" t="s">
        <v>20</v>
      </c>
      <c r="C18" s="12">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95285.952525307483</v>
      </c>
      <c r="U18" s="8">
        <f ca="1">SUM(U8:U12,U14:U16)</f>
        <v>845285.95252530742</v>
      </c>
      <c r="V18" s="8">
        <f ca="1">SUM(V8:V12,V14:V16)</f>
        <v>1056607.4406566343</v>
      </c>
      <c r="W18" s="45"/>
      <c r="X18" s="45"/>
      <c r="Y18" s="8">
        <f t="shared" ref="Y18:AD18" ca="1" si="2">SUM(Y8:Y12,Y14:Y16)</f>
        <v>3494543.6312717414</v>
      </c>
      <c r="Z18" s="8">
        <f t="shared" ca="1" si="2"/>
        <v>13494543.631271742</v>
      </c>
      <c r="AA18" s="39">
        <f t="shared" ca="1" si="2"/>
        <v>0.99999999999999989</v>
      </c>
      <c r="AB18" s="8">
        <f t="shared" ca="1" si="2"/>
        <v>15908283.653344745</v>
      </c>
      <c r="AC18" s="8">
        <f t="shared" ca="1" si="2"/>
        <v>13494543.631271742</v>
      </c>
      <c r="AD18" s="39">
        <f t="shared" ca="1" si="2"/>
        <v>0.99999999999999989</v>
      </c>
    </row>
    <row r="19" spans="2:30">
      <c r="X19" s="2">
        <f ca="1">(W15-X15)/W15</f>
        <v>0.32138280029048932</v>
      </c>
    </row>
    <row r="21" spans="2:30">
      <c r="F21" s="34" t="s">
        <v>65</v>
      </c>
      <c r="J21" s="5"/>
      <c r="R21" s="34" t="s">
        <v>89</v>
      </c>
    </row>
    <row r="22" spans="2:30">
      <c r="F22" s="2" t="s">
        <v>67</v>
      </c>
      <c r="G22" s="6">
        <f>F18</f>
        <v>750000</v>
      </c>
      <c r="R22" s="2" t="s">
        <v>67</v>
      </c>
      <c r="S22" s="6">
        <f>R18</f>
        <v>3000000</v>
      </c>
    </row>
    <row r="23" spans="2:30">
      <c r="F23" s="2" t="s">
        <v>100</v>
      </c>
      <c r="G23" s="6">
        <v>0</v>
      </c>
      <c r="R23" s="2" t="s">
        <v>100</v>
      </c>
      <c r="S23" s="6">
        <f ca="1">U18</f>
        <v>845285.95252530742</v>
      </c>
    </row>
    <row r="24" spans="2:30">
      <c r="F24" s="2" t="s">
        <v>148</v>
      </c>
      <c r="G24" s="6">
        <v>0</v>
      </c>
      <c r="R24" s="2" t="s">
        <v>148</v>
      </c>
      <c r="S24" s="6">
        <f ca="1">V18</f>
        <v>1056607.4406566343</v>
      </c>
      <c r="V24" s="53"/>
    </row>
    <row r="25" spans="2:30">
      <c r="F25" s="2" t="s">
        <v>113</v>
      </c>
      <c r="G25" s="6">
        <v>0</v>
      </c>
      <c r="R25" s="2" t="s">
        <v>113</v>
      </c>
      <c r="S25" s="6">
        <f ca="1">S26-(S24-S23)</f>
        <v>11788678.511868672</v>
      </c>
      <c r="T25" s="10" t="s">
        <v>160</v>
      </c>
    </row>
    <row r="26" spans="2:30">
      <c r="F26" s="2" t="s">
        <v>66</v>
      </c>
      <c r="G26" s="13">
        <v>0</v>
      </c>
      <c r="R26" s="2" t="s">
        <v>66</v>
      </c>
      <c r="S26" s="13">
        <v>12000000</v>
      </c>
      <c r="T26" s="10" t="s">
        <v>78</v>
      </c>
    </row>
    <row r="27" spans="2:30">
      <c r="F27" s="2" t="s">
        <v>103</v>
      </c>
      <c r="G27" s="6">
        <f>IF(G26=0,0,G26+G22)</f>
        <v>0</v>
      </c>
      <c r="R27" s="2" t="s">
        <v>103</v>
      </c>
      <c r="S27" s="6">
        <f ca="1">S26+S22+S23</f>
        <v>15845285.952525306</v>
      </c>
      <c r="T27" s="10" t="s">
        <v>78</v>
      </c>
    </row>
    <row r="28" spans="2:30">
      <c r="F28" s="2" t="s">
        <v>152</v>
      </c>
      <c r="G28" s="6">
        <f>G27</f>
        <v>0</v>
      </c>
      <c r="R28" s="2" t="s">
        <v>152</v>
      </c>
      <c r="S28" s="6">
        <f ca="1">S26+S22+S23</f>
        <v>15845285.952525306</v>
      </c>
      <c r="T28" s="10"/>
    </row>
    <row r="29" spans="2:30">
      <c r="F29" s="2" t="s">
        <v>62</v>
      </c>
      <c r="G29" s="54">
        <f>G26/C18</f>
        <v>0</v>
      </c>
      <c r="R29" s="2" t="s">
        <v>62</v>
      </c>
      <c r="S29" s="3">
        <f ca="1">S25/L18</f>
        <v>1.1788678511868673</v>
      </c>
    </row>
    <row r="30" spans="2:30">
      <c r="F30" s="2" t="s">
        <v>40</v>
      </c>
      <c r="G30" s="25">
        <f ca="1">EDATE(TODAY(),-18)</f>
        <v>43272</v>
      </c>
      <c r="R30" s="2" t="s">
        <v>40</v>
      </c>
      <c r="S30" s="25">
        <f ca="1">TODAY()</f>
        <v>43820</v>
      </c>
    </row>
    <row r="31" spans="2:30">
      <c r="R31" s="2" t="s">
        <v>210</v>
      </c>
      <c r="S31" s="55" t="s">
        <v>211</v>
      </c>
      <c r="T31" s="10" t="s">
        <v>80</v>
      </c>
    </row>
    <row r="32" spans="2:30">
      <c r="S32" s="10"/>
      <c r="T32" s="10"/>
    </row>
    <row r="33" spans="2:6">
      <c r="B33" s="33" t="s">
        <v>54</v>
      </c>
    </row>
    <row r="34" spans="2:6">
      <c r="B34" s="11" t="s">
        <v>157</v>
      </c>
      <c r="C34" s="11"/>
      <c r="D34" s="11"/>
      <c r="E34" s="11"/>
      <c r="F34" s="11"/>
    </row>
    <row r="35" spans="2:6">
      <c r="B35" s="2" t="s">
        <v>158</v>
      </c>
    </row>
    <row r="36" spans="2:6">
      <c r="B36" s="2" t="s">
        <v>159</v>
      </c>
    </row>
    <row r="37" spans="2:6">
      <c r="B37" s="2" t="s">
        <v>255</v>
      </c>
    </row>
    <row r="38" spans="2:6">
      <c r="B38" s="2" t="s">
        <v>651</v>
      </c>
    </row>
    <row r="39" spans="2:6">
      <c r="B39" s="2" t="s">
        <v>652</v>
      </c>
    </row>
  </sheetData>
  <dataValidations count="1">
    <dataValidation type="list" allowBlank="1" showInputMessage="1" showErrorMessage="1" sqref="S31" xr:uid="{00000000-0002-0000-0F00-000000000000}">
      <formula1>"no,yes"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AE58"/>
  <sheetViews>
    <sheetView showGridLines="0" workbookViewId="0">
      <pane xSplit="2" topLeftCell="C1" activePane="topRight" state="frozen"/>
      <selection activeCell="I52" sqref="I52"/>
      <selection pane="topRight" activeCell="D8" sqref="D8:D12"/>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8" width="18.1640625" style="2" customWidth="1"/>
    <col min="9" max="10" width="18.33203125" style="2" customWidth="1"/>
    <col min="11" max="16" width="18.6640625" style="2" customWidth="1"/>
    <col min="17" max="17" width="10.83203125" style="2"/>
    <col min="18" max="25" width="18" style="2" customWidth="1"/>
    <col min="26" max="30" width="17.33203125" style="2" customWidth="1"/>
    <col min="31" max="16384" width="10.83203125" style="2"/>
  </cols>
  <sheetData>
    <row r="2" spans="2:31">
      <c r="B2" s="19" t="s">
        <v>658</v>
      </c>
    </row>
    <row r="3" spans="2:31">
      <c r="B3" s="34" t="s">
        <v>58</v>
      </c>
    </row>
    <row r="4" spans="2:31">
      <c r="B4" s="19"/>
    </row>
    <row r="6" spans="2:31" ht="54">
      <c r="B6" s="28" t="s">
        <v>55</v>
      </c>
      <c r="C6" s="27" t="s">
        <v>413</v>
      </c>
      <c r="D6" s="27" t="s">
        <v>39</v>
      </c>
      <c r="F6" s="27" t="s">
        <v>61</v>
      </c>
      <c r="G6" s="42" t="s">
        <v>15</v>
      </c>
      <c r="H6" s="42" t="s">
        <v>96</v>
      </c>
      <c r="I6" s="27" t="s">
        <v>128</v>
      </c>
      <c r="J6" s="27" t="s">
        <v>62</v>
      </c>
      <c r="K6" s="27" t="s">
        <v>117</v>
      </c>
      <c r="L6" s="27" t="s">
        <v>413</v>
      </c>
      <c r="M6" s="27" t="s">
        <v>660</v>
      </c>
      <c r="N6" s="27" t="s">
        <v>63</v>
      </c>
      <c r="O6" s="27" t="s">
        <v>655</v>
      </c>
      <c r="P6" s="27" t="s">
        <v>659</v>
      </c>
      <c r="R6" s="27" t="s">
        <v>61</v>
      </c>
      <c r="S6" s="42" t="s">
        <v>100</v>
      </c>
      <c r="T6" s="42" t="s">
        <v>101</v>
      </c>
      <c r="U6" s="42" t="s">
        <v>102</v>
      </c>
      <c r="V6" s="42" t="s">
        <v>148</v>
      </c>
      <c r="W6" s="27" t="s">
        <v>143</v>
      </c>
      <c r="X6" s="27" t="s">
        <v>144</v>
      </c>
      <c r="Y6" s="27" t="s">
        <v>117</v>
      </c>
      <c r="Z6" s="27" t="s">
        <v>413</v>
      </c>
      <c r="AA6" s="27" t="s">
        <v>660</v>
      </c>
      <c r="AB6" s="27" t="s">
        <v>63</v>
      </c>
      <c r="AC6" s="27" t="s">
        <v>656</v>
      </c>
      <c r="AD6" s="27" t="s">
        <v>659</v>
      </c>
    </row>
    <row r="8" spans="2:31">
      <c r="B8" s="137" t="s">
        <v>57</v>
      </c>
      <c r="C8" s="14">
        <f>D8*C$21</f>
        <v>6000000</v>
      </c>
      <c r="D8" s="277">
        <v>0.6</v>
      </c>
      <c r="F8" s="137">
        <v>0</v>
      </c>
      <c r="G8" s="276">
        <v>0</v>
      </c>
      <c r="H8" s="137">
        <v>0</v>
      </c>
      <c r="I8" s="277">
        <v>0</v>
      </c>
      <c r="J8" s="37">
        <f>G$32</f>
        <v>0</v>
      </c>
      <c r="K8" s="10">
        <f>IFERROR(F8/J8,0)</f>
        <v>0</v>
      </c>
      <c r="L8" s="6">
        <f>K8+C8</f>
        <v>6000000</v>
      </c>
      <c r="M8" s="35">
        <f>IFERROR(L8/L$21,0)</f>
        <v>0.6</v>
      </c>
      <c r="N8" s="4">
        <f>L8*G$32</f>
        <v>0</v>
      </c>
      <c r="O8" s="4">
        <f>IFERROR(F8/(H8/C$21)/IF(S$40="postmoney",(1-S$44),1),0)+L8</f>
        <v>6000000</v>
      </c>
      <c r="P8" s="35">
        <f>IFERROR(O8/O$21,0)</f>
        <v>0.5093099671412924</v>
      </c>
      <c r="R8" s="137">
        <v>0</v>
      </c>
      <c r="S8" s="137">
        <f>IF(SUM(G8:I8)&lt;&gt;0,F8,0)</f>
        <v>0</v>
      </c>
      <c r="T8" s="4">
        <f ca="1">FV(I8/12,DATEDIF(G$39,S$39,"m"),0,-S8)-S8</f>
        <v>0</v>
      </c>
      <c r="U8" s="4">
        <f ca="1">T8+S8</f>
        <v>0</v>
      </c>
      <c r="V8" s="6">
        <f ca="1">IF(AND(S$42="no",S$40&lt;&gt;"premoney"),IFERROR(U8/(1-G8),0),IFERROR(U8/(1-(MAX(G8,(S$32-H8/L$21)/S$32))),0))</f>
        <v>0</v>
      </c>
      <c r="W8" s="37">
        <f>S$32</f>
        <v>1.0186199342825848</v>
      </c>
      <c r="X8" s="37">
        <f ca="1">IF(U8=0,0,IF(H8&lt;&gt;0,MIN(W8*(1-G8),H8/L$21*IF(S$40="postmoney",(1-S$44),1)),W8*(1-G8)))</f>
        <v>0</v>
      </c>
      <c r="Y8" s="4">
        <f ca="1">IFERROR(R8/W8,0)+IFERROR(U8/X8,0)</f>
        <v>0</v>
      </c>
      <c r="Z8" s="6">
        <f ca="1">Y8+L8</f>
        <v>6000000</v>
      </c>
      <c r="AA8" s="35">
        <f ca="1">IFERROR(Z8/Z$21,0)</f>
        <v>0.32379971420903358</v>
      </c>
      <c r="AB8" s="4">
        <f ca="1">Z8*S$32</f>
        <v>6111719.6056955084</v>
      </c>
      <c r="AC8" s="4">
        <f ca="1">IF(S8=0,IFERROR((T8+FV(I8/12,DATEDIF(G$39,S$39,"m"),0,-S8)-S8)/(V8/L$21)/IF(S$40="postmoney",(1-S$44),1),0),0)+Z8</f>
        <v>6000000</v>
      </c>
      <c r="AD8" s="35">
        <f ca="1">IFERROR(AC8/AC$21,0)</f>
        <v>0.32379971420903358</v>
      </c>
    </row>
    <row r="9" spans="2:31">
      <c r="B9" s="137" t="s">
        <v>57</v>
      </c>
      <c r="C9" s="14">
        <f>D9*C$21</f>
        <v>3000000</v>
      </c>
      <c r="D9" s="277">
        <v>0.3</v>
      </c>
      <c r="F9" s="137">
        <v>0</v>
      </c>
      <c r="G9" s="276">
        <v>0</v>
      </c>
      <c r="H9" s="137">
        <v>0</v>
      </c>
      <c r="I9" s="277">
        <v>0</v>
      </c>
      <c r="J9" s="37">
        <f>G$32</f>
        <v>0</v>
      </c>
      <c r="K9" s="10">
        <f>IFERROR(F9/J9,0)</f>
        <v>0</v>
      </c>
      <c r="L9" s="6">
        <f>K9+C9</f>
        <v>3000000</v>
      </c>
      <c r="M9" s="35">
        <f>IFERROR(L9/L$21,0)</f>
        <v>0.3</v>
      </c>
      <c r="N9" s="4">
        <f>L9*G$32</f>
        <v>0</v>
      </c>
      <c r="O9" s="4">
        <f>IFERROR(F9/(H9/C$21)/IF(S$40="postmoney",(1-S$44),1),0)+L9</f>
        <v>3000000</v>
      </c>
      <c r="P9" s="35">
        <f t="shared" ref="P9:P19" si="0">IFERROR(O9/O$21,0)</f>
        <v>0.2546549835706462</v>
      </c>
      <c r="R9" s="137">
        <v>0</v>
      </c>
      <c r="S9" s="137">
        <f>IF(SUM(G9:I9)&lt;&gt;0,F9,0)</f>
        <v>0</v>
      </c>
      <c r="T9" s="4">
        <f t="shared" ref="T9:T19" ca="1" si="1">FV(I9/12,DATEDIF(G$39,S$39,"m"),0,-S9)-S9</f>
        <v>0</v>
      </c>
      <c r="U9" s="4">
        <f t="shared" ref="U9:U19" ca="1" si="2">T9+S9</f>
        <v>0</v>
      </c>
      <c r="V9" s="6">
        <f ca="1">IF(AND(S$42="no",S$40&lt;&gt;"premoney"),IFERROR(U9/(1-G9),0),IFERROR(U9/(1-(MAX(G9,(S$32-H9/L$21)/S$32))),0))</f>
        <v>0</v>
      </c>
      <c r="W9" s="37">
        <f>S$32</f>
        <v>1.0186199342825848</v>
      </c>
      <c r="X9" s="37">
        <f ca="1">IF(U9=0,0,IF(H9&lt;&gt;0,MIN(W9*(1-G9),H9/L$21*IF(S$40="postmoney",(1-S$44),1)),W9*(1-G9)))</f>
        <v>0</v>
      </c>
      <c r="Y9" s="4">
        <f t="shared" ref="Y9:Y16" ca="1" si="3">IFERROR(R9/W9,0)+IFERROR(U9/X9,0)</f>
        <v>0</v>
      </c>
      <c r="Z9" s="6">
        <f ca="1">Y9+L9</f>
        <v>3000000</v>
      </c>
      <c r="AA9" s="35">
        <f ca="1">IFERROR(Z9/Z$21,0)</f>
        <v>0.16189985710451679</v>
      </c>
      <c r="AB9" s="4">
        <f ca="1">Z9*S$32</f>
        <v>3055859.8028477542</v>
      </c>
      <c r="AC9" s="4">
        <f ca="1">IF(S9=0,IFERROR((T9+FV(I9/12,DATEDIF(G$39,S$39,"m"),0,-S9)-S9)/(V9/L$21)/IF(S$40="postmoney",(1-S$44),1),0),0)+Z9</f>
        <v>3000000</v>
      </c>
      <c r="AD9" s="35">
        <f t="shared" ref="AD9:AD19" ca="1" si="4">IFERROR(AC9/AC$21,0)</f>
        <v>0.16189985710451679</v>
      </c>
    </row>
    <row r="10" spans="2:31">
      <c r="B10" s="137" t="s">
        <v>59</v>
      </c>
      <c r="C10" s="14">
        <f>D10*C$21</f>
        <v>700000.00000000012</v>
      </c>
      <c r="D10" s="277">
        <v>7.0000000000000007E-2</v>
      </c>
      <c r="F10" s="137">
        <v>0</v>
      </c>
      <c r="G10" s="276">
        <v>0</v>
      </c>
      <c r="H10" s="137">
        <v>0</v>
      </c>
      <c r="I10" s="277">
        <v>0</v>
      </c>
      <c r="J10" s="37">
        <f>G$32</f>
        <v>0</v>
      </c>
      <c r="K10" s="10">
        <f>IFERROR(F10/J10,0)</f>
        <v>0</v>
      </c>
      <c r="L10" s="6">
        <f t="shared" ref="L10:L16" si="5">K10+C10</f>
        <v>700000.00000000012</v>
      </c>
      <c r="M10" s="35">
        <f>IFERROR(L10/L$21,0)</f>
        <v>7.0000000000000007E-2</v>
      </c>
      <c r="N10" s="4">
        <f>L10*G$32</f>
        <v>0</v>
      </c>
      <c r="O10" s="4">
        <f>IFERROR(F10/(H10/C$21)/IF(S$40="postmoney",(1-S$44),1),0)+L10</f>
        <v>700000.00000000012</v>
      </c>
      <c r="P10" s="35">
        <f t="shared" si="0"/>
        <v>5.9419496166484127E-2</v>
      </c>
      <c r="R10" s="137">
        <v>0</v>
      </c>
      <c r="S10" s="137">
        <f>IF(SUM(G10:I10)&lt;&gt;0,F10,0)</f>
        <v>0</v>
      </c>
      <c r="T10" s="4">
        <f t="shared" ca="1" si="1"/>
        <v>0</v>
      </c>
      <c r="U10" s="4">
        <f t="shared" ca="1" si="2"/>
        <v>0</v>
      </c>
      <c r="V10" s="6">
        <f ca="1">IF(AND(S$42="no",S$40&lt;&gt;"premoney"),IFERROR(U10/(1-G10),0),IFERROR(U10/(1-(MAX(G10,(S$32-H10/L$21)/S$32))),0))</f>
        <v>0</v>
      </c>
      <c r="W10" s="37">
        <f>S$32</f>
        <v>1.0186199342825848</v>
      </c>
      <c r="X10" s="37">
        <f ca="1">IF(U10=0,0,IF(H10&lt;&gt;0,MIN(W10*(1-G10),H10/L$21*IF(S$40="postmoney",(1-S$44),1)),W10*(1-G10)))</f>
        <v>0</v>
      </c>
      <c r="Y10" s="4">
        <f t="shared" ca="1" si="3"/>
        <v>0</v>
      </c>
      <c r="Z10" s="6">
        <f ca="1">Y10+L10</f>
        <v>700000.00000000012</v>
      </c>
      <c r="AA10" s="35">
        <f ca="1">IFERROR(Z10/Z$21,0)</f>
        <v>3.7776633324387257E-2</v>
      </c>
      <c r="AB10" s="4">
        <f ca="1">Z10*S$32</f>
        <v>713033.95399780944</v>
      </c>
      <c r="AC10" s="4">
        <f ca="1">IF(S10=0,IFERROR((T10+FV(I10/12,DATEDIF(G$39,S$39,"m"),0,-S10)-S10)/(V10/L$21)/IF(S$40="postmoney",(1-S$44),1),0),0)+Z10</f>
        <v>700000.00000000012</v>
      </c>
      <c r="AD10" s="35">
        <f t="shared" ca="1" si="4"/>
        <v>3.7776633324387257E-2</v>
      </c>
    </row>
    <row r="11" spans="2:31">
      <c r="B11" s="137" t="s">
        <v>59</v>
      </c>
      <c r="C11" s="14">
        <f>D11*C$21</f>
        <v>300000</v>
      </c>
      <c r="D11" s="277">
        <v>0.03</v>
      </c>
      <c r="F11" s="137">
        <v>0</v>
      </c>
      <c r="G11" s="276">
        <v>0</v>
      </c>
      <c r="H11" s="137">
        <v>0</v>
      </c>
      <c r="I11" s="277">
        <v>0</v>
      </c>
      <c r="J11" s="37">
        <f>G$32</f>
        <v>0</v>
      </c>
      <c r="K11" s="10">
        <f>IFERROR(F11/J11,0)</f>
        <v>0</v>
      </c>
      <c r="L11" s="6">
        <f t="shared" si="5"/>
        <v>300000</v>
      </c>
      <c r="M11" s="35">
        <f>IFERROR(L11/L$21,0)</f>
        <v>0.03</v>
      </c>
      <c r="N11" s="4">
        <f>L11*G$32</f>
        <v>0</v>
      </c>
      <c r="O11" s="4">
        <f>IFERROR(F11/(H11/C$21)/IF(S$40="postmoney",(1-S$44),1),0)+L11</f>
        <v>300000</v>
      </c>
      <c r="P11" s="35">
        <f t="shared" si="0"/>
        <v>2.5465498357064621E-2</v>
      </c>
      <c r="R11" s="137">
        <v>0</v>
      </c>
      <c r="S11" s="137">
        <f>IF(SUM(G11:I11)&lt;&gt;0,F11,0)</f>
        <v>0</v>
      </c>
      <c r="T11" s="4">
        <f t="shared" ca="1" si="1"/>
        <v>0</v>
      </c>
      <c r="U11" s="4">
        <f t="shared" ca="1" si="2"/>
        <v>0</v>
      </c>
      <c r="V11" s="6">
        <f ca="1">IF(AND(S$42="no",S$40&lt;&gt;"premoney"),IFERROR(U11/(1-G11),0),IFERROR(U11/(1-(MAX(G11,(S$32-H11/L$21)/S$32))),0))</f>
        <v>0</v>
      </c>
      <c r="W11" s="37">
        <f>S$32</f>
        <v>1.0186199342825848</v>
      </c>
      <c r="X11" s="37">
        <f ca="1">IF(U11=0,0,IF(H11&lt;&gt;0,MIN(W11*(1-G11),H11/L$21*IF(S$40="postmoney",(1-S$44),1)),W11*(1-G11)))</f>
        <v>0</v>
      </c>
      <c r="Y11" s="4">
        <f t="shared" ca="1" si="3"/>
        <v>0</v>
      </c>
      <c r="Z11" s="6">
        <f ca="1">Y11+L11</f>
        <v>300000</v>
      </c>
      <c r="AA11" s="35">
        <f ca="1">IFERROR(Z11/Z$21,0)</f>
        <v>1.6189985710451677E-2</v>
      </c>
      <c r="AB11" s="4">
        <f ca="1">Z11*S$32</f>
        <v>305585.98028477543</v>
      </c>
      <c r="AC11" s="4">
        <f ca="1">IF(S11=0,IFERROR((T11+FV(I11/12,DATEDIF(G$39,S$39,"m"),0,-S11)-S11)/(V11/L$21)/IF(S$40="postmoney",(1-S$44),1),0),0)+Z11</f>
        <v>300000</v>
      </c>
      <c r="AD11" s="35">
        <f t="shared" ca="1" si="4"/>
        <v>1.6189985710451677E-2</v>
      </c>
    </row>
    <row r="12" spans="2:31">
      <c r="B12" s="137" t="s">
        <v>64</v>
      </c>
      <c r="C12" s="14">
        <f>D12*C$21</f>
        <v>0</v>
      </c>
      <c r="D12" s="277">
        <v>0</v>
      </c>
      <c r="F12" s="137">
        <v>0</v>
      </c>
      <c r="G12" s="276">
        <v>0</v>
      </c>
      <c r="H12" s="137">
        <v>0</v>
      </c>
      <c r="I12" s="277">
        <v>0</v>
      </c>
      <c r="J12" s="37">
        <f>G$32</f>
        <v>0</v>
      </c>
      <c r="K12" s="10">
        <f>IFERROR(F12/J12,0)</f>
        <v>0</v>
      </c>
      <c r="L12" s="6">
        <f t="shared" si="5"/>
        <v>0</v>
      </c>
      <c r="M12" s="35">
        <f>IFERROR(L12/L$21,0)</f>
        <v>0</v>
      </c>
      <c r="N12" s="4">
        <f>L12*G$32</f>
        <v>0</v>
      </c>
      <c r="O12" s="4">
        <f>IFERROR(F12/(H12/C$21)/IF(S$40="postmoney",(1-S$44),1),0)+L12</f>
        <v>0</v>
      </c>
      <c r="P12" s="35">
        <f t="shared" si="0"/>
        <v>0</v>
      </c>
      <c r="R12" s="137">
        <v>100000</v>
      </c>
      <c r="S12" s="137">
        <f>IF(SUM(G12:I12)&lt;&gt;0,F12,0)</f>
        <v>0</v>
      </c>
      <c r="T12" s="4">
        <f t="shared" ca="1" si="1"/>
        <v>0</v>
      </c>
      <c r="U12" s="4">
        <f t="shared" ca="1" si="2"/>
        <v>0</v>
      </c>
      <c r="V12" s="6">
        <f ca="1">IF(AND(S$42="no",S$40&lt;&gt;"premoney"),IFERROR(U12/(1-G12),0),IFERROR(U12/(1-(MAX(G12,(S$32-H12/L$21)/S$32))),0))</f>
        <v>0</v>
      </c>
      <c r="W12" s="37">
        <f>S$32</f>
        <v>1.0186199342825848</v>
      </c>
      <c r="X12" s="37">
        <f ca="1">IF(U12=0,0,IF(H12&lt;&gt;0,MIN(W12*(1-G12),H12/L$21*IF(S$40="postmoney",(1-S$44),1)),W12*(1-G12)))</f>
        <v>0</v>
      </c>
      <c r="Y12" s="4">
        <f t="shared" ca="1" si="3"/>
        <v>98172.043010752692</v>
      </c>
      <c r="Z12" s="6">
        <f ca="1">Y12+L12</f>
        <v>98172.043010752692</v>
      </c>
      <c r="AA12" s="35">
        <f ca="1">IFERROR(Z12/Z$21,0)</f>
        <v>5.2980132450331117E-3</v>
      </c>
      <c r="AB12" s="4">
        <f ca="1">Z12*S$32</f>
        <v>100000</v>
      </c>
      <c r="AC12" s="4">
        <f ca="1">IF(S12=0,IFERROR((T12+FV(I12/12,DATEDIF(G$39,S$39,"m"),0,-S12)-S12)/(V12/L$21)/IF(S$40="postmoney",(1-S$44),1),0),0)+Z12</f>
        <v>98172.043010752692</v>
      </c>
      <c r="AD12" s="35">
        <f t="shared" ca="1" si="4"/>
        <v>5.2980132450331117E-3</v>
      </c>
      <c r="AE12" s="10" t="s">
        <v>79</v>
      </c>
    </row>
    <row r="13" spans="2:31" s="282" customFormat="1">
      <c r="B13" s="288"/>
      <c r="C13" s="280"/>
      <c r="F13" s="283"/>
      <c r="G13" s="283"/>
      <c r="H13" s="283"/>
      <c r="I13" s="283"/>
      <c r="J13" s="283"/>
      <c r="K13" s="284"/>
      <c r="L13" s="285"/>
      <c r="M13" s="286"/>
      <c r="N13" s="287"/>
      <c r="O13" s="287"/>
      <c r="R13" s="283"/>
      <c r="S13" s="283"/>
      <c r="T13" s="283"/>
      <c r="U13" s="283"/>
      <c r="V13" s="283"/>
      <c r="W13" s="283"/>
      <c r="X13" s="283"/>
      <c r="Y13" s="287"/>
      <c r="Z13" s="285"/>
      <c r="AA13" s="286"/>
      <c r="AB13" s="287"/>
      <c r="AC13" s="287"/>
      <c r="AD13" s="284"/>
      <c r="AE13" s="284"/>
    </row>
    <row r="14" spans="2:31">
      <c r="B14" s="137" t="s">
        <v>60</v>
      </c>
      <c r="C14" s="14">
        <f>D14*C$21</f>
        <v>0</v>
      </c>
      <c r="D14" s="277">
        <v>0</v>
      </c>
      <c r="F14" s="137">
        <v>500000</v>
      </c>
      <c r="G14" s="276">
        <v>0</v>
      </c>
      <c r="H14" s="137">
        <v>5500000</v>
      </c>
      <c r="I14" s="277">
        <v>0</v>
      </c>
      <c r="J14" s="37">
        <f>G$32</f>
        <v>0</v>
      </c>
      <c r="K14" s="4">
        <f>IFERROR(F14/J14,0)</f>
        <v>0</v>
      </c>
      <c r="L14" s="6">
        <f t="shared" si="5"/>
        <v>0</v>
      </c>
      <c r="M14" s="35">
        <f>IFERROR(L14/L$21,0)</f>
        <v>0</v>
      </c>
      <c r="N14" s="4">
        <f>L14*G$32</f>
        <v>0</v>
      </c>
      <c r="O14" s="4">
        <f>IFERROR(F14/(H14/C$21)/IF(S$40="postmoney",(1-S$44),1),0)+L14</f>
        <v>1070967.7419354839</v>
      </c>
      <c r="P14" s="35">
        <f t="shared" si="0"/>
        <v>9.0909090909090898E-2</v>
      </c>
      <c r="R14" s="137">
        <v>0</v>
      </c>
      <c r="S14" s="137">
        <f>IF(SUM(G14:I14)&lt;&gt;0,F14,0)</f>
        <v>500000</v>
      </c>
      <c r="T14" s="4">
        <f t="shared" ca="1" si="1"/>
        <v>0</v>
      </c>
      <c r="U14" s="4">
        <f t="shared" ca="1" si="2"/>
        <v>500000</v>
      </c>
      <c r="V14" s="6">
        <f ca="1">IF(AND(S$42="no",S$40&lt;&gt;"premoney"),IFERROR(U14/(1-G14),0),IFERROR(U14/(1-(MAX(G14,(S$32-H14/L$21)/S$32))),0))</f>
        <v>500000</v>
      </c>
      <c r="W14" s="37">
        <f>S$32</f>
        <v>1.0186199342825848</v>
      </c>
      <c r="X14" s="37">
        <f ca="1">IF(U14=0,0,IF(H14&lt;&gt;0,MIN(W14*(1-G14),H14/L$21*IF(S$40="postmoney",(1-S$44),1)),W14*(1-G14)))</f>
        <v>0.4668674698795181</v>
      </c>
      <c r="Y14" s="4">
        <f t="shared" ca="1" si="3"/>
        <v>1070967.7419354839</v>
      </c>
      <c r="Z14" s="6">
        <f ca="1">Y14+L14</f>
        <v>1070967.7419354839</v>
      </c>
      <c r="AA14" s="35">
        <f ca="1">IFERROR(Z14/Z$21,0)</f>
        <v>5.7796508127633948E-2</v>
      </c>
      <c r="AB14" s="4">
        <f ca="1">Z14*S$32</f>
        <v>1090909.0909090908</v>
      </c>
      <c r="AC14" s="4">
        <f ca="1">IF(S14=0,IFERROR((T14+FV(I14/12,DATEDIF(G$39,S$39,"m"),0,-S14)-S14)/(V14/L$21)/IF(S$40="postmoney",(1-S$44),1),0),0)+Z14</f>
        <v>1070967.7419354839</v>
      </c>
      <c r="AD14" s="35">
        <f t="shared" ca="1" si="4"/>
        <v>5.7796508127633948E-2</v>
      </c>
      <c r="AE14" s="10" t="s">
        <v>83</v>
      </c>
    </row>
    <row r="15" spans="2:31">
      <c r="B15" s="137" t="s">
        <v>64</v>
      </c>
      <c r="C15" s="14">
        <f>D15*C$21</f>
        <v>0</v>
      </c>
      <c r="D15" s="277">
        <v>0</v>
      </c>
      <c r="F15" s="137">
        <v>500000</v>
      </c>
      <c r="G15" s="276">
        <v>0</v>
      </c>
      <c r="H15" s="137">
        <v>8300000</v>
      </c>
      <c r="I15" s="277">
        <v>0</v>
      </c>
      <c r="J15" s="37">
        <f>G$32</f>
        <v>0</v>
      </c>
      <c r="K15" s="4">
        <f>IFERROR(F15/J15,0)</f>
        <v>0</v>
      </c>
      <c r="L15" s="6">
        <f t="shared" si="5"/>
        <v>0</v>
      </c>
      <c r="M15" s="35">
        <f>IFERROR(L15/L$21,0)</f>
        <v>0</v>
      </c>
      <c r="N15" s="4">
        <f>L15*G$32</f>
        <v>0</v>
      </c>
      <c r="O15" s="4">
        <f>IFERROR(F15/(H15/C$21)/IF(S$40="postmoney",(1-S$44),1),0)+L15</f>
        <v>709677.41935483878</v>
      </c>
      <c r="P15" s="35">
        <f t="shared" si="0"/>
        <v>6.0240963855421686E-2</v>
      </c>
      <c r="R15" s="137">
        <v>0</v>
      </c>
      <c r="S15" s="137">
        <f>IF(SUM(G15:I15)&lt;&gt;0,F15,0)</f>
        <v>500000</v>
      </c>
      <c r="T15" s="4">
        <f t="shared" ca="1" si="1"/>
        <v>0</v>
      </c>
      <c r="U15" s="4">
        <f t="shared" ca="1" si="2"/>
        <v>500000</v>
      </c>
      <c r="V15" s="6">
        <f ca="1">IF(AND(S$42="no",S$40&lt;&gt;"premoney"),IFERROR(U15/(1-G15),0),IFERROR(U15/(1-(MAX(G15,(S$32-H15/L$21)/S$32))),0))</f>
        <v>500000</v>
      </c>
      <c r="W15" s="37">
        <f>S$32</f>
        <v>1.0186199342825848</v>
      </c>
      <c r="X15" s="37">
        <f ca="1">IF(U15=0,0,IF(H15&lt;&gt;0,MIN(W15*(1-G15),H15/L$21*IF(S$40="postmoney",(1-S$44),1)),W15*(1-G15)))</f>
        <v>0.70454545454545447</v>
      </c>
      <c r="Y15" s="4">
        <f t="shared" ca="1" si="3"/>
        <v>709677.41935483878</v>
      </c>
      <c r="Z15" s="6">
        <f ca="1">Y15+L15</f>
        <v>709677.41935483878</v>
      </c>
      <c r="AA15" s="35">
        <f ca="1">IFERROR(Z15/Z$21,0)</f>
        <v>3.8298890927950212E-2</v>
      </c>
      <c r="AB15" s="4">
        <f ca="1">Z15*S$32</f>
        <v>722891.56626506022</v>
      </c>
      <c r="AC15" s="4">
        <f ca="1">IF(S15=0,IFERROR((T15+FV(I15/12,DATEDIF(G$39,S$39,"m"),0,-S15)-S15)/(V15/L$21)/IF(S$40="postmoney",(1-S$44),1),0),0)+Z15</f>
        <v>709677.41935483878</v>
      </c>
      <c r="AD15" s="35">
        <f t="shared" ca="1" si="4"/>
        <v>3.8298890927950212E-2</v>
      </c>
    </row>
    <row r="16" spans="2:31">
      <c r="B16" s="137" t="s">
        <v>91</v>
      </c>
      <c r="C16" s="14">
        <f>D16*C$21</f>
        <v>0</v>
      </c>
      <c r="D16" s="277">
        <v>0</v>
      </c>
      <c r="F16" s="137">
        <v>0</v>
      </c>
      <c r="G16" s="276">
        <v>0</v>
      </c>
      <c r="H16" s="137">
        <v>0</v>
      </c>
      <c r="I16" s="277">
        <v>0</v>
      </c>
      <c r="J16" s="37">
        <f>G$32</f>
        <v>0</v>
      </c>
      <c r="K16" s="4">
        <f>IFERROR(F16/J16,0)</f>
        <v>0</v>
      </c>
      <c r="L16" s="6">
        <f t="shared" si="5"/>
        <v>0</v>
      </c>
      <c r="M16" s="35">
        <f>IFERROR(L16/L$21,0)</f>
        <v>0</v>
      </c>
      <c r="N16" s="4">
        <f>L16*G$32</f>
        <v>0</v>
      </c>
      <c r="O16" s="4">
        <f>IFERROR(F16/(H16/C$21)/IF(S$40="postmoney",(1-S$44),1),0)+L16</f>
        <v>0</v>
      </c>
      <c r="P16" s="35">
        <f t="shared" si="0"/>
        <v>0</v>
      </c>
      <c r="R16" s="137">
        <v>3000000</v>
      </c>
      <c r="S16" s="137">
        <f>IF(SUM(G16:I16)&lt;&gt;0,F16,0)</f>
        <v>0</v>
      </c>
      <c r="T16" s="4">
        <f t="shared" ca="1" si="1"/>
        <v>0</v>
      </c>
      <c r="U16" s="4">
        <f t="shared" ca="1" si="2"/>
        <v>0</v>
      </c>
      <c r="V16" s="6">
        <f ca="1">IF(AND(S$42="no",S$40&lt;&gt;"premoney"),IFERROR(U16/(1-G16),0),IFERROR(U16/(1-(MAX(G16,(S$32-H16/L$21)/S$32))),0))</f>
        <v>0</v>
      </c>
      <c r="W16" s="37">
        <f>S$32</f>
        <v>1.0186199342825848</v>
      </c>
      <c r="X16" s="37">
        <f ca="1">IF(U16=0,0,IF(H16&lt;&gt;0,MIN(W16*(1-G16),H16/L$21*IF(S$40="postmoney",(1-S$44),1)),W16*(1-G16)))</f>
        <v>0</v>
      </c>
      <c r="Y16" s="4">
        <f t="shared" ca="1" si="3"/>
        <v>2945161.2903225808</v>
      </c>
      <c r="Z16" s="6">
        <f ca="1">Y16+L16</f>
        <v>2945161.2903225808</v>
      </c>
      <c r="AA16" s="35">
        <f ca="1">IFERROR(Z16/Z$21,0)</f>
        <v>0.15894039735099336</v>
      </c>
      <c r="AB16" s="4">
        <f ca="1">Z16*S$32</f>
        <v>3000000</v>
      </c>
      <c r="AC16" s="4">
        <f ca="1">IF(S16=0,IFERROR((T16+FV(I16/12,DATEDIF(G$39,S$39,"m"),0,-S16)-S16)/(V16/L$21)/IF(S$40="postmoney",(1-S$44),1),0),0)+Z16</f>
        <v>2945161.2903225808</v>
      </c>
      <c r="AD16" s="35">
        <f t="shared" ca="1" si="4"/>
        <v>0.15894039735099336</v>
      </c>
    </row>
    <row r="17" spans="2:30" s="282" customFormat="1">
      <c r="B17" s="281"/>
      <c r="C17" s="280"/>
      <c r="F17" s="283"/>
      <c r="G17" s="283"/>
      <c r="H17" s="283"/>
      <c r="I17" s="283"/>
      <c r="J17" s="283"/>
      <c r="K17" s="287"/>
      <c r="L17" s="285"/>
      <c r="M17" s="286"/>
      <c r="N17" s="287"/>
      <c r="O17" s="287"/>
      <c r="R17" s="283"/>
      <c r="S17" s="283"/>
      <c r="T17" s="283"/>
      <c r="U17" s="283"/>
      <c r="V17" s="283"/>
      <c r="W17" s="283"/>
      <c r="X17" s="283"/>
      <c r="Y17" s="287"/>
      <c r="Z17" s="285"/>
      <c r="AA17" s="286"/>
      <c r="AB17" s="287"/>
      <c r="AC17" s="287"/>
      <c r="AD17" s="284"/>
    </row>
    <row r="18" spans="2:30">
      <c r="B18" s="10" t="s">
        <v>190</v>
      </c>
      <c r="C18" s="14">
        <f>D18*C$21</f>
        <v>0</v>
      </c>
      <c r="D18" s="277">
        <v>0</v>
      </c>
      <c r="F18" s="137">
        <v>0</v>
      </c>
      <c r="G18" s="276">
        <v>0</v>
      </c>
      <c r="H18" s="137">
        <v>0</v>
      </c>
      <c r="I18" s="277">
        <v>0</v>
      </c>
      <c r="J18" s="37">
        <f>G$32</f>
        <v>0</v>
      </c>
      <c r="K18" s="4">
        <f>G38*C19</f>
        <v>0</v>
      </c>
      <c r="L18" s="6">
        <f t="shared" ref="L18" si="6">K18+C18</f>
        <v>0</v>
      </c>
      <c r="M18" s="35">
        <f>IFERROR(L18/L$21,0)</f>
        <v>0</v>
      </c>
      <c r="N18" s="4">
        <f>L18*G$32</f>
        <v>0</v>
      </c>
      <c r="O18" s="4">
        <f>IFERROR(F18/(H18/C$21)/IF(S$40="postmoney",(1-S$44),1),0)+L18</f>
        <v>0</v>
      </c>
      <c r="P18" s="35">
        <f t="shared" si="0"/>
        <v>0</v>
      </c>
      <c r="R18" s="137">
        <v>0</v>
      </c>
      <c r="S18" s="137">
        <f>IF(SUM(G18:I18)&lt;&gt;0,F18,0)</f>
        <v>0</v>
      </c>
      <c r="T18" s="4">
        <f t="shared" ca="1" si="1"/>
        <v>0</v>
      </c>
      <c r="U18" s="4">
        <f t="shared" ca="1" si="2"/>
        <v>0</v>
      </c>
      <c r="V18" s="6">
        <f ca="1">IF(AND(S$42="no",S$40&lt;&gt;"premoney"),IFERROR(U18/(1-G18),0),IFERROR(U18/(1-(MAX(G18,(S$32-H18/L$21)/S$32))),0))</f>
        <v>0</v>
      </c>
      <c r="W18" s="37">
        <f>S$32</f>
        <v>1.0186199342825848</v>
      </c>
      <c r="X18" s="37">
        <f ca="1">IF(U18=0,0,IF(H18&lt;&gt;0,MIN(W18*(1-G18),H18/L$21*IF(S$40="postmoney",(1-S$44),1)),W18*(1-G18)))</f>
        <v>0</v>
      </c>
      <c r="Y18" s="4">
        <f>L19*S38</f>
        <v>0</v>
      </c>
      <c r="Z18" s="6">
        <f>Y18+L18</f>
        <v>0</v>
      </c>
      <c r="AA18" s="35">
        <f ca="1">IFERROR(Z18/Z$21,0)</f>
        <v>0</v>
      </c>
      <c r="AB18" s="4">
        <f>Z18*S$32</f>
        <v>0</v>
      </c>
      <c r="AC18" s="4">
        <f ca="1">IF(S18=0,IFERROR((T18+FV(I18/12,DATEDIF(G$39,S$39,"m"),0,-S18)-S18)/(V18/L$21)/IF(S$40="postmoney",(1-S$44),1),0),0)+Z18</f>
        <v>0</v>
      </c>
      <c r="AD18" s="35">
        <f t="shared" ca="1" si="4"/>
        <v>0</v>
      </c>
    </row>
    <row r="19" spans="2:30">
      <c r="B19" s="137" t="s">
        <v>29</v>
      </c>
      <c r="C19" s="14">
        <f>D19*C$21</f>
        <v>0</v>
      </c>
      <c r="D19" s="277">
        <v>0</v>
      </c>
      <c r="F19" s="137">
        <v>0</v>
      </c>
      <c r="G19" s="276">
        <v>0</v>
      </c>
      <c r="H19" s="137">
        <v>0</v>
      </c>
      <c r="I19" s="277">
        <v>0</v>
      </c>
      <c r="J19" s="37">
        <f>G32</f>
        <v>0</v>
      </c>
      <c r="K19" s="6">
        <f>G37</f>
        <v>0</v>
      </c>
      <c r="L19" s="6">
        <f>K19+C19-K18</f>
        <v>0</v>
      </c>
      <c r="M19" s="35">
        <f>IFERROR(L19/L$21,0)</f>
        <v>0</v>
      </c>
      <c r="N19" s="4">
        <f>L19*G$32</f>
        <v>0</v>
      </c>
      <c r="O19" s="4">
        <f>IFERROR(F19/(H19/C$21)/IF(S$40="postmoney",(1-S$44),1),0)+L19</f>
        <v>0</v>
      </c>
      <c r="P19" s="35">
        <f t="shared" si="0"/>
        <v>0</v>
      </c>
      <c r="R19" s="137">
        <v>0</v>
      </c>
      <c r="S19" s="137">
        <f>IF(SUM(G19:I19)&lt;&gt;0,F19,0)</f>
        <v>0</v>
      </c>
      <c r="T19" s="4">
        <f t="shared" ca="1" si="1"/>
        <v>0</v>
      </c>
      <c r="U19" s="4">
        <f t="shared" ca="1" si="2"/>
        <v>0</v>
      </c>
      <c r="V19" s="6">
        <f ca="1">IF(AND(S$42="no",S$40&lt;&gt;"premoney"),IFERROR(U19/(1-G19),0),IFERROR(U19/(1-(MAX(G19,(S$32-H19/L$21)/S$32))),0))</f>
        <v>0</v>
      </c>
      <c r="W19" s="37">
        <f>S32</f>
        <v>1.0186199342825848</v>
      </c>
      <c r="X19" s="37">
        <f ca="1">IF(U19=0,0,IF(H19&lt;&gt;0,MIN(W19*(1-G19),H19/L$21*IF(S$40="postmoney",(1-S$44),1)),W19*(1-G19)))</f>
        <v>0</v>
      </c>
      <c r="Y19" s="4">
        <f>S37</f>
        <v>3705994.6236559143</v>
      </c>
      <c r="Z19" s="6">
        <f>Y19+L19-Y18</f>
        <v>3705994.6236559143</v>
      </c>
      <c r="AA19" s="35">
        <f ca="1">IFERROR(Z19/Z$21,0)</f>
        <v>0.19999999999999998</v>
      </c>
      <c r="AB19" s="4">
        <f>Z19*S$32</f>
        <v>3775000</v>
      </c>
      <c r="AC19" s="4">
        <f ca="1">IF(S19=0,IFERROR((T19+FV(I19/12,DATEDIF(G$39,S$39,"m"),0,-S19)-S19)/(V19/L$21)/IF(S$40="postmoney",(1-S$44),1),0),0)+Z19</f>
        <v>3705994.6236559143</v>
      </c>
      <c r="AD19" s="35">
        <f t="shared" ca="1" si="4"/>
        <v>0.19999999999999998</v>
      </c>
    </row>
    <row r="20" spans="2:30">
      <c r="D20" s="36"/>
    </row>
    <row r="21" spans="2:30">
      <c r="B21" s="38" t="s">
        <v>20</v>
      </c>
      <c r="C21" s="278">
        <v>10000000</v>
      </c>
      <c r="D21" s="7">
        <f>SUM(D8:D12,D14:D16,D18:D19)</f>
        <v>1</v>
      </c>
      <c r="F21" s="8">
        <f>SUM(F8:F12,F14:F16,F18:F19)</f>
        <v>1000000</v>
      </c>
      <c r="G21" s="8"/>
      <c r="H21" s="8"/>
      <c r="I21" s="8"/>
      <c r="J21" s="38"/>
      <c r="K21" s="8">
        <f t="shared" ref="K21:P21" si="7">SUM(K8:K12,K14:K16,K18:K19)</f>
        <v>0</v>
      </c>
      <c r="L21" s="8">
        <f t="shared" si="7"/>
        <v>10000000</v>
      </c>
      <c r="M21" s="7">
        <f t="shared" si="7"/>
        <v>1</v>
      </c>
      <c r="N21" s="8">
        <f t="shared" si="7"/>
        <v>0</v>
      </c>
      <c r="O21" s="8">
        <f t="shared" si="7"/>
        <v>11780645.161290323</v>
      </c>
      <c r="P21" s="7">
        <f t="shared" si="7"/>
        <v>0.99999999999999989</v>
      </c>
      <c r="R21" s="8">
        <f>SUM(R8:R12,R14:R16,R18:R19)</f>
        <v>3100000</v>
      </c>
      <c r="S21" s="8">
        <f>SUM(S8:S12,S14:S16,S18:S19)</f>
        <v>1000000</v>
      </c>
      <c r="T21" s="8">
        <f ca="1">SUM(T8:T12,T14:T16,T18:T19)</f>
        <v>0</v>
      </c>
      <c r="U21" s="8">
        <f ca="1">SUM(U8:U12,U14:U16,U18:U19)</f>
        <v>1000000</v>
      </c>
      <c r="V21" s="8">
        <f ca="1">SUM(V8:V12,V14:V16,V18:V19)</f>
        <v>1000000</v>
      </c>
      <c r="W21" s="38"/>
      <c r="X21" s="38"/>
      <c r="Y21" s="8">
        <f t="shared" ref="Y21:AD21" ca="1" si="8">SUM(Y8:Y12,Y14:Y16,Y18:Y19)</f>
        <v>8529973.1182795707</v>
      </c>
      <c r="Z21" s="8">
        <f t="shared" ca="1" si="8"/>
        <v>18529973.118279573</v>
      </c>
      <c r="AA21" s="7">
        <f t="shared" ca="1" si="8"/>
        <v>1</v>
      </c>
      <c r="AB21" s="8">
        <f t="shared" ca="1" si="8"/>
        <v>18875000</v>
      </c>
      <c r="AC21" s="8">
        <f t="shared" ca="1" si="8"/>
        <v>18529973.118279573</v>
      </c>
      <c r="AD21" s="7">
        <f t="shared" ca="1" si="8"/>
        <v>1</v>
      </c>
    </row>
    <row r="24" spans="2:30">
      <c r="F24" s="34" t="s">
        <v>65</v>
      </c>
      <c r="G24" s="34"/>
      <c r="H24" s="34"/>
      <c r="R24" s="34" t="s">
        <v>89</v>
      </c>
      <c r="V24" s="34"/>
    </row>
    <row r="25" spans="2:30">
      <c r="F25" s="2" t="s">
        <v>67</v>
      </c>
      <c r="G25" s="6">
        <f>F21</f>
        <v>1000000</v>
      </c>
      <c r="R25" s="2" t="s">
        <v>67</v>
      </c>
      <c r="S25" s="6">
        <f>R21</f>
        <v>3100000</v>
      </c>
    </row>
    <row r="26" spans="2:30">
      <c r="F26" s="2" t="s">
        <v>100</v>
      </c>
      <c r="G26" s="6">
        <v>0</v>
      </c>
      <c r="R26" s="2" t="s">
        <v>100</v>
      </c>
      <c r="S26" s="6">
        <f ca="1">U21</f>
        <v>1000000</v>
      </c>
    </row>
    <row r="27" spans="2:30">
      <c r="F27" s="2" t="s">
        <v>148</v>
      </c>
      <c r="G27" s="6">
        <v>0</v>
      </c>
      <c r="R27" s="2" t="s">
        <v>148</v>
      </c>
      <c r="S27" s="6">
        <f ca="1">V21</f>
        <v>1000000</v>
      </c>
    </row>
    <row r="28" spans="2:30">
      <c r="F28" s="2" t="s">
        <v>113</v>
      </c>
      <c r="G28" s="6">
        <f>MAX(0,G29-G30*G35)</f>
        <v>0</v>
      </c>
      <c r="R28" s="2" t="s">
        <v>113</v>
      </c>
      <c r="S28" s="6">
        <f>MAX(0,S29-S30*S35-IF(S40="$ invested",S27-S26,IF(S40="% ownership",S27,0)))</f>
        <v>12000000</v>
      </c>
      <c r="T28" s="2" t="s">
        <v>146</v>
      </c>
      <c r="U28" s="6"/>
    </row>
    <row r="29" spans="2:30">
      <c r="F29" s="2" t="s">
        <v>66</v>
      </c>
      <c r="G29" s="137">
        <v>0</v>
      </c>
      <c r="R29" s="2" t="s">
        <v>66</v>
      </c>
      <c r="S29" s="137">
        <v>12000000</v>
      </c>
    </row>
    <row r="30" spans="2:30">
      <c r="F30" s="2" t="s">
        <v>103</v>
      </c>
      <c r="G30" s="14">
        <f>IF(G29=0,0,G29+G25)</f>
        <v>0</v>
      </c>
      <c r="R30" s="2" t="s">
        <v>103</v>
      </c>
      <c r="S30" s="6">
        <f>IF(S29=0,0,S29+S25+IF(S40="$ invested",S26,0))</f>
        <v>15100000</v>
      </c>
    </row>
    <row r="31" spans="2:30">
      <c r="F31" s="2" t="s">
        <v>152</v>
      </c>
      <c r="G31" s="6">
        <f>IF(G29=0,0,G29+G25+G27+IFERROR(G36*G30/(G32*(1-G36)),G36*C21/(1-G36))*G32)</f>
        <v>0</v>
      </c>
      <c r="R31" s="2" t="s">
        <v>152</v>
      </c>
      <c r="S31" s="6">
        <f>IF(S29=0,0,IF(S40="% ownership",S30,S29+S25+IF(S40="premoney",S27,IF(S40="$ invested",S26,0)))+IFERROR(S36*S30/(S32*(1-S36)),S36*L21/(1-S36))*S32)</f>
        <v>18875000</v>
      </c>
    </row>
    <row r="32" spans="2:30">
      <c r="F32" s="2" t="s">
        <v>62</v>
      </c>
      <c r="G32" s="37">
        <f>G28/C21</f>
        <v>0</v>
      </c>
      <c r="R32" s="2" t="s">
        <v>62</v>
      </c>
      <c r="S32" s="37">
        <f>S28/IF(S40="postmoney",O21,L21)</f>
        <v>1.0186199342825848</v>
      </c>
    </row>
    <row r="33" spans="2:25">
      <c r="F33" s="2" t="s">
        <v>94</v>
      </c>
      <c r="G33" s="5">
        <f>IFERROR(G25/G30,0)</f>
        <v>0</v>
      </c>
      <c r="R33" s="2" t="s">
        <v>94</v>
      </c>
      <c r="S33" s="5">
        <f>IFERROR(S25/S30,0)</f>
        <v>0.20529801324503311</v>
      </c>
    </row>
    <row r="34" spans="2:25">
      <c r="H34" s="10"/>
      <c r="T34" s="10"/>
    </row>
    <row r="35" spans="2:25">
      <c r="F35" s="2" t="s">
        <v>115</v>
      </c>
      <c r="G35" s="277">
        <v>0</v>
      </c>
      <c r="H35" s="10" t="s">
        <v>78</v>
      </c>
      <c r="R35" s="2" t="s">
        <v>115</v>
      </c>
      <c r="S35" s="277">
        <v>0</v>
      </c>
      <c r="T35" s="10" t="s">
        <v>78</v>
      </c>
    </row>
    <row r="36" spans="2:25">
      <c r="F36" s="2" t="s">
        <v>116</v>
      </c>
      <c r="G36" s="277">
        <v>0</v>
      </c>
      <c r="H36" s="10" t="s">
        <v>78</v>
      </c>
      <c r="R36" s="2" t="s">
        <v>116</v>
      </c>
      <c r="S36" s="277">
        <v>0.2</v>
      </c>
      <c r="T36" s="10" t="s">
        <v>78</v>
      </c>
    </row>
    <row r="37" spans="2:25">
      <c r="F37" s="2" t="s">
        <v>114</v>
      </c>
      <c r="G37" s="279">
        <f>IFERROR(G36*G30/(G32*(1-G36)),G36*C21/(1-G36))+IFERROR(G35*G30/G32,G35*C21)</f>
        <v>0</v>
      </c>
      <c r="H37" s="10" t="s">
        <v>457</v>
      </c>
      <c r="R37" s="2" t="s">
        <v>114</v>
      </c>
      <c r="S37" s="279">
        <f>IFERROR(S36*S30/(S32*(1-S36)),S36*L21/(1-S36))+IFERROR(S35*S30/S32,S35*L21)</f>
        <v>3705994.6236559143</v>
      </c>
      <c r="T37" s="10" t="s">
        <v>457</v>
      </c>
    </row>
    <row r="38" spans="2:25">
      <c r="F38" s="2" t="s">
        <v>177</v>
      </c>
      <c r="G38" s="277">
        <v>0</v>
      </c>
      <c r="H38" s="10" t="s">
        <v>160</v>
      </c>
      <c r="R38" s="2" t="s">
        <v>177</v>
      </c>
      <c r="S38" s="277">
        <v>0.5</v>
      </c>
      <c r="T38" s="10" t="s">
        <v>160</v>
      </c>
    </row>
    <row r="39" spans="2:25">
      <c r="F39" s="2" t="s">
        <v>40</v>
      </c>
      <c r="G39" s="25">
        <f ca="1">EDATE(TODAY(),-18)</f>
        <v>43272</v>
      </c>
      <c r="H39" s="10" t="s">
        <v>182</v>
      </c>
      <c r="R39" s="2" t="s">
        <v>40</v>
      </c>
      <c r="S39" s="25">
        <f ca="1">TODAY()</f>
        <v>43820</v>
      </c>
      <c r="T39" s="10" t="s">
        <v>182</v>
      </c>
    </row>
    <row r="40" spans="2:25">
      <c r="R40" s="2" t="s">
        <v>661</v>
      </c>
      <c r="S40" s="55" t="s">
        <v>684</v>
      </c>
      <c r="T40" s="10" t="s">
        <v>146</v>
      </c>
      <c r="Y40" s="10"/>
    </row>
    <row r="41" spans="2:25">
      <c r="R41" s="2" t="s">
        <v>664</v>
      </c>
      <c r="S41" s="46" t="str">
        <f>IF(OR(S40="$ invested",S40="% ownership"),"yes","no")</f>
        <v>no</v>
      </c>
      <c r="T41" s="10" t="s">
        <v>151</v>
      </c>
    </row>
    <row r="42" spans="2:25">
      <c r="R42" s="2" t="s">
        <v>210</v>
      </c>
      <c r="S42" s="55" t="s">
        <v>211</v>
      </c>
      <c r="T42" s="10" t="s">
        <v>151</v>
      </c>
    </row>
    <row r="43" spans="2:25">
      <c r="R43" s="2" t="s">
        <v>665</v>
      </c>
      <c r="S43" s="4">
        <f ca="1">AB21-S31</f>
        <v>0</v>
      </c>
      <c r="T43" s="10" t="s">
        <v>459</v>
      </c>
    </row>
    <row r="44" spans="2:25">
      <c r="R44" s="2" t="s">
        <v>689</v>
      </c>
      <c r="S44" s="35">
        <f>IFERROR(F$14/H$14,0)+IFERROR(F$15/H$15,0)+IFERROR(F$16/H$16,0)+IFERROR(F$8/H$8,0)+IFERROR(F$9/H$9,0)+IFERROR(F$10/H$10,0)+IFERROR(F$11/H$11,0)+IFERROR(F$12/H$12,0)+IFERROR(F$18/H$18,0)+IFERROR(F$19/H$19,0)</f>
        <v>0.1511500547645126</v>
      </c>
      <c r="T44" s="10" t="s">
        <v>460</v>
      </c>
    </row>
    <row r="45" spans="2:25">
      <c r="B45" s="33" t="s">
        <v>54</v>
      </c>
    </row>
    <row r="46" spans="2:25">
      <c r="B46" s="2" t="s">
        <v>174</v>
      </c>
    </row>
    <row r="47" spans="2:25">
      <c r="B47" s="2" t="s">
        <v>289</v>
      </c>
    </row>
    <row r="48" spans="2:25">
      <c r="B48" s="2" t="s">
        <v>179</v>
      </c>
    </row>
    <row r="49" spans="2:2">
      <c r="B49" s="2" t="s">
        <v>183</v>
      </c>
    </row>
    <row r="50" spans="2:2">
      <c r="B50" s="2" t="s">
        <v>186</v>
      </c>
    </row>
    <row r="51" spans="2:2">
      <c r="B51" s="2" t="s">
        <v>187</v>
      </c>
    </row>
    <row r="52" spans="2:2">
      <c r="B52" s="2" t="s">
        <v>653</v>
      </c>
    </row>
    <row r="53" spans="2:2">
      <c r="B53" s="2" t="s">
        <v>654</v>
      </c>
    </row>
    <row r="54" spans="2:2">
      <c r="B54" s="2" t="s">
        <v>657</v>
      </c>
    </row>
    <row r="55" spans="2:2">
      <c r="B55" s="2" t="s">
        <v>662</v>
      </c>
    </row>
    <row r="56" spans="2:2">
      <c r="B56" s="2" t="s">
        <v>663</v>
      </c>
    </row>
    <row r="57" spans="2:2">
      <c r="B57" s="2" t="s">
        <v>666</v>
      </c>
    </row>
    <row r="58" spans="2:2">
      <c r="B58" s="2" t="s">
        <v>693</v>
      </c>
    </row>
  </sheetData>
  <conditionalFormatting sqref="S43">
    <cfRule type="expression" dxfId="0" priority="1">
      <formula>"&lt;&gt;0"</formula>
    </cfRule>
  </conditionalFormatting>
  <dataValidations count="2">
    <dataValidation type="list" allowBlank="1" showInputMessage="1" showErrorMessage="1" sqref="S42" xr:uid="{00000000-0002-0000-1000-000000000000}">
      <formula1>"no,yes"</formula1>
    </dataValidation>
    <dataValidation type="list" allowBlank="1" showInputMessage="1" showErrorMessage="1" sqref="S40" xr:uid="{00000000-0002-0000-1000-000001000000}">
      <formula1>"premoney,postmoney,% ownership, $ invested"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V154"/>
  <sheetViews>
    <sheetView showGridLines="0" topLeftCell="B1" workbookViewId="0">
      <selection activeCell="J10" sqref="J10"/>
    </sheetView>
  </sheetViews>
  <sheetFormatPr baseColWidth="10" defaultRowHeight="17"/>
  <cols>
    <col min="1" max="1" width="4.6640625" style="2" customWidth="1"/>
    <col min="2" max="2" width="39.33203125" style="2" customWidth="1"/>
    <col min="3" max="3" width="5.6640625" style="43" customWidth="1"/>
    <col min="4" max="8" width="17.1640625" style="2" customWidth="1"/>
    <col min="9" max="9" width="17.1640625" style="61" customWidth="1"/>
    <col min="10" max="12" width="17.1640625" style="2" customWidth="1"/>
    <col min="13" max="16384" width="10.83203125" style="2"/>
  </cols>
  <sheetData>
    <row r="2" spans="2:14">
      <c r="B2" s="18" t="s">
        <v>181</v>
      </c>
      <c r="C2" s="20"/>
      <c r="D2" s="20"/>
      <c r="E2" s="20"/>
      <c r="F2" s="20"/>
      <c r="G2" s="20"/>
      <c r="H2" s="20"/>
      <c r="I2" s="30"/>
      <c r="J2" s="20"/>
      <c r="K2" s="10"/>
      <c r="L2" s="10"/>
      <c r="M2" s="10"/>
      <c r="N2" s="10"/>
    </row>
    <row r="3" spans="2:14">
      <c r="B3" s="34" t="s">
        <v>180</v>
      </c>
      <c r="C3" s="20"/>
      <c r="D3" s="20"/>
      <c r="E3" s="20"/>
      <c r="F3" s="20"/>
      <c r="G3" s="20"/>
      <c r="H3" s="20"/>
      <c r="I3" s="30"/>
      <c r="J3" s="20"/>
      <c r="K3" s="10"/>
      <c r="L3" s="10"/>
      <c r="M3" s="10"/>
      <c r="N3" s="10"/>
    </row>
    <row r="4" spans="2:14">
      <c r="B4" s="10"/>
      <c r="C4" s="20"/>
      <c r="D4" s="20"/>
      <c r="E4" s="20"/>
      <c r="F4" s="20"/>
      <c r="G4" s="20"/>
      <c r="H4" s="20"/>
      <c r="I4" s="30"/>
      <c r="J4" s="20"/>
      <c r="K4" s="10"/>
      <c r="L4" s="10"/>
      <c r="M4" s="10"/>
      <c r="N4" s="10"/>
    </row>
    <row r="5" spans="2:14">
      <c r="B5" s="10" t="s">
        <v>166</v>
      </c>
      <c r="C5" s="290" t="s">
        <v>156</v>
      </c>
      <c r="D5" s="137">
        <v>15000000</v>
      </c>
      <c r="F5" s="20"/>
      <c r="G5" s="20"/>
      <c r="H5" s="20"/>
      <c r="I5" s="30" t="s">
        <v>250</v>
      </c>
      <c r="J5" s="20"/>
      <c r="K5" s="10"/>
      <c r="L5" s="10"/>
      <c r="M5" s="10"/>
      <c r="N5" s="10"/>
    </row>
    <row r="6" spans="2:14">
      <c r="B6" s="1" t="str">
        <f>"# of "&amp;'Cap Table'!D62&amp;"s and Granted options, at exit"</f>
        <v># of Shares and Granted options, at exit</v>
      </c>
      <c r="C6" s="50" t="s">
        <v>170</v>
      </c>
      <c r="D6" s="4">
        <f>H26</f>
        <v>20116815.729596477</v>
      </c>
      <c r="F6" s="20"/>
      <c r="G6" s="20"/>
      <c r="H6" s="20"/>
      <c r="I6" s="20"/>
      <c r="J6" s="20"/>
      <c r="K6" s="10"/>
      <c r="L6" s="10"/>
      <c r="M6" s="10"/>
      <c r="N6" s="10"/>
    </row>
    <row r="7" spans="2:14">
      <c r="B7" s="1" t="s">
        <v>19</v>
      </c>
      <c r="C7" s="50" t="str">
        <f>C5</f>
        <v>$</v>
      </c>
      <c r="D7" s="1">
        <f>IFERROR(D5/D6,0)</f>
        <v>0.745644847655066</v>
      </c>
      <c r="F7" s="20"/>
      <c r="G7" s="20"/>
      <c r="H7" s="20"/>
      <c r="I7" s="20"/>
      <c r="J7" s="20"/>
      <c r="K7" s="10"/>
      <c r="L7" s="10"/>
      <c r="M7" s="10"/>
      <c r="N7" s="10"/>
    </row>
    <row r="8" spans="2:14">
      <c r="B8" s="1" t="s">
        <v>165</v>
      </c>
      <c r="C8" s="50"/>
      <c r="D8" s="25">
        <f ca="1">EDATE(TODAY(),24)</f>
        <v>44551</v>
      </c>
      <c r="F8" s="20"/>
      <c r="G8" s="20"/>
      <c r="H8" s="20"/>
      <c r="I8" s="30" t="s">
        <v>251</v>
      </c>
      <c r="J8" s="20"/>
      <c r="K8" s="10"/>
      <c r="L8" s="10"/>
      <c r="M8" s="10"/>
      <c r="N8" s="10"/>
    </row>
    <row r="9" spans="2:14">
      <c r="B9" s="1" t="s">
        <v>163</v>
      </c>
      <c r="C9" s="50" t="s">
        <v>50</v>
      </c>
      <c r="D9" s="136">
        <v>0.75</v>
      </c>
      <c r="F9" s="20"/>
      <c r="G9" s="20"/>
      <c r="H9" s="20"/>
      <c r="I9" s="30" t="s">
        <v>252</v>
      </c>
      <c r="J9" s="20"/>
      <c r="K9" s="10"/>
      <c r="L9" s="10"/>
      <c r="M9" s="10"/>
      <c r="N9" s="10"/>
    </row>
    <row r="10" spans="2:14">
      <c r="B10" s="10" t="s">
        <v>210</v>
      </c>
      <c r="D10" s="55" t="s">
        <v>211</v>
      </c>
      <c r="F10" s="20"/>
      <c r="G10" s="20"/>
      <c r="H10" s="20"/>
      <c r="I10" s="2" t="s">
        <v>253</v>
      </c>
      <c r="J10" s="20"/>
      <c r="K10" s="10"/>
      <c r="L10" s="10"/>
      <c r="M10" s="10"/>
      <c r="N10" s="10"/>
    </row>
    <row r="11" spans="2:14">
      <c r="B11" s="10" t="s">
        <v>249</v>
      </c>
      <c r="D11" s="46" t="str">
        <f>IF(SUM(D83:H83)=0,"Yes","No")</f>
        <v>No</v>
      </c>
      <c r="F11" s="20"/>
      <c r="G11" s="20"/>
      <c r="H11" s="20"/>
      <c r="I11" s="72" t="s">
        <v>254</v>
      </c>
      <c r="J11" s="20"/>
      <c r="K11" s="10"/>
      <c r="L11" s="10"/>
      <c r="M11" s="10"/>
      <c r="N11" s="10"/>
    </row>
    <row r="12" spans="2:14">
      <c r="B12" s="10"/>
      <c r="C12" s="20"/>
      <c r="D12" s="20"/>
      <c r="E12" s="20"/>
      <c r="F12" s="20"/>
      <c r="G12" s="20"/>
      <c r="H12" s="20"/>
      <c r="I12" s="30"/>
      <c r="J12" s="20"/>
      <c r="K12" s="10"/>
      <c r="L12" s="10"/>
      <c r="M12" s="10"/>
      <c r="N12" s="10"/>
    </row>
    <row r="13" spans="2:14">
      <c r="B13" s="9" t="s">
        <v>188</v>
      </c>
      <c r="C13" s="20"/>
      <c r="D13" s="20"/>
      <c r="E13" s="20"/>
      <c r="F13" s="20"/>
      <c r="G13" s="20"/>
      <c r="H13" s="20"/>
      <c r="I13" s="30" t="s">
        <v>256</v>
      </c>
      <c r="J13" s="20"/>
      <c r="K13" s="10"/>
      <c r="L13" s="10"/>
      <c r="M13" s="10"/>
      <c r="N13" s="10"/>
    </row>
    <row r="14" spans="2:14">
      <c r="B14" s="10"/>
      <c r="C14" s="20"/>
      <c r="D14" s="20"/>
      <c r="E14" s="20"/>
      <c r="F14" s="20"/>
      <c r="G14" s="20"/>
      <c r="H14" s="20"/>
      <c r="I14" s="30"/>
      <c r="J14" s="20"/>
      <c r="K14" s="10"/>
      <c r="L14" s="10"/>
      <c r="M14" s="10"/>
      <c r="N14" s="10"/>
    </row>
    <row r="15" spans="2:14">
      <c r="B15" s="10" t="s">
        <v>184</v>
      </c>
      <c r="C15" s="20"/>
      <c r="D15" s="51" t="s">
        <v>33</v>
      </c>
      <c r="E15" s="51" t="s">
        <v>26</v>
      </c>
      <c r="F15" s="51" t="s">
        <v>21</v>
      </c>
      <c r="G15" s="51" t="s">
        <v>22</v>
      </c>
      <c r="H15" s="31" t="s">
        <v>20</v>
      </c>
      <c r="I15" s="30"/>
      <c r="J15" s="20"/>
      <c r="K15" s="10"/>
      <c r="L15" s="10"/>
      <c r="M15" s="10"/>
      <c r="N15" s="10"/>
    </row>
    <row r="16" spans="2:14">
      <c r="B16" s="137" t="str">
        <f>'2 - Option Pool, 2nd Round'!B16</f>
        <v>A Investor</v>
      </c>
      <c r="C16" s="50" t="s">
        <v>170</v>
      </c>
      <c r="D16" s="137">
        <f>'2 - Option Pool, 2nd Round'!O16</f>
        <v>4166666.666666666</v>
      </c>
      <c r="E16" s="137">
        <f>'2 - Option Pool, 2nd Round'!H16</f>
        <v>0</v>
      </c>
      <c r="F16" s="137">
        <v>0</v>
      </c>
      <c r="G16" s="137">
        <v>0</v>
      </c>
      <c r="H16" s="32">
        <f t="shared" ref="H16:H24" si="0">SUM(D16:G16)</f>
        <v>4166666.666666666</v>
      </c>
      <c r="I16" s="30"/>
      <c r="J16" s="20"/>
      <c r="K16" s="10"/>
      <c r="L16" s="10"/>
      <c r="M16" s="10"/>
      <c r="N16" s="10"/>
    </row>
    <row r="17" spans="2:14">
      <c r="B17" s="137" t="str">
        <f>'2 - Option Pool, 2nd Round'!B14</f>
        <v>Seed Investor</v>
      </c>
      <c r="C17" s="50" t="s">
        <v>170</v>
      </c>
      <c r="D17" s="137">
        <f>'2 - Option Pool, 2nd Round'!O14</f>
        <v>811260.17404092313</v>
      </c>
      <c r="E17" s="137">
        <f>'2 - Option Pool, 2nd Round'!H14</f>
        <v>2222222.222222222</v>
      </c>
      <c r="F17" s="137">
        <v>0</v>
      </c>
      <c r="G17" s="137">
        <v>0</v>
      </c>
      <c r="H17" s="32">
        <f t="shared" si="0"/>
        <v>3033482.3962631449</v>
      </c>
      <c r="I17" s="30" t="s">
        <v>257</v>
      </c>
      <c r="J17" s="20"/>
      <c r="K17" s="10"/>
      <c r="L17" s="10"/>
      <c r="M17" s="10"/>
      <c r="N17" s="10"/>
    </row>
    <row r="18" spans="2:14">
      <c r="B18" s="137" t="str">
        <f>'2 - Option Pool, 2nd Round'!B15</f>
        <v>Seed Investor 2</v>
      </c>
      <c r="C18" s="50" t="s">
        <v>170</v>
      </c>
      <c r="D18" s="137">
        <f>'2 - Option Pool, 2nd Round'!O15</f>
        <v>0</v>
      </c>
      <c r="E18" s="137">
        <f>'2 - Option Pool, 2nd Round'!H15</f>
        <v>1111111.111111111</v>
      </c>
      <c r="F18" s="137">
        <f>'2 - Option Pool, 2nd Round'!O12</f>
        <v>138888.88888888888</v>
      </c>
      <c r="G18" s="137">
        <v>0</v>
      </c>
      <c r="H18" s="32">
        <f t="shared" si="0"/>
        <v>1250000</v>
      </c>
      <c r="I18" s="30" t="s">
        <v>258</v>
      </c>
      <c r="J18" s="20"/>
      <c r="K18" s="10"/>
      <c r="L18" s="10"/>
      <c r="M18" s="10"/>
      <c r="N18" s="10"/>
    </row>
    <row r="19" spans="2:14">
      <c r="B19" s="137" t="str">
        <f>'2 - Option Pool, 2nd Round'!B8</f>
        <v>Co-Founder</v>
      </c>
      <c r="C19" s="50" t="s">
        <v>170</v>
      </c>
      <c r="D19" s="137">
        <v>0</v>
      </c>
      <c r="E19" s="137">
        <v>0</v>
      </c>
      <c r="F19" s="137">
        <f>'2 - Option Pool, 2nd Round'!P8</f>
        <v>6000000</v>
      </c>
      <c r="G19" s="137">
        <v>0</v>
      </c>
      <c r="H19" s="32">
        <f t="shared" si="0"/>
        <v>6000000</v>
      </c>
      <c r="I19" s="30"/>
      <c r="J19" s="20"/>
      <c r="K19" s="10"/>
      <c r="L19" s="10"/>
      <c r="M19" s="10"/>
      <c r="N19" s="10"/>
    </row>
    <row r="20" spans="2:14">
      <c r="B20" s="137" t="str">
        <f>'2 - Option Pool, 2nd Round'!B9</f>
        <v>Co-Founder</v>
      </c>
      <c r="C20" s="50" t="s">
        <v>170</v>
      </c>
      <c r="D20" s="137">
        <v>0</v>
      </c>
      <c r="E20" s="137">
        <v>0</v>
      </c>
      <c r="F20" s="137">
        <f>'2 - Option Pool, 2nd Round'!P9</f>
        <v>3000000</v>
      </c>
      <c r="G20" s="137">
        <v>0</v>
      </c>
      <c r="H20" s="32">
        <f t="shared" si="0"/>
        <v>3000000</v>
      </c>
      <c r="I20" s="30"/>
      <c r="J20" s="20"/>
      <c r="K20" s="10"/>
      <c r="L20" s="10"/>
      <c r="M20" s="10"/>
      <c r="N20" s="10"/>
    </row>
    <row r="21" spans="2:14">
      <c r="B21" s="137" t="str">
        <f>'2 - Option Pool, 2nd Round'!B10</f>
        <v>Employee</v>
      </c>
      <c r="C21" s="50" t="s">
        <v>170</v>
      </c>
      <c r="D21" s="137">
        <v>0</v>
      </c>
      <c r="E21" s="137">
        <v>0</v>
      </c>
      <c r="F21" s="137">
        <f>'2 - Option Pool, 2nd Round'!P10</f>
        <v>700000.00000000012</v>
      </c>
      <c r="G21" s="137">
        <v>0</v>
      </c>
      <c r="H21" s="32">
        <f t="shared" si="0"/>
        <v>700000.00000000012</v>
      </c>
      <c r="I21" s="30"/>
      <c r="J21" s="20"/>
      <c r="K21" s="10"/>
      <c r="L21" s="10"/>
      <c r="M21" s="10"/>
      <c r="N21" s="10"/>
    </row>
    <row r="22" spans="2:14">
      <c r="B22" s="137" t="str">
        <f>'2 - Option Pool, 2nd Round'!B11</f>
        <v>Employee</v>
      </c>
      <c r="C22" s="50" t="s">
        <v>170</v>
      </c>
      <c r="D22" s="137">
        <v>0</v>
      </c>
      <c r="E22" s="137">
        <v>0</v>
      </c>
      <c r="F22" s="137">
        <f>'2 - Option Pool, 2nd Round'!P11</f>
        <v>300000</v>
      </c>
      <c r="G22" s="137">
        <v>0</v>
      </c>
      <c r="H22" s="32">
        <f t="shared" si="0"/>
        <v>300000</v>
      </c>
      <c r="I22" s="30"/>
      <c r="J22" s="20"/>
      <c r="K22" s="10"/>
      <c r="L22" s="10"/>
      <c r="M22" s="10"/>
      <c r="N22" s="10"/>
    </row>
    <row r="23" spans="2:14">
      <c r="B23" s="137" t="str">
        <f>'2 - Option Pool, 2nd Round'!B18</f>
        <v>Options Granted and Exercised</v>
      </c>
      <c r="C23" s="50" t="s">
        <v>170</v>
      </c>
      <c r="D23" s="32">
        <v>0</v>
      </c>
      <c r="E23" s="32">
        <v>0</v>
      </c>
      <c r="F23" s="32">
        <v>0</v>
      </c>
      <c r="G23" s="137">
        <f>'2 - Option Pool, 2nd Round'!P18</f>
        <v>1666666.6666666665</v>
      </c>
      <c r="H23" s="32">
        <f t="shared" si="0"/>
        <v>1666666.6666666665</v>
      </c>
      <c r="I23" s="30" t="s">
        <v>259</v>
      </c>
      <c r="J23" s="20"/>
      <c r="K23" s="10"/>
      <c r="L23" s="10"/>
      <c r="M23" s="10"/>
      <c r="N23" s="10"/>
    </row>
    <row r="24" spans="2:14">
      <c r="B24" s="137" t="str">
        <f>'2 - Option Pool, 2nd Round'!B19</f>
        <v>Option Pool</v>
      </c>
      <c r="C24" s="50" t="s">
        <v>170</v>
      </c>
      <c r="D24" s="32">
        <v>0</v>
      </c>
      <c r="E24" s="32">
        <v>0</v>
      </c>
      <c r="F24" s="32">
        <v>0</v>
      </c>
      <c r="G24" s="137">
        <v>0</v>
      </c>
      <c r="H24" s="32">
        <f t="shared" si="0"/>
        <v>0</v>
      </c>
      <c r="I24" s="30" t="s">
        <v>260</v>
      </c>
      <c r="J24" s="20"/>
      <c r="K24" s="10"/>
      <c r="L24" s="10"/>
      <c r="M24" s="10"/>
      <c r="N24" s="10"/>
    </row>
    <row r="25" spans="2:14">
      <c r="B25" s="10"/>
      <c r="C25" s="20"/>
      <c r="D25" s="32"/>
      <c r="E25" s="32"/>
      <c r="F25" s="32"/>
      <c r="G25" s="32"/>
      <c r="H25" s="32"/>
      <c r="I25" s="30"/>
      <c r="J25" s="20"/>
      <c r="K25" s="10"/>
      <c r="L25" s="10"/>
      <c r="M25" s="10"/>
      <c r="N25" s="10"/>
    </row>
    <row r="26" spans="2:14">
      <c r="B26" s="10" t="s">
        <v>189</v>
      </c>
      <c r="C26" s="50" t="s">
        <v>170</v>
      </c>
      <c r="D26" s="48">
        <f>SUM(D16:D24)</f>
        <v>4977926.8407075889</v>
      </c>
      <c r="E26" s="48">
        <f>SUM(E16:E24)</f>
        <v>3333333.333333333</v>
      </c>
      <c r="F26" s="48">
        <f>SUM(F16:F24)</f>
        <v>10138888.888888888</v>
      </c>
      <c r="G26" s="48">
        <f>SUM(G16:G24)</f>
        <v>1666666.6666666665</v>
      </c>
      <c r="H26" s="48">
        <f>SUM(H16:H24)</f>
        <v>20116815.729596477</v>
      </c>
      <c r="I26" s="30"/>
      <c r="J26" s="20"/>
      <c r="K26" s="10"/>
      <c r="L26" s="10"/>
      <c r="M26" s="10"/>
      <c r="N26" s="10"/>
    </row>
    <row r="27" spans="2:14">
      <c r="B27" s="10" t="s">
        <v>194</v>
      </c>
      <c r="C27" s="50" t="s">
        <v>50</v>
      </c>
      <c r="D27" s="52">
        <f>D26/$H26</f>
        <v>0.24745103338516494</v>
      </c>
      <c r="E27" s="52">
        <f>E26/$H26</f>
        <v>0.16569885503445908</v>
      </c>
      <c r="F27" s="52">
        <f>F26/$H26</f>
        <v>0.50400068406314635</v>
      </c>
      <c r="G27" s="52">
        <f>G26/$H26</f>
        <v>8.284942751722954E-2</v>
      </c>
      <c r="H27" s="52">
        <f>H26/$H26</f>
        <v>1</v>
      </c>
      <c r="I27" s="30"/>
      <c r="J27" s="20"/>
      <c r="K27" s="10"/>
      <c r="L27" s="10"/>
      <c r="M27" s="10"/>
      <c r="N27" s="10"/>
    </row>
    <row r="28" spans="2:14">
      <c r="B28" s="10"/>
      <c r="C28" s="20"/>
      <c r="D28" s="20"/>
      <c r="E28" s="20"/>
      <c r="F28" s="20"/>
      <c r="G28" s="20"/>
      <c r="H28" s="20"/>
      <c r="I28" s="30"/>
      <c r="J28" s="20"/>
      <c r="K28" s="10"/>
      <c r="L28" s="10"/>
      <c r="M28" s="10"/>
      <c r="N28" s="10"/>
    </row>
    <row r="29" spans="2:14">
      <c r="B29" s="10" t="s">
        <v>185</v>
      </c>
      <c r="C29" s="50" t="str">
        <f>C5</f>
        <v>$</v>
      </c>
      <c r="D29" s="138">
        <f>'2 - Option Pool, 2nd Round'!N29</f>
        <v>0.72000000000000008</v>
      </c>
      <c r="E29" s="139">
        <f>'2 - Option Pool, 2nd Round'!G29</f>
        <v>0.22500000000000001</v>
      </c>
      <c r="F29" s="139" t="s">
        <v>27</v>
      </c>
      <c r="G29" s="139" t="s">
        <v>27</v>
      </c>
      <c r="H29" s="26" t="s">
        <v>27</v>
      </c>
      <c r="I29" s="30" t="s">
        <v>261</v>
      </c>
      <c r="J29" s="20"/>
      <c r="K29" s="10"/>
      <c r="L29" s="10"/>
      <c r="M29" s="10"/>
      <c r="N29" s="10"/>
    </row>
    <row r="30" spans="2:14">
      <c r="B30" s="10" t="s">
        <v>191</v>
      </c>
      <c r="C30" s="50" t="str">
        <f>C5</f>
        <v>$</v>
      </c>
      <c r="D30" s="137">
        <f>IFERROR(D29*D26,0)</f>
        <v>3584107.3253094642</v>
      </c>
      <c r="E30" s="137">
        <f>IFERROR(E29*E26,0)</f>
        <v>750000</v>
      </c>
      <c r="F30" s="137">
        <f>SUM('2 - Option Pool, 2nd Round'!M8:M12,'2 - Option Pool, 2nd Round'!F8:F12)</f>
        <v>100000</v>
      </c>
      <c r="G30" s="137">
        <f>IFERROR(G29*G26,0)</f>
        <v>0</v>
      </c>
      <c r="H30" s="56">
        <f>SUM(D30:G30)</f>
        <v>4434107.3253094647</v>
      </c>
      <c r="I30" s="30" t="s">
        <v>261</v>
      </c>
      <c r="J30" s="20"/>
      <c r="K30" s="10"/>
      <c r="L30" s="10"/>
      <c r="M30" s="10"/>
      <c r="N30" s="10"/>
    </row>
    <row r="31" spans="2:14">
      <c r="B31" s="9"/>
      <c r="C31" s="20"/>
      <c r="D31" s="20"/>
      <c r="E31" s="20"/>
      <c r="F31" s="20"/>
      <c r="G31" s="20"/>
      <c r="H31" s="20"/>
      <c r="I31" s="30"/>
      <c r="J31" s="20"/>
      <c r="K31" s="10"/>
      <c r="L31" s="10"/>
      <c r="M31" s="10"/>
      <c r="N31" s="10"/>
    </row>
    <row r="32" spans="2:14">
      <c r="B32" s="9" t="s">
        <v>28</v>
      </c>
      <c r="C32" s="9"/>
      <c r="D32" s="20"/>
      <c r="E32" s="3"/>
      <c r="F32" s="10"/>
      <c r="G32" s="10"/>
      <c r="H32" s="10"/>
      <c r="I32" s="30" t="s">
        <v>262</v>
      </c>
      <c r="J32" s="10"/>
      <c r="K32" s="10"/>
      <c r="L32" s="10"/>
    </row>
    <row r="33" spans="2:22">
      <c r="B33" s="10" t="s">
        <v>28</v>
      </c>
      <c r="C33" s="9"/>
      <c r="D33" s="137">
        <f>D30</f>
        <v>3584107.3253094642</v>
      </c>
      <c r="E33" s="137">
        <f>E30</f>
        <v>750000</v>
      </c>
      <c r="F33" s="137">
        <v>0</v>
      </c>
      <c r="G33" s="137">
        <v>0</v>
      </c>
      <c r="H33" s="56">
        <f>SUM(D33:G33)</f>
        <v>4334107.3253094647</v>
      </c>
      <c r="I33" s="60" t="s">
        <v>291</v>
      </c>
      <c r="K33" s="10"/>
      <c r="V33" s="32">
        <f>SUMIFS(D33:E33,D34:E34,"&lt;&gt;"&amp;#REF!)</f>
        <v>0</v>
      </c>
    </row>
    <row r="34" spans="2:22">
      <c r="B34" s="1" t="s">
        <v>167</v>
      </c>
      <c r="C34" s="1"/>
      <c r="D34" s="140" t="s">
        <v>426</v>
      </c>
      <c r="E34" s="140" t="s">
        <v>423</v>
      </c>
      <c r="F34" s="49" t="s">
        <v>27</v>
      </c>
      <c r="G34" s="49" t="s">
        <v>27</v>
      </c>
      <c r="I34" s="60" t="s">
        <v>263</v>
      </c>
    </row>
    <row r="35" spans="2:22">
      <c r="B35" s="1" t="s">
        <v>168</v>
      </c>
      <c r="C35" s="1"/>
      <c r="D35" s="141">
        <v>1</v>
      </c>
      <c r="E35" s="141">
        <v>1</v>
      </c>
      <c r="F35" s="49" t="s">
        <v>27</v>
      </c>
      <c r="G35" s="49" t="s">
        <v>27</v>
      </c>
      <c r="I35" s="30" t="s">
        <v>264</v>
      </c>
    </row>
    <row r="36" spans="2:22">
      <c r="B36" s="10"/>
      <c r="C36" s="20"/>
      <c r="D36" s="20"/>
      <c r="E36" s="20"/>
      <c r="F36" s="20"/>
      <c r="G36" s="20"/>
      <c r="H36" s="20"/>
      <c r="J36" s="20"/>
      <c r="K36" s="20"/>
      <c r="L36" s="20"/>
      <c r="M36" s="10"/>
      <c r="N36" s="10"/>
    </row>
    <row r="37" spans="2:22">
      <c r="C37" s="2"/>
      <c r="I37" s="2"/>
      <c r="K37" s="20"/>
      <c r="L37" s="20"/>
      <c r="M37" s="10"/>
      <c r="N37" s="10"/>
    </row>
    <row r="38" spans="2:22">
      <c r="B38" s="64" t="s">
        <v>195</v>
      </c>
      <c r="C38" s="20"/>
      <c r="D38" s="69"/>
      <c r="E38" s="69"/>
      <c r="F38" s="69"/>
      <c r="G38" s="69"/>
      <c r="H38" s="69"/>
      <c r="I38" s="30"/>
      <c r="J38" s="20"/>
      <c r="K38" s="10"/>
      <c r="L38" s="10"/>
      <c r="M38" s="10"/>
      <c r="N38" s="10"/>
    </row>
    <row r="39" spans="2:22">
      <c r="D39" s="30"/>
      <c r="E39" s="30"/>
      <c r="F39" s="30"/>
      <c r="G39" s="30"/>
      <c r="H39" s="30"/>
      <c r="I39" s="30"/>
      <c r="J39" s="20"/>
      <c r="K39" s="10"/>
      <c r="L39" s="10"/>
    </row>
    <row r="40" spans="2:22">
      <c r="B40" s="10" t="s">
        <v>166</v>
      </c>
      <c r="C40" s="50" t="str">
        <f>C5</f>
        <v>$</v>
      </c>
      <c r="D40" s="74">
        <f>E40*(1-$D9)</f>
        <v>937500</v>
      </c>
      <c r="E40" s="74">
        <f>F40*(1-$D9)</f>
        <v>3750000</v>
      </c>
      <c r="F40" s="74">
        <f>D5</f>
        <v>15000000</v>
      </c>
      <c r="G40" s="74">
        <f>F40*(1+$D9)</f>
        <v>26250000</v>
      </c>
      <c r="H40" s="74">
        <f>G40*(1+$D9)</f>
        <v>45937500</v>
      </c>
      <c r="I40" s="60" t="s">
        <v>265</v>
      </c>
      <c r="J40" s="20"/>
      <c r="K40" s="10"/>
      <c r="L40" s="10"/>
    </row>
    <row r="41" spans="2:22">
      <c r="B41" s="10" t="s">
        <v>189</v>
      </c>
      <c r="C41" s="43" t="s">
        <v>170</v>
      </c>
      <c r="D41" s="68">
        <f>$D6</f>
        <v>20116815.729596477</v>
      </c>
      <c r="E41" s="68">
        <f>$D6</f>
        <v>20116815.729596477</v>
      </c>
      <c r="F41" s="68">
        <f>$D6</f>
        <v>20116815.729596477</v>
      </c>
      <c r="G41" s="68">
        <f>$D6</f>
        <v>20116815.729596477</v>
      </c>
      <c r="H41" s="68">
        <f>$D6</f>
        <v>20116815.729596477</v>
      </c>
      <c r="I41" s="30" t="s">
        <v>266</v>
      </c>
      <c r="J41" s="20"/>
      <c r="K41" s="10"/>
    </row>
    <row r="42" spans="2:22">
      <c r="B42" s="10" t="s">
        <v>164</v>
      </c>
      <c r="C42" s="20" t="s">
        <v>170</v>
      </c>
      <c r="D42" s="69">
        <f>D40/$H30</f>
        <v>0.21142925311005414</v>
      </c>
      <c r="E42" s="69">
        <f>E40/$H30</f>
        <v>0.84571701244021658</v>
      </c>
      <c r="F42" s="69">
        <f>F40/$H30</f>
        <v>3.3828680497608663</v>
      </c>
      <c r="G42" s="69">
        <f>G40/$H30</f>
        <v>5.9200190870815161</v>
      </c>
      <c r="H42" s="69">
        <f>H40/$H30</f>
        <v>10.360033402392652</v>
      </c>
      <c r="I42" s="30" t="s">
        <v>267</v>
      </c>
      <c r="J42" s="20"/>
      <c r="K42" s="10"/>
    </row>
    <row r="43" spans="2:22">
      <c r="B43" s="10" t="s">
        <v>19</v>
      </c>
      <c r="C43" s="50" t="str">
        <f>C5</f>
        <v>$</v>
      </c>
      <c r="D43" s="75">
        <f>IFERROR(D40/D41,0)</f>
        <v>4.6602802978441625E-2</v>
      </c>
      <c r="E43" s="75">
        <f>IFERROR(E40/E41,0)</f>
        <v>0.1864112119137665</v>
      </c>
      <c r="F43" s="75">
        <f>IFERROR(F40/F41,0)</f>
        <v>0.745644847655066</v>
      </c>
      <c r="G43" s="75">
        <f>IFERROR(G40/G41,0)</f>
        <v>1.3048784833963654</v>
      </c>
      <c r="H43" s="75">
        <f>IFERROR(H40/H41,0)</f>
        <v>2.2835373459436394</v>
      </c>
      <c r="I43" s="30" t="s">
        <v>268</v>
      </c>
      <c r="J43" s="20"/>
      <c r="K43" s="10"/>
    </row>
    <row r="44" spans="2:22">
      <c r="B44" s="10"/>
      <c r="D44" s="11"/>
      <c r="E44" s="11"/>
      <c r="F44" s="11"/>
      <c r="G44" s="11"/>
      <c r="H44" s="11"/>
      <c r="I44" s="30"/>
      <c r="J44" s="20"/>
      <c r="K44" s="10"/>
    </row>
    <row r="45" spans="2:22">
      <c r="B45" s="9" t="s">
        <v>193</v>
      </c>
      <c r="D45" s="11"/>
      <c r="E45" s="11"/>
      <c r="F45" s="11"/>
      <c r="G45" s="11"/>
      <c r="H45" s="11"/>
      <c r="I45" s="30"/>
      <c r="J45" s="20"/>
      <c r="K45" s="10"/>
    </row>
    <row r="46" spans="2:22">
      <c r="B46" s="10" t="s">
        <v>199</v>
      </c>
      <c r="C46" s="50" t="str">
        <f>C5</f>
        <v>$</v>
      </c>
      <c r="D46" s="68">
        <f>D40</f>
        <v>937500</v>
      </c>
      <c r="E46" s="68">
        <f>E40</f>
        <v>3750000</v>
      </c>
      <c r="F46" s="68">
        <f>F40</f>
        <v>15000000</v>
      </c>
      <c r="G46" s="68">
        <f>G40</f>
        <v>26250000</v>
      </c>
      <c r="H46" s="68">
        <f>H40</f>
        <v>45937500</v>
      </c>
      <c r="I46" s="30" t="s">
        <v>269</v>
      </c>
    </row>
    <row r="47" spans="2:22">
      <c r="B47" s="10" t="s">
        <v>204</v>
      </c>
      <c r="C47" s="43" t="s">
        <v>170</v>
      </c>
      <c r="D47" s="68">
        <f t="shared" ref="D47:H47" si="1">D41</f>
        <v>20116815.729596477</v>
      </c>
      <c r="E47" s="68">
        <f t="shared" si="1"/>
        <v>20116815.729596477</v>
      </c>
      <c r="F47" s="68">
        <f t="shared" si="1"/>
        <v>20116815.729596477</v>
      </c>
      <c r="G47" s="68">
        <f t="shared" si="1"/>
        <v>20116815.729596477</v>
      </c>
      <c r="H47" s="68">
        <f t="shared" si="1"/>
        <v>20116815.729596477</v>
      </c>
      <c r="I47" s="30" t="s">
        <v>270</v>
      </c>
    </row>
    <row r="48" spans="2:22" s="11" customFormat="1">
      <c r="B48" s="57" t="s">
        <v>197</v>
      </c>
      <c r="C48" s="58" t="str">
        <f>C5</f>
        <v>$</v>
      </c>
      <c r="D48" s="59">
        <f>IF($D$10="no",MAX(0,D$40)/D$41*D51,IF($D$34="full participating preferred",MAX(0,D$40-D$95)/D$41*D51,MAX(0,D$40)/D$41*D51))</f>
        <v>231985.34379859213</v>
      </c>
      <c r="E48" s="59">
        <f>IF($D$10="no",MAX(0,E$40)/E$41*E51,IF($D$34="full participating preferred",MAX(0,E$40-E$95)/E$41*E51,MAX(0,E$40)/E$41*E51))</f>
        <v>927941.37519436853</v>
      </c>
      <c r="F48" s="59">
        <f>IF($D$10="no",MAX(0,F$40)/F$41*F51,IF($D$34="full participating preferred",MAX(0,F$40-F$95)/F$41*F51,MAX(0,F$40)/F$41*F51))</f>
        <v>3711765.5007774741</v>
      </c>
      <c r="G48" s="59">
        <f>IF($D$10="no",MAX(0,G$40)/G$41*G51,IF($D$34="full participating preferred",MAX(0,G$40-G$95)/G$41*G51,MAX(0,G$40)/G$41*G51))</f>
        <v>6495589.6263605794</v>
      </c>
      <c r="H48" s="59">
        <f>IF($D$10="no",MAX(0,H$40)/H$41*H51,IF($D$34="full participating preferred",MAX(0,H$40-H$95)/H$41*H51,MAX(0,H$40)/H$41*H51))</f>
        <v>11367281.846131014</v>
      </c>
      <c r="I48" s="63" t="s">
        <v>412</v>
      </c>
    </row>
    <row r="49" spans="2:9">
      <c r="B49" s="10" t="s">
        <v>196</v>
      </c>
      <c r="C49" s="50" t="str">
        <f>C5</f>
        <v>$</v>
      </c>
      <c r="D49" s="68">
        <f>$D33</f>
        <v>3584107.3253094642</v>
      </c>
      <c r="E49" s="68">
        <f>$D33</f>
        <v>3584107.3253094642</v>
      </c>
      <c r="F49" s="68">
        <f>$D33</f>
        <v>3584107.3253094642</v>
      </c>
      <c r="G49" s="68">
        <f>$D33</f>
        <v>3584107.3253094642</v>
      </c>
      <c r="H49" s="68">
        <f>$D33</f>
        <v>3584107.3253094642</v>
      </c>
      <c r="I49" s="30" t="s">
        <v>271</v>
      </c>
    </row>
    <row r="50" spans="2:9">
      <c r="B50" s="10" t="s">
        <v>198</v>
      </c>
      <c r="C50" s="50" t="str">
        <f>C5</f>
        <v>$</v>
      </c>
      <c r="D50" s="76">
        <f>IF($D$34="participating preferred with a cap",$D33*$D35,IF($D$34="full participating preferred",0,"na"))</f>
        <v>3584107.3253094642</v>
      </c>
      <c r="E50" s="76">
        <f>IF($D$34="participating preferred with a cap",$D33*$D35,IF($D$34="full participating preferred",0,"na"))</f>
        <v>3584107.3253094642</v>
      </c>
      <c r="F50" s="76">
        <f>IF($D$34="participating preferred with a cap",$D33*$D35,IF($D$34="full participating preferred",0,"na"))</f>
        <v>3584107.3253094642</v>
      </c>
      <c r="G50" s="76">
        <f>IF($D$34="participating preferred with a cap",$D33*$D35,IF($D$34="full participating preferred",0,"na"))</f>
        <v>3584107.3253094642</v>
      </c>
      <c r="H50" s="76">
        <f>IF($D$34="participating preferred with a cap",$D33*$D35,IF($D$34="full participating preferred",0,"na"))</f>
        <v>3584107.3253094642</v>
      </c>
      <c r="I50" s="60" t="s">
        <v>272</v>
      </c>
    </row>
    <row r="51" spans="2:9">
      <c r="B51" s="10" t="str">
        <f>"Shares, "&amp;B45</f>
        <v>Shares, Preferred - A</v>
      </c>
      <c r="C51" s="50" t="s">
        <v>170</v>
      </c>
      <c r="D51" s="68">
        <f>$D26</f>
        <v>4977926.8407075889</v>
      </c>
      <c r="E51" s="68">
        <f>$D26</f>
        <v>4977926.8407075889</v>
      </c>
      <c r="F51" s="68">
        <f>$D26</f>
        <v>4977926.8407075889</v>
      </c>
      <c r="G51" s="68">
        <f>$D26</f>
        <v>4977926.8407075889</v>
      </c>
      <c r="H51" s="68">
        <f>$D26</f>
        <v>4977926.8407075889</v>
      </c>
      <c r="I51" s="30" t="s">
        <v>273</v>
      </c>
    </row>
    <row r="52" spans="2:9">
      <c r="B52" s="10" t="s">
        <v>203</v>
      </c>
      <c r="C52" s="50" t="s">
        <v>419</v>
      </c>
      <c r="D52" s="77" t="str">
        <f>IF(OR($D$34="full participating preferred",AND($D$34="non participating preferred",D48&gt;D49),IF($D$10="no",AND($D$34="participating preferred with a cap",D46&lt;&gt;0,D46&gt;D51,D51&lt;&gt;0),AND($D$34="participating preferred with a cap",D46&lt;&gt;0,D40&gt;D95,D51&lt;&gt;0))),"yes","no")</f>
        <v>no</v>
      </c>
      <c r="E52" s="77" t="str">
        <f>IF(OR($D$34="full participating preferred",AND($D$34="non participating preferred",E48&gt;E49),IF($D$10="no",AND($D$34="participating preferred with a cap",E46&lt;&gt;0,E46&gt;E51,E51&lt;&gt;0),AND($D$34="participating preferred with a cap",E46&lt;&gt;0,E40&gt;E95,E51&lt;&gt;0))),"yes","no")</f>
        <v>no</v>
      </c>
      <c r="F52" s="77" t="str">
        <f>IF(OR($D$34="full participating preferred",AND($D$34="non participating preferred",F48&gt;F49),IF($D$10="no",AND($D$34="participating preferred with a cap",F46&lt;&gt;0,F46&gt;F51,F51&lt;&gt;0),AND($D$34="participating preferred with a cap",F46&lt;&gt;0,F40&gt;F95,F51&lt;&gt;0))),"yes","no")</f>
        <v>yes</v>
      </c>
      <c r="G52" s="77" t="str">
        <f>IF(OR($D$34="full participating preferred",AND($D$34="non participating preferred",G48&gt;G49),IF($D$10="no",AND($D$34="participating preferred with a cap",G46&lt;&gt;0,G46&gt;G51,G51&lt;&gt;0),AND($D$34="participating preferred with a cap",G46&lt;&gt;0,G40&gt;G95,G51&lt;&gt;0))),"yes","no")</f>
        <v>yes</v>
      </c>
      <c r="H52" s="77" t="str">
        <f>IF(OR($D$34="full participating preferred",AND($D$34="non participating preferred",H48&gt;H49),IF($D$10="no",AND($D$34="participating preferred with a cap",H46&lt;&gt;0,H46&gt;H51,H51&lt;&gt;0),AND($D$34="participating preferred with a cap",H46&lt;&gt;0,H40&gt;H95,H51&lt;&gt;0))),"yes","no")</f>
        <v>yes</v>
      </c>
      <c r="I52" s="30" t="s">
        <v>274</v>
      </c>
    </row>
    <row r="53" spans="2:9">
      <c r="B53" s="10" t="s">
        <v>202</v>
      </c>
      <c r="C53" s="50" t="s">
        <v>170</v>
      </c>
      <c r="D53" s="68">
        <f>IF(D52="yes",D51,0)</f>
        <v>0</v>
      </c>
      <c r="E53" s="68">
        <f>IF(E52="yes",E51,0)</f>
        <v>0</v>
      </c>
      <c r="F53" s="68">
        <f>IF(F52="yes",F51,0)</f>
        <v>4977926.8407075889</v>
      </c>
      <c r="G53" s="68">
        <f>IF(G52="yes",G51,0)</f>
        <v>4977926.8407075889</v>
      </c>
      <c r="H53" s="68">
        <f>IF(H52="yes",H51,0)</f>
        <v>4977926.8407075889</v>
      </c>
      <c r="I53" s="60" t="s">
        <v>275</v>
      </c>
    </row>
    <row r="54" spans="2:9" s="11" customFormat="1">
      <c r="B54" s="57" t="s">
        <v>200</v>
      </c>
      <c r="C54" s="58" t="str">
        <f>C5</f>
        <v>$</v>
      </c>
      <c r="D54" s="59">
        <f>IF($D$34="full participating preferred",IF($D10="no",D53/$H$26*MAX(0,IF(D$40&lt;=$H$33,0,D40-D$95)),D53*D$80),IF($D$34="participating preferred with a cap",IF($D10="no",MIN(MAX(0,D48-D49),D50),IF(D48&gt;D50,0,MAX(0,IF($D10="no",D53/$H$26*MAX(0,IF(D$40&lt;=$H$33,0,D40-D$95))),D53*D$80))),0))</f>
        <v>0</v>
      </c>
      <c r="E54" s="59">
        <f>IF($D$34="full participating preferred",IF($D10="no",E53/$H$26*MAX(0,IF(E$40&lt;=$H$33,0,E40-E95)),E53*E$80),IF($D$34="participating preferred with a cap",IF($D10="no",MIN(MAX(0,E48-E49),E50),IF(E48&gt;E50,0,MAX(0,IF($D10="no",E53/$H$26*MAX(0,IF(E$40&lt;=$H$33,0,E40-E95))),E53*E$80))),0))</f>
        <v>0</v>
      </c>
      <c r="F54" s="59">
        <f>IF($D$34="full participating preferred",IF($D10="no",F53/$H$26*MAX(0,IF(F$40&lt;=$H$33,0,F40-F95)),F53*F$80),IF($D$34="participating preferred with a cap",IF($D10="no",MIN(MAX(0,F48-F49),F50),IF(F48&gt;F50,0,MAX(0,IF($D10="no",F53/$H$26*MAX(0,IF(F$40&lt;=$H$33,0,F40-F95))),F53*F$80))),0))</f>
        <v>127658.1754680099</v>
      </c>
      <c r="G54" s="59">
        <f>IF($D$34="full participating preferred",IF($D10="no",G53/$H$26*MAX(0,IF(G$40&lt;=$H$33,0,G40-G95)),G53*G$80),IF($D$34="participating preferred with a cap",IF($D10="no",MIN(MAX(0,G48-G49),G50),IF(G48&gt;G50,0,MAX(0,IF($D10="no",G53/$H$26*MAX(0,IF(G$40&lt;=$H$33,0,G40-G95))),G53*G$80))),0))</f>
        <v>2911482.3010511152</v>
      </c>
      <c r="H54" s="59">
        <f>IF($D$34="full participating preferred",IF($D10="no",H53/$H$26*MAX(0,IF(H$40&lt;=$H$33,0,H40-H95)),H53*H$80),IF($D$34="participating preferred with a cap",IF($D10="no",MIN(MAX(0,H48-H49),H50),IF(H48&gt;H50,0,MAX(0,IF($D10="no",H53/$H$26*MAX(0,IF(H$40&lt;=$H$33,0,H40-H95))),H53*H$80))),0))</f>
        <v>3584107.3253094642</v>
      </c>
      <c r="I54" s="63" t="s">
        <v>276</v>
      </c>
    </row>
    <row r="55" spans="2:9">
      <c r="B55" s="10" t="s">
        <v>23</v>
      </c>
      <c r="C55" s="50" t="str">
        <f>C5</f>
        <v>$</v>
      </c>
      <c r="D55" s="68">
        <f>MIN(D46,MAX(D53*D$80,D49+D54))</f>
        <v>937500</v>
      </c>
      <c r="E55" s="68">
        <f>MIN(E46,MAX(E53*E$80,E49+E54))</f>
        <v>3584107.3253094642</v>
      </c>
      <c r="F55" s="68">
        <f>MIN(F46,MAX(F53*F$80,F49+F54))</f>
        <v>3711765.5007774741</v>
      </c>
      <c r="G55" s="68">
        <f>MIN(G46,MAX(G53*G$80,G49+G54))</f>
        <v>6495589.6263605794</v>
      </c>
      <c r="H55" s="68">
        <f>MIN(H46,MAX(H53*H$80,H49+H54))</f>
        <v>10480390.784719847</v>
      </c>
      <c r="I55" s="30" t="s">
        <v>277</v>
      </c>
    </row>
    <row r="56" spans="2:9">
      <c r="B56" s="10" t="s">
        <v>19</v>
      </c>
      <c r="C56" s="50" t="str">
        <f>C5</f>
        <v>$</v>
      </c>
      <c r="D56" s="78">
        <f>IFERROR(D55/D51,0)</f>
        <v>0.1883314138595775</v>
      </c>
      <c r="E56" s="78">
        <f>IFERROR(E55/E51,0)</f>
        <v>0.72000000000000008</v>
      </c>
      <c r="F56" s="78">
        <f>IFERROR(F55/F51,0)</f>
        <v>0.745644847655066</v>
      </c>
      <c r="G56" s="78">
        <f>IFERROR(G55/G51,0)</f>
        <v>1.3048784833963654</v>
      </c>
      <c r="H56" s="78">
        <f>IFERROR(H55/H51,0)</f>
        <v>2.1053726019063208</v>
      </c>
      <c r="I56" s="30" t="s">
        <v>278</v>
      </c>
    </row>
    <row r="57" spans="2:9">
      <c r="B57" s="10"/>
      <c r="D57" s="11"/>
      <c r="E57" s="11"/>
      <c r="F57" s="68"/>
      <c r="G57" s="68"/>
      <c r="H57" s="11"/>
    </row>
    <row r="58" spans="2:9">
      <c r="B58" s="9" t="s">
        <v>192</v>
      </c>
      <c r="D58" s="68"/>
      <c r="E58" s="68"/>
      <c r="F58" s="11"/>
      <c r="G58" s="11"/>
      <c r="H58" s="11"/>
    </row>
    <row r="59" spans="2:9">
      <c r="B59" s="10" t="s">
        <v>199</v>
      </c>
      <c r="C59" s="50" t="str">
        <f>C5</f>
        <v>$</v>
      </c>
      <c r="D59" s="68">
        <f>IF(D52="no",MAX(0,D46-D49),IF($D34="full participating preferred",MAX(0,D46-D49),IF(AND($D34="participating preferred with a cap",D54&lt;&gt;0),MAX(0,D46-D49),D46)))</f>
        <v>0</v>
      </c>
      <c r="E59" s="68">
        <f>IF(E52="no",MAX(0,E46-E49),IF($D34="full participating preferred",MAX(0,E46-E49),IF(AND($D34="participating preferred with a cap",E54&lt;&gt;0),MAX(0,E46-E49),E46)))</f>
        <v>165892.67469053576</v>
      </c>
      <c r="F59" s="68">
        <f>IF(F52="no",MAX(0,F46-F49),IF($D34="full participating preferred",MAX(0,F46-F49),IF(AND($D34="participating preferred with a cap",F54&lt;&gt;0),MAX(0,F46-F49),F46)))</f>
        <v>11415892.674690535</v>
      </c>
      <c r="G59" s="68">
        <f>IF(G52="no",MAX(0,G46-G49),IF($D34="full participating preferred",MAX(0,G46-G49),IF(AND($D34="participating preferred with a cap",G54&lt;&gt;0),MAX(0,G46-G49),G46)))</f>
        <v>22665892.674690537</v>
      </c>
      <c r="H59" s="68">
        <f>IF(H52="no",MAX(0,H46-H49),IF($D34="full participating preferred",MAX(0,H46-H49),IF(AND($D34="participating preferred with a cap",H54&lt;&gt;0),MAX(0,H46-H49),H46)))</f>
        <v>42353392.674690537</v>
      </c>
      <c r="I59" s="30" t="s">
        <v>279</v>
      </c>
    </row>
    <row r="60" spans="2:9">
      <c r="B60" s="10" t="s">
        <v>204</v>
      </c>
      <c r="C60" s="43" t="s">
        <v>170</v>
      </c>
      <c r="D60" s="68">
        <f>D47-D53</f>
        <v>20116815.729596477</v>
      </c>
      <c r="E60" s="68">
        <f>E47-E53</f>
        <v>20116815.729596477</v>
      </c>
      <c r="F60" s="68">
        <f>F47-F53</f>
        <v>15138888.888888888</v>
      </c>
      <c r="G60" s="68">
        <f>G47-G53</f>
        <v>15138888.888888888</v>
      </c>
      <c r="H60" s="68">
        <f>H47-H53</f>
        <v>15138888.888888888</v>
      </c>
    </row>
    <row r="61" spans="2:9" s="11" customFormat="1">
      <c r="B61" s="57" t="s">
        <v>197</v>
      </c>
      <c r="C61" s="58" t="str">
        <f>C5</f>
        <v>$</v>
      </c>
      <c r="D61" s="59">
        <f>IF($D$10="no",MAX(0,D59)/D60*D64,IF($D$34="full participating preferred",MAX(0,D59-D$95)/D60*D64,MAX(0,D59)/D60*D64))</f>
        <v>0</v>
      </c>
      <c r="E61" s="59">
        <f>IF($D$10="no",MAX(0,E59)/E60*E64,IF($D$34="full participating preferred",MAX(0,E59-E$95)/E60*E64,MAX(0,E59)/E60*E64))</f>
        <v>27488.226254825768</v>
      </c>
      <c r="F61" s="59">
        <f>IF($D$10="no",MAX(0,F59)/F60*F64,IF($D$34="full participating preferred",MAX(0,F59-F$95)/F60*F64,MAX(0,F59)/F60*F64))</f>
        <v>2513591.0476382831</v>
      </c>
      <c r="G61" s="59">
        <f>IF($D$10="no",MAX(0,G59)/G60*G64,IF($D$34="full participating preferred",MAX(0,G59-G$95)/G60*G64,MAX(0,G59)/G60*G64))</f>
        <v>4990655.2678217692</v>
      </c>
      <c r="H61" s="59">
        <f>IF($D$10="no",MAX(0,H59)/H60*H64,IF($D$34="full participating preferred",MAX(0,H59-H$95)/H60*H64,MAX(0,H59)/H60*H64))</f>
        <v>9325517.6531428695</v>
      </c>
      <c r="I61" s="62"/>
    </row>
    <row r="62" spans="2:9">
      <c r="B62" s="10" t="s">
        <v>196</v>
      </c>
      <c r="C62" s="50" t="str">
        <f>C5</f>
        <v>$</v>
      </c>
      <c r="D62" s="76">
        <f>$E33</f>
        <v>750000</v>
      </c>
      <c r="E62" s="76">
        <f>$E33</f>
        <v>750000</v>
      </c>
      <c r="F62" s="76">
        <f>$E33</f>
        <v>750000</v>
      </c>
      <c r="G62" s="76">
        <f>$E33</f>
        <v>750000</v>
      </c>
      <c r="H62" s="76">
        <f>$E33</f>
        <v>750000</v>
      </c>
    </row>
    <row r="63" spans="2:9">
      <c r="B63" s="10" t="s">
        <v>198</v>
      </c>
      <c r="C63" s="50" t="str">
        <f>C5</f>
        <v>$</v>
      </c>
      <c r="D63" s="76" t="str">
        <f>IF($E$34="participating preferred with a cap",$E33*$E35,IF($E$34="full participating preferred",0,"na"))</f>
        <v>na</v>
      </c>
      <c r="E63" s="76" t="str">
        <f>IF($E$34="participating preferred with a cap",$E33*$E35,IF($E$34="full participating preferred",0,"na"))</f>
        <v>na</v>
      </c>
      <c r="F63" s="76" t="str">
        <f>IF($E$34="participating preferred with a cap",$E33*$E35,IF($E$34="full participating preferred",0,"na"))</f>
        <v>na</v>
      </c>
      <c r="G63" s="76" t="str">
        <f>IF($E$34="participating preferred with a cap",$E33*$E35,IF($E$34="full participating preferred",0,"na"))</f>
        <v>na</v>
      </c>
      <c r="H63" s="76" t="str">
        <f>IF($E$34="participating preferred with a cap",$E33*$E35,IF($E$34="full participating preferred",0,"na"))</f>
        <v>na</v>
      </c>
    </row>
    <row r="64" spans="2:9">
      <c r="B64" s="10" t="str">
        <f>"Shares, "&amp;B58</f>
        <v>Shares, Preferred - Seed</v>
      </c>
      <c r="C64" s="50" t="s">
        <v>170</v>
      </c>
      <c r="D64" s="68">
        <f>$E26</f>
        <v>3333333.333333333</v>
      </c>
      <c r="E64" s="68">
        <f>$E26</f>
        <v>3333333.333333333</v>
      </c>
      <c r="F64" s="68">
        <f>$E26</f>
        <v>3333333.333333333</v>
      </c>
      <c r="G64" s="68">
        <f>$E26</f>
        <v>3333333.333333333</v>
      </c>
      <c r="H64" s="68">
        <f>$E26</f>
        <v>3333333.333333333</v>
      </c>
    </row>
    <row r="65" spans="2:9">
      <c r="B65" s="10" t="s">
        <v>203</v>
      </c>
      <c r="C65" s="50" t="s">
        <v>419</v>
      </c>
      <c r="D65" s="77" t="str">
        <f>IF(OR($E$34="full participating preferred",AND($E$34="non participating preferred",D61&gt;D62),IF($D$10="no",AND($E$34="participating preferred with a cap",D59&lt;&gt;0,D59&gt;D64,D64&lt;&gt;0),AND($E$34="participating preferred with a cap",D59&lt;&gt;0,D40&gt;D95,D64&lt;&gt;0))),"yes","no")</f>
        <v>no</v>
      </c>
      <c r="E65" s="77" t="str">
        <f>IF(OR($E$34="full participating preferred",AND($E$34="non participating preferred",E61&gt;E62),IF($D$10="no",AND($E$34="participating preferred with a cap",E59&lt;&gt;0,E59&gt;E64,E64&lt;&gt;0),AND($E$34="participating preferred with a cap",E59&lt;&gt;0,E40&gt;E95,E64&lt;&gt;0))),"yes","no")</f>
        <v>no</v>
      </c>
      <c r="F65" s="77" t="str">
        <f>IF(OR($E$34="full participating preferred",AND($E$34="non participating preferred",F61&gt;F62),IF($D$10="no",AND($E$34="participating preferred with a cap",F59&lt;&gt;0,F59&gt;F64,F64&lt;&gt;0),AND($E$34="participating preferred with a cap",F59&lt;&gt;0,F40&gt;F95,F64&lt;&gt;0))),"yes","no")</f>
        <v>yes</v>
      </c>
      <c r="G65" s="77" t="str">
        <f>IF(OR($E$34="full participating preferred",AND($E$34="non participating preferred",G61&gt;G62),IF($D$10="no",AND($E$34="participating preferred with a cap",G59&lt;&gt;0,G59&gt;G64,G64&lt;&gt;0),AND($E$34="participating preferred with a cap",G59&lt;&gt;0,G40&gt;G95,G64&lt;&gt;0))),"yes","no")</f>
        <v>yes</v>
      </c>
      <c r="H65" s="77" t="str">
        <f>IF(OR($E$34="full participating preferred",AND($E$34="non participating preferred",H61&gt;H62),IF($D$10="no",AND($E$34="participating preferred with a cap",H59&lt;&gt;0,H59&gt;H64,H64&lt;&gt;0),AND($E$34="participating preferred with a cap",H59&lt;&gt;0,H40&gt;H95,H64&lt;&gt;0))),"yes","no")</f>
        <v>yes</v>
      </c>
    </row>
    <row r="66" spans="2:9">
      <c r="B66" s="10" t="s">
        <v>202</v>
      </c>
      <c r="C66" s="50" t="s">
        <v>170</v>
      </c>
      <c r="D66" s="68">
        <f>IF(D65="yes",D64,0)</f>
        <v>0</v>
      </c>
      <c r="E66" s="68">
        <f>IF(E65="yes",E64,0)</f>
        <v>0</v>
      </c>
      <c r="F66" s="68">
        <f>IF(F65="yes",F64,0)</f>
        <v>3333333.333333333</v>
      </c>
      <c r="G66" s="68">
        <f>IF(G65="yes",G64,0)</f>
        <v>3333333.333333333</v>
      </c>
      <c r="H66" s="68">
        <f>IF(H65="yes",H64,0)</f>
        <v>3333333.333333333</v>
      </c>
    </row>
    <row r="67" spans="2:9" s="11" customFormat="1">
      <c r="B67" s="57" t="s">
        <v>200</v>
      </c>
      <c r="C67" s="58" t="str">
        <f>C5</f>
        <v>$</v>
      </c>
      <c r="D67" s="59">
        <f>IF($E$34="full participating preferred",IF($D10="no",D66/$H$26*MAX(0,IF(D$40&lt;=$H$33,0,D59-D$95)),D66*D$80),IF($E$34="participating preferred with a cap",IF($D10="no",MIN(MAX(0,D61-D62),D63),IF(D61&gt;D63,0,MAX(0,IF($D10="no",D66/$H$26*MAX(0,IF(D$40&lt;=$H$33,0,D59-D$95))),D66*D$80))),0))</f>
        <v>0</v>
      </c>
      <c r="E67" s="59">
        <f>IF($E$34="full participating preferred",IF($D10="no",E66/$H$26*MAX(0,IF(E$40&lt;=$H$33,0,E59-E$95)),E66*E$80),IF($E$34="participating preferred with a cap",IF($D10="no",MIN(MAX(0,E61-E62),E63),IF(E61&gt;E63,0,MAX(0,IF($D10="no",E66/$H$26*MAX(0,IF(E$40&lt;=$H$33,0,E59-E$95))),E66*E$80))),0))</f>
        <v>0</v>
      </c>
      <c r="F67" s="59">
        <f>IF($E$34="full participating preferred",IF($D10="no",F66/$H$26*MAX(0,IF(F$40&lt;=$H$33,0,F59-F$95)),F66*F$80),IF($E$34="participating preferred with a cap",IF($D10="no",MIN(MAX(0,F61-F62),F63),IF(F61&gt;F63,0,MAX(0,IF($D10="no",F66/$H$26*MAX(0,IF(F$40&lt;=$H$33,0,F59-F$95))),F66*F$80))),0))</f>
        <v>0</v>
      </c>
      <c r="G67" s="59">
        <f>IF($E$34="full participating preferred",IF($D10="no",G66/$H$26*MAX(0,IF(G$40&lt;=$H$33,0,G59-G$95)),G66*G$80),IF($E$34="participating preferred with a cap",IF($D10="no",MIN(MAX(0,G61-G62),G63),IF(G61&gt;G63,0,MAX(0,IF($D10="no",G66/$H$26*MAX(0,IF(G$40&lt;=$H$33,0,G59-G$95))),G66*G$80))),0))</f>
        <v>0</v>
      </c>
      <c r="H67" s="59">
        <f>IF($E$34="full participating preferred",IF($D10="no",H66/$H$26*MAX(0,IF(H$40&lt;=$H$33,0,H59-H$95)),H66*H$80),IF($E$34="participating preferred with a cap",IF($D10="no",MIN(MAX(0,H61-H62),H63),IF(H61&gt;H63,0,MAX(0,IF($D10="no",H66/$H$26*MAX(0,IF(H$40&lt;=$H$33,0,H59-H$95))),H66*H$80))),0))</f>
        <v>0</v>
      </c>
      <c r="I67" s="62"/>
    </row>
    <row r="68" spans="2:9">
      <c r="B68" s="10" t="s">
        <v>23</v>
      </c>
      <c r="C68" s="50" t="str">
        <f>C5</f>
        <v>$</v>
      </c>
      <c r="D68" s="68">
        <f>MIN(D59,MAX(D66*D$80,D62+D67))</f>
        <v>0</v>
      </c>
      <c r="E68" s="68">
        <f>MIN(E59,MAX(E66*E$80,E62+E67))</f>
        <v>165892.67469053576</v>
      </c>
      <c r="F68" s="68">
        <f>MIN(F59,MAX(F66*F$80,F62+F67))</f>
        <v>1891600.3453924903</v>
      </c>
      <c r="G68" s="68">
        <f>MIN(G59,MAX(G66*G$80,G62+G67))</f>
        <v>3755712.4645301555</v>
      </c>
      <c r="H68" s="68">
        <f>MIN(H59,MAX(H66*H$80,H62+H67))</f>
        <v>7017908.6730210688</v>
      </c>
    </row>
    <row r="69" spans="2:9">
      <c r="B69" s="10" t="s">
        <v>19</v>
      </c>
      <c r="C69" s="50" t="str">
        <f>C5</f>
        <v>$</v>
      </c>
      <c r="D69" s="78">
        <f>IFERROR(D68/D64,0)</f>
        <v>0</v>
      </c>
      <c r="E69" s="78">
        <f>IFERROR(E68/E64,0)</f>
        <v>4.9767802407160729E-2</v>
      </c>
      <c r="F69" s="78">
        <f>IFERROR(F68/F64,0)</f>
        <v>0.56748010361774714</v>
      </c>
      <c r="G69" s="78">
        <f>IFERROR(G68/G64,0)</f>
        <v>1.1267137393590467</v>
      </c>
      <c r="H69" s="78">
        <f>IFERROR(H68/H64,0)</f>
        <v>2.1053726019063208</v>
      </c>
    </row>
    <row r="70" spans="2:9">
      <c r="D70" s="11"/>
      <c r="E70" s="11"/>
      <c r="F70" s="59"/>
      <c r="G70" s="11"/>
      <c r="H70" s="11"/>
    </row>
    <row r="71" spans="2:9">
      <c r="B71" s="9" t="s">
        <v>21</v>
      </c>
      <c r="D71" s="11"/>
      <c r="E71" s="11"/>
      <c r="F71" s="59"/>
      <c r="G71" s="11"/>
      <c r="H71" s="11"/>
    </row>
    <row r="72" spans="2:9">
      <c r="B72" s="10" t="s">
        <v>199</v>
      </c>
      <c r="C72" s="50" t="str">
        <f>C5</f>
        <v>$</v>
      </c>
      <c r="D72" s="68">
        <f>IF(D65="no",MAX(0,D59-D62),IF($E34="full participating preferred",MAX(0,D59-D62),IF(AND($E34="participating preferred with a cap",D67&lt;&gt;0),MAX(0,D59-D62),D59)))</f>
        <v>0</v>
      </c>
      <c r="E72" s="68">
        <f>IF(E65="no",MAX(0,E59-E62),IF($E34="full participating preferred",MAX(0,E59-E62),IF(AND($E34="participating preferred with a cap",E67&lt;&gt;0),MAX(0,E59-E62),E59)))</f>
        <v>0</v>
      </c>
      <c r="F72" s="68">
        <f>IF(F65="no",MAX(0,F59-F62),IF($E34="full participating preferred",MAX(0,F59-F62),IF(AND($E34="participating preferred with a cap",F67&lt;&gt;0),MAX(0,F59-F62),F59)))</f>
        <v>11415892.674690535</v>
      </c>
      <c r="G72" s="68">
        <f>IF(G65="no",MAX(0,G59-G62),IF($E34="full participating preferred",MAX(0,G59-G62),IF(AND($E34="participating preferred with a cap",G67&lt;&gt;0),MAX(0,G59-G62),G59)))</f>
        <v>22665892.674690537</v>
      </c>
      <c r="H72" s="68">
        <f>IF(H65="no",MAX(0,H59-H62),IF($E34="full participating preferred",MAX(0,H59-H62),IF(AND($E34="participating preferred with a cap",H67&lt;&gt;0),MAX(0,H59-H62),H59)))</f>
        <v>42353392.674690537</v>
      </c>
    </row>
    <row r="73" spans="2:9">
      <c r="B73" s="10" t="s">
        <v>204</v>
      </c>
      <c r="C73" s="43" t="s">
        <v>170</v>
      </c>
      <c r="D73" s="68">
        <f>D60-D66</f>
        <v>20116815.729596477</v>
      </c>
      <c r="E73" s="68">
        <f>E60-E66</f>
        <v>20116815.729596477</v>
      </c>
      <c r="F73" s="68">
        <f>F60-F66</f>
        <v>11805555.555555556</v>
      </c>
      <c r="G73" s="68">
        <f>G60-G66</f>
        <v>11805555.555555556</v>
      </c>
      <c r="H73" s="68">
        <f>H60-H66</f>
        <v>11805555.555555556</v>
      </c>
    </row>
    <row r="74" spans="2:9">
      <c r="B74" s="10" t="s">
        <v>197</v>
      </c>
      <c r="C74" s="50" t="str">
        <f>C5</f>
        <v>$</v>
      </c>
      <c r="D74" s="59">
        <f>D72</f>
        <v>0</v>
      </c>
      <c r="E74" s="59">
        <f>E72</f>
        <v>0</v>
      </c>
      <c r="F74" s="59">
        <f>F72</f>
        <v>11415892.674690535</v>
      </c>
      <c r="G74" s="59">
        <f>G72</f>
        <v>22665892.674690537</v>
      </c>
      <c r="H74" s="59">
        <f>H72</f>
        <v>42353392.674690537</v>
      </c>
    </row>
    <row r="75" spans="2:9">
      <c r="B75" s="10" t="s">
        <v>205</v>
      </c>
      <c r="C75" s="50" t="s">
        <v>170</v>
      </c>
      <c r="D75" s="59">
        <f>$F26+$G26</f>
        <v>11805555.555555554</v>
      </c>
      <c r="E75" s="59">
        <f>$F26+$G26</f>
        <v>11805555.555555554</v>
      </c>
      <c r="F75" s="59">
        <f>$F26+$G26</f>
        <v>11805555.555555554</v>
      </c>
      <c r="G75" s="59">
        <f>$F26+$G26</f>
        <v>11805555.555555554</v>
      </c>
      <c r="H75" s="59">
        <f>$F26+$G26</f>
        <v>11805555.555555554</v>
      </c>
    </row>
    <row r="76" spans="2:9">
      <c r="B76" s="10" t="s">
        <v>209</v>
      </c>
      <c r="C76" s="50" t="s">
        <v>170</v>
      </c>
      <c r="D76" s="59">
        <f>D53+D66</f>
        <v>0</v>
      </c>
      <c r="E76" s="59">
        <f>E53+E66</f>
        <v>0</v>
      </c>
      <c r="F76" s="59">
        <f>F53+F66</f>
        <v>8311260.174040922</v>
      </c>
      <c r="G76" s="59">
        <f>G53+G66</f>
        <v>8311260.174040922</v>
      </c>
      <c r="H76" s="59">
        <f>H53+H66</f>
        <v>8311260.174040922</v>
      </c>
    </row>
    <row r="77" spans="2:9">
      <c r="B77" s="10" t="s">
        <v>0</v>
      </c>
      <c r="C77" s="50" t="s">
        <v>170</v>
      </c>
      <c r="D77" s="68">
        <f>D76+D75</f>
        <v>11805555.555555554</v>
      </c>
      <c r="E77" s="68">
        <f>E76+E75</f>
        <v>11805555.555555554</v>
      </c>
      <c r="F77" s="68">
        <f>F76+F75</f>
        <v>20116815.729596477</v>
      </c>
      <c r="G77" s="68">
        <f>G76+G75</f>
        <v>20116815.729596477</v>
      </c>
      <c r="H77" s="68">
        <f>H76+H75</f>
        <v>20116815.729596477</v>
      </c>
    </row>
    <row r="78" spans="2:9">
      <c r="B78" s="57" t="s">
        <v>201</v>
      </c>
      <c r="C78" s="50" t="str">
        <f>C5</f>
        <v>$</v>
      </c>
      <c r="D78" s="68">
        <f>D72</f>
        <v>0</v>
      </c>
      <c r="E78" s="68">
        <f>E72</f>
        <v>0</v>
      </c>
      <c r="F78" s="68">
        <f>F72</f>
        <v>11415892.674690535</v>
      </c>
      <c r="G78" s="68">
        <f>G72</f>
        <v>22665892.674690537</v>
      </c>
      <c r="H78" s="68">
        <f>H72</f>
        <v>42353392.674690537</v>
      </c>
    </row>
    <row r="79" spans="2:9">
      <c r="B79" s="10" t="s">
        <v>23</v>
      </c>
      <c r="C79" s="50" t="str">
        <f>C5</f>
        <v>$</v>
      </c>
      <c r="D79" s="68">
        <f>D80*D75</f>
        <v>0</v>
      </c>
      <c r="E79" s="68">
        <f>E80*E75</f>
        <v>0</v>
      </c>
      <c r="F79" s="68">
        <f>F80*F75</f>
        <v>6699417.8899317365</v>
      </c>
      <c r="G79" s="68">
        <f>G80*G75</f>
        <v>13301481.645210966</v>
      </c>
      <c r="H79" s="68">
        <f>H80*H75</f>
        <v>24855093.216949619</v>
      </c>
    </row>
    <row r="80" spans="2:9">
      <c r="B80" s="10" t="s">
        <v>19</v>
      </c>
      <c r="C80" s="50" t="str">
        <f>C5</f>
        <v>$</v>
      </c>
      <c r="D80" s="78">
        <f>D78/D77</f>
        <v>0</v>
      </c>
      <c r="E80" s="78">
        <f>E78/E77</f>
        <v>0</v>
      </c>
      <c r="F80" s="78">
        <f>F78/F77</f>
        <v>0.56748010361774714</v>
      </c>
      <c r="G80" s="78">
        <f>G78/G77</f>
        <v>1.1267137393590467</v>
      </c>
      <c r="H80" s="78">
        <f>H78/H77</f>
        <v>2.1053726019063208</v>
      </c>
      <c r="I80" s="30"/>
    </row>
    <row r="81" spans="2:9">
      <c r="D81" s="11"/>
      <c r="E81" s="11"/>
      <c r="F81" s="11"/>
      <c r="G81" s="11"/>
      <c r="H81" s="11"/>
      <c r="I81" s="30"/>
    </row>
    <row r="82" spans="2:9">
      <c r="B82" s="10" t="s">
        <v>213</v>
      </c>
      <c r="C82" s="50" t="str">
        <f>C5</f>
        <v>$</v>
      </c>
      <c r="D82" s="70">
        <f>D79+D68+D55</f>
        <v>937500</v>
      </c>
      <c r="E82" s="70">
        <f>E79+E68+E55</f>
        <v>3750000</v>
      </c>
      <c r="F82" s="70">
        <f>F79+F68+F55</f>
        <v>12302783.7361017</v>
      </c>
      <c r="G82" s="70">
        <f>G79+G68+G55</f>
        <v>23552783.736101702</v>
      </c>
      <c r="H82" s="70">
        <f>H79+H68+H55</f>
        <v>42353392.674690537</v>
      </c>
      <c r="I82" s="30" t="s">
        <v>280</v>
      </c>
    </row>
    <row r="83" spans="2:9" s="34" customFormat="1">
      <c r="B83" s="9" t="s">
        <v>248</v>
      </c>
      <c r="C83" s="71" t="str">
        <f>C5</f>
        <v>$</v>
      </c>
      <c r="D83" s="79">
        <f>D40-D82</f>
        <v>0</v>
      </c>
      <c r="E83" s="79">
        <f t="shared" ref="E83:H83" si="2">E40-E82</f>
        <v>0</v>
      </c>
      <c r="F83" s="79">
        <f t="shared" si="2"/>
        <v>2697216.2638983</v>
      </c>
      <c r="G83" s="79">
        <f t="shared" si="2"/>
        <v>2697216.2638982981</v>
      </c>
      <c r="H83" s="79">
        <f t="shared" si="2"/>
        <v>3584107.3253094628</v>
      </c>
      <c r="I83" s="9" t="s">
        <v>247</v>
      </c>
    </row>
    <row r="84" spans="2:9">
      <c r="D84" s="68"/>
      <c r="E84" s="11"/>
      <c r="F84" s="11"/>
      <c r="G84" s="11"/>
      <c r="H84" s="11"/>
      <c r="I84" s="30"/>
    </row>
    <row r="85" spans="2:9">
      <c r="B85" s="9" t="s">
        <v>208</v>
      </c>
      <c r="D85" s="11"/>
      <c r="E85" s="11"/>
      <c r="F85" s="11"/>
      <c r="G85" s="11"/>
      <c r="H85" s="11"/>
      <c r="I85" s="30"/>
    </row>
    <row r="86" spans="2:9">
      <c r="B86" s="10" t="str">
        <f>B45</f>
        <v>Preferred - A</v>
      </c>
      <c r="C86" s="50" t="str">
        <f>C5</f>
        <v>$</v>
      </c>
      <c r="D86" s="68">
        <f>D55</f>
        <v>937500</v>
      </c>
      <c r="E86" s="68">
        <f>E55</f>
        <v>3584107.3253094642</v>
      </c>
      <c r="F86" s="68">
        <f>F55</f>
        <v>3711765.5007774741</v>
      </c>
      <c r="G86" s="68">
        <f>G55</f>
        <v>6495589.6263605794</v>
      </c>
      <c r="H86" s="68">
        <f>H55</f>
        <v>10480390.784719847</v>
      </c>
      <c r="I86" s="30"/>
    </row>
    <row r="87" spans="2:9">
      <c r="B87" s="10" t="str">
        <f>B58</f>
        <v>Preferred - Seed</v>
      </c>
      <c r="C87" s="50" t="str">
        <f>C5</f>
        <v>$</v>
      </c>
      <c r="D87" s="68">
        <f>D68</f>
        <v>0</v>
      </c>
      <c r="E87" s="68">
        <f>E68</f>
        <v>165892.67469053576</v>
      </c>
      <c r="F87" s="68">
        <f>F68</f>
        <v>1891600.3453924903</v>
      </c>
      <c r="G87" s="68">
        <f>G68</f>
        <v>3755712.4645301555</v>
      </c>
      <c r="H87" s="68">
        <f>H68</f>
        <v>7017908.6730210688</v>
      </c>
      <c r="I87" s="30"/>
    </row>
    <row r="88" spans="2:9">
      <c r="B88" s="10" t="str">
        <f>B71&amp;" (including Options)"</f>
        <v>Common (including Options)</v>
      </c>
      <c r="C88" s="50" t="str">
        <f>C5</f>
        <v>$</v>
      </c>
      <c r="D88" s="68">
        <f>D79</f>
        <v>0</v>
      </c>
      <c r="E88" s="68">
        <f>E79</f>
        <v>0</v>
      </c>
      <c r="F88" s="68">
        <f>F79</f>
        <v>6699417.8899317365</v>
      </c>
      <c r="G88" s="68">
        <f>G79</f>
        <v>13301481.645210966</v>
      </c>
      <c r="H88" s="68">
        <f>H79</f>
        <v>24855093.216949619</v>
      </c>
      <c r="I88" s="30"/>
    </row>
    <row r="89" spans="2:9">
      <c r="B89" s="57" t="s">
        <v>20</v>
      </c>
      <c r="C89" s="50" t="str">
        <f>C5</f>
        <v>$</v>
      </c>
      <c r="D89" s="70">
        <f>SUM(D86:D88)</f>
        <v>937500</v>
      </c>
      <c r="E89" s="70">
        <f>SUM(E86:E88)</f>
        <v>3750000</v>
      </c>
      <c r="F89" s="70">
        <f>SUM(F86:F88)</f>
        <v>12302783.736101702</v>
      </c>
      <c r="G89" s="70">
        <f>SUM(G86:G88)</f>
        <v>23552783.736101702</v>
      </c>
      <c r="H89" s="70">
        <f>SUM(H86:H88)</f>
        <v>42353392.674690537</v>
      </c>
      <c r="I89" s="30" t="s">
        <v>281</v>
      </c>
    </row>
    <row r="90" spans="2:9">
      <c r="B90" s="11"/>
      <c r="D90" s="11"/>
      <c r="E90" s="11"/>
      <c r="F90" s="11"/>
      <c r="G90" s="11"/>
      <c r="H90" s="11"/>
      <c r="I90" s="30"/>
    </row>
    <row r="91" spans="2:9">
      <c r="B91" s="129" t="s">
        <v>246</v>
      </c>
      <c r="D91" s="63"/>
      <c r="E91" s="63"/>
      <c r="F91" s="63"/>
      <c r="G91" s="63"/>
      <c r="H91" s="63"/>
      <c r="I91" s="30"/>
    </row>
    <row r="92" spans="2:9">
      <c r="B92" s="57" t="str">
        <f>B45</f>
        <v>Preferred - A</v>
      </c>
      <c r="C92" s="50" t="str">
        <f>C5</f>
        <v>$</v>
      </c>
      <c r="D92" s="68">
        <f>IF($D$34="full participating preferred",MIN(D46,$D33),IF($D$34="participating preferred with a cap",IF(AND(D54=0,D48&gt;D49),0,MIN(D46,$D33)),IF(D48&gt;D49,0,MIN(D46,$D33))))</f>
        <v>937500</v>
      </c>
      <c r="E92" s="68">
        <f t="shared" ref="E92:H92" si="3">IF($D$34="full participating preferred",MIN(E46,$D33),IF($D$34="participating preferred with a cap",IF(AND(E54=0,E48&gt;E49),0,MIN(E46,$D33)),IF(E48&gt;E49,0,MIN(E46,$D33))))</f>
        <v>3584107.3253094642</v>
      </c>
      <c r="F92" s="68">
        <f t="shared" si="3"/>
        <v>3584107.3253094642</v>
      </c>
      <c r="G92" s="68">
        <f t="shared" si="3"/>
        <v>3584107.3253094642</v>
      </c>
      <c r="H92" s="68">
        <f t="shared" si="3"/>
        <v>3584107.3253094642</v>
      </c>
      <c r="I92" s="30" t="s">
        <v>282</v>
      </c>
    </row>
    <row r="93" spans="2:9">
      <c r="B93" s="57" t="str">
        <f>B58</f>
        <v>Preferred - Seed</v>
      </c>
      <c r="C93" s="50" t="str">
        <f>C5</f>
        <v>$</v>
      </c>
      <c r="D93" s="68">
        <f>IF($E$34="full participating preferred",MIN(D59,$E33),IF($E$34="participating preferred with a cap",IF(AND(D67=0,D61&gt;D62),0,MIN(D59,$E33)),IF(D61&gt;D62,0,MIN(D59,$E33))))</f>
        <v>0</v>
      </c>
      <c r="E93" s="68">
        <f t="shared" ref="E93:H93" si="4">IF($E$34="full participating preferred",MIN(E59,$E33),IF($E$34="participating preferred with a cap",IF(AND(E67=0,E61&gt;E62),0,MIN(E59,$E33)),IF(E61&gt;E62,0,MIN(E59,$E33))))</f>
        <v>165892.67469053576</v>
      </c>
      <c r="F93" s="68">
        <f t="shared" si="4"/>
        <v>0</v>
      </c>
      <c r="G93" s="68">
        <f t="shared" si="4"/>
        <v>0</v>
      </c>
      <c r="H93" s="68">
        <f t="shared" si="4"/>
        <v>0</v>
      </c>
      <c r="I93" s="68" t="s">
        <v>411</v>
      </c>
    </row>
    <row r="94" spans="2:9">
      <c r="B94" s="57" t="str">
        <f>B71&amp;" (including Options)"</f>
        <v>Common (including Options)</v>
      </c>
      <c r="C94" s="50" t="str">
        <f>C5</f>
        <v>$</v>
      </c>
      <c r="D94" s="68">
        <v>0</v>
      </c>
      <c r="E94" s="68">
        <v>0</v>
      </c>
      <c r="F94" s="68">
        <v>0</v>
      </c>
      <c r="G94" s="68">
        <v>0</v>
      </c>
      <c r="H94" s="68">
        <v>0</v>
      </c>
      <c r="I94" s="68" t="s">
        <v>410</v>
      </c>
    </row>
    <row r="95" spans="2:9">
      <c r="B95" s="57" t="s">
        <v>20</v>
      </c>
      <c r="C95" s="50" t="str">
        <f>C5</f>
        <v>$</v>
      </c>
      <c r="D95" s="70">
        <f>SUM(D92:D94)</f>
        <v>937500</v>
      </c>
      <c r="E95" s="70">
        <f>SUM(E92:E94)</f>
        <v>3750000</v>
      </c>
      <c r="F95" s="70">
        <f>SUM(F92:F94)</f>
        <v>3584107.3253094642</v>
      </c>
      <c r="G95" s="70">
        <f>SUM(G92:G94)</f>
        <v>3584107.3253094642</v>
      </c>
      <c r="H95" s="70">
        <f>SUM(H92:H94)</f>
        <v>3584107.3253094642</v>
      </c>
      <c r="I95" s="30"/>
    </row>
    <row r="96" spans="2:9">
      <c r="D96" s="11"/>
      <c r="E96" s="11"/>
      <c r="F96" s="11"/>
      <c r="G96" s="11"/>
      <c r="H96" s="11"/>
      <c r="I96" s="30"/>
    </row>
    <row r="97" spans="2:9">
      <c r="D97" s="11"/>
      <c r="E97" s="11"/>
      <c r="F97" s="11"/>
      <c r="G97" s="11"/>
      <c r="H97" s="11"/>
      <c r="I97" s="30"/>
    </row>
    <row r="98" spans="2:9">
      <c r="B98" s="47" t="s">
        <v>206</v>
      </c>
      <c r="D98" s="11"/>
      <c r="E98" s="11"/>
      <c r="F98" s="11"/>
      <c r="G98" s="11"/>
      <c r="H98" s="11"/>
      <c r="I98" s="30" t="s">
        <v>283</v>
      </c>
    </row>
    <row r="99" spans="2:9">
      <c r="B99" s="34"/>
      <c r="D99" s="11"/>
      <c r="E99" s="11"/>
      <c r="F99" s="11"/>
      <c r="G99" s="11"/>
      <c r="H99" s="11"/>
      <c r="I99" s="30"/>
    </row>
    <row r="100" spans="2:9">
      <c r="B100" s="6" t="str">
        <f>B$16</f>
        <v>A Investor</v>
      </c>
      <c r="C100" s="50" t="str">
        <f>C5</f>
        <v>$</v>
      </c>
      <c r="D100" s="59">
        <f t="shared" ref="D100:H107" si="5">D$56*$D16+$E16*D$69+($F16+$G16)*D$80</f>
        <v>784714.22441490612</v>
      </c>
      <c r="E100" s="59">
        <f t="shared" si="5"/>
        <v>3000000</v>
      </c>
      <c r="F100" s="59">
        <f t="shared" si="5"/>
        <v>3106853.5318961078</v>
      </c>
      <c r="G100" s="59">
        <f t="shared" si="5"/>
        <v>5436993.680818188</v>
      </c>
      <c r="H100" s="59">
        <f t="shared" si="5"/>
        <v>8772385.8412763346</v>
      </c>
    </row>
    <row r="101" spans="2:9">
      <c r="B101" s="6" t="str">
        <f>B$17</f>
        <v>Seed Investor</v>
      </c>
      <c r="C101" s="50" t="str">
        <f>C5</f>
        <v>$</v>
      </c>
      <c r="D101" s="59">
        <f t="shared" si="5"/>
        <v>152785.77558509397</v>
      </c>
      <c r="E101" s="59">
        <f t="shared" si="5"/>
        <v>694702.44176982192</v>
      </c>
      <c r="F101" s="59">
        <f t="shared" si="5"/>
        <v>1865978.8658096935</v>
      </c>
      <c r="G101" s="59">
        <f t="shared" si="5"/>
        <v>3562404.2552291611</v>
      </c>
      <c r="H101" s="59">
        <f t="shared" si="5"/>
        <v>6386610.7254575584</v>
      </c>
      <c r="I101" s="30"/>
    </row>
    <row r="102" spans="2:9">
      <c r="B102" s="6" t="str">
        <f>B$18&amp;" (Preferred and Common)"</f>
        <v>Seed Investor 2 (Preferred and Common)</v>
      </c>
      <c r="C102" s="50" t="str">
        <f>C5</f>
        <v>$</v>
      </c>
      <c r="D102" s="59">
        <f t="shared" si="5"/>
        <v>0</v>
      </c>
      <c r="E102" s="59">
        <f t="shared" si="5"/>
        <v>55297.558230178583</v>
      </c>
      <c r="F102" s="59">
        <f t="shared" si="5"/>
        <v>709350.12952218391</v>
      </c>
      <c r="G102" s="59">
        <f t="shared" si="5"/>
        <v>1408392.1741988081</v>
      </c>
      <c r="H102" s="59">
        <f t="shared" si="5"/>
        <v>2631715.7523829006</v>
      </c>
      <c r="I102" s="30"/>
    </row>
    <row r="103" spans="2:9">
      <c r="B103" s="6" t="str">
        <f>B$19</f>
        <v>Co-Founder</v>
      </c>
      <c r="C103" s="50" t="str">
        <f>C5</f>
        <v>$</v>
      </c>
      <c r="D103" s="59">
        <f t="shared" si="5"/>
        <v>0</v>
      </c>
      <c r="E103" s="59">
        <f t="shared" si="5"/>
        <v>0</v>
      </c>
      <c r="F103" s="59">
        <f t="shared" si="5"/>
        <v>3404880.621706483</v>
      </c>
      <c r="G103" s="59">
        <f t="shared" si="5"/>
        <v>6760282.4361542808</v>
      </c>
      <c r="H103" s="59">
        <f t="shared" si="5"/>
        <v>12632235.611437924</v>
      </c>
      <c r="I103" s="30"/>
    </row>
    <row r="104" spans="2:9">
      <c r="B104" s="6" t="str">
        <f>B$20</f>
        <v>Co-Founder</v>
      </c>
      <c r="C104" s="50" t="str">
        <f>C5</f>
        <v>$</v>
      </c>
      <c r="D104" s="59">
        <f t="shared" si="5"/>
        <v>0</v>
      </c>
      <c r="E104" s="59">
        <f t="shared" si="5"/>
        <v>0</v>
      </c>
      <c r="F104" s="59">
        <f t="shared" si="5"/>
        <v>1702440.3108532415</v>
      </c>
      <c r="G104" s="59">
        <f t="shared" si="5"/>
        <v>3380141.2180771404</v>
      </c>
      <c r="H104" s="59">
        <f t="shared" si="5"/>
        <v>6316117.8057189621</v>
      </c>
      <c r="I104" s="30"/>
    </row>
    <row r="105" spans="2:9">
      <c r="B105" s="6" t="str">
        <f>B$21</f>
        <v>Employee</v>
      </c>
      <c r="C105" s="50" t="str">
        <f>C5</f>
        <v>$</v>
      </c>
      <c r="D105" s="59">
        <f t="shared" si="5"/>
        <v>0</v>
      </c>
      <c r="E105" s="59">
        <f t="shared" si="5"/>
        <v>0</v>
      </c>
      <c r="F105" s="59">
        <f t="shared" si="5"/>
        <v>397236.07253242307</v>
      </c>
      <c r="G105" s="59">
        <f t="shared" si="5"/>
        <v>788699.61755133281</v>
      </c>
      <c r="H105" s="59">
        <f t="shared" si="5"/>
        <v>1473760.8213344249</v>
      </c>
      <c r="I105" s="30"/>
    </row>
    <row r="106" spans="2:9">
      <c r="B106" s="6" t="str">
        <f>B$22</f>
        <v>Employee</v>
      </c>
      <c r="C106" s="50" t="str">
        <f>C5</f>
        <v>$</v>
      </c>
      <c r="D106" s="59">
        <f t="shared" si="5"/>
        <v>0</v>
      </c>
      <c r="E106" s="59">
        <f t="shared" si="5"/>
        <v>0</v>
      </c>
      <c r="F106" s="59">
        <f t="shared" si="5"/>
        <v>170244.03108532415</v>
      </c>
      <c r="G106" s="59">
        <f t="shared" si="5"/>
        <v>338014.12180771399</v>
      </c>
      <c r="H106" s="59">
        <f t="shared" si="5"/>
        <v>631611.78057189623</v>
      </c>
      <c r="I106" s="30"/>
    </row>
    <row r="107" spans="2:9">
      <c r="B107" s="6" t="str">
        <f>B$23</f>
        <v>Options Granted and Exercised</v>
      </c>
      <c r="C107" s="50" t="str">
        <f>C5</f>
        <v>$</v>
      </c>
      <c r="D107" s="59">
        <f t="shared" si="5"/>
        <v>0</v>
      </c>
      <c r="E107" s="59">
        <f t="shared" si="5"/>
        <v>0</v>
      </c>
      <c r="F107" s="59">
        <f t="shared" si="5"/>
        <v>945800.17269624514</v>
      </c>
      <c r="G107" s="59">
        <f t="shared" si="5"/>
        <v>1877856.2322650778</v>
      </c>
      <c r="H107" s="59">
        <f t="shared" si="5"/>
        <v>3508954.3365105344</v>
      </c>
      <c r="I107" s="30"/>
    </row>
    <row r="108" spans="2:9">
      <c r="B108" s="6" t="s">
        <v>20</v>
      </c>
      <c r="C108" s="50" t="str">
        <f>C5</f>
        <v>$</v>
      </c>
      <c r="D108" s="70">
        <f>SUM(D100:D107)</f>
        <v>937500.00000000012</v>
      </c>
      <c r="E108" s="70">
        <f t="shared" ref="E108:H108" si="6">SUM(E100:E107)</f>
        <v>3750000.0000000005</v>
      </c>
      <c r="F108" s="70">
        <f t="shared" si="6"/>
        <v>12302783.736101702</v>
      </c>
      <c r="G108" s="70">
        <f t="shared" si="6"/>
        <v>23552783.736101706</v>
      </c>
      <c r="H108" s="70">
        <f t="shared" si="6"/>
        <v>42353392.674690522</v>
      </c>
      <c r="I108" s="30"/>
    </row>
    <row r="109" spans="2:9">
      <c r="B109" s="6"/>
      <c r="C109" s="50"/>
      <c r="D109" s="11"/>
      <c r="E109" s="11"/>
      <c r="F109" s="11"/>
      <c r="G109" s="11"/>
      <c r="H109" s="11"/>
      <c r="I109" s="30"/>
    </row>
    <row r="110" spans="2:9">
      <c r="D110" s="11"/>
      <c r="E110" s="11"/>
      <c r="F110" s="11"/>
      <c r="G110" s="11"/>
      <c r="H110" s="11"/>
      <c r="I110" s="30"/>
    </row>
    <row r="111" spans="2:9">
      <c r="B111" s="47" t="s">
        <v>207</v>
      </c>
      <c r="D111" s="11"/>
      <c r="E111" s="11"/>
      <c r="F111" s="11"/>
      <c r="G111" s="11"/>
      <c r="H111" s="11"/>
      <c r="I111" s="30" t="s">
        <v>284</v>
      </c>
    </row>
    <row r="112" spans="2:9">
      <c r="D112" s="11"/>
      <c r="E112" s="11"/>
      <c r="F112" s="11"/>
      <c r="G112" s="11"/>
      <c r="H112" s="11"/>
      <c r="I112" s="30"/>
    </row>
    <row r="113" spans="2:9">
      <c r="B113" s="6" t="str">
        <f>B$16</f>
        <v>A Investor</v>
      </c>
      <c r="C113" s="43" t="s">
        <v>50</v>
      </c>
      <c r="D113" s="67">
        <f t="shared" ref="D113:H120" si="7">IFERROR((D100-$D16*$D$29-$E16*$E$29)/($D16*$D$29+$E16*$E$29),"na")</f>
        <v>-0.73842859186169796</v>
      </c>
      <c r="E113" s="67">
        <f t="shared" si="7"/>
        <v>0</v>
      </c>
      <c r="F113" s="67">
        <f t="shared" si="7"/>
        <v>3.5617843965369274E-2</v>
      </c>
      <c r="G113" s="67">
        <f t="shared" si="7"/>
        <v>0.81233122693939597</v>
      </c>
      <c r="H113" s="67">
        <f t="shared" si="7"/>
        <v>1.9241286137587783</v>
      </c>
      <c r="I113" s="30" t="s">
        <v>285</v>
      </c>
    </row>
    <row r="114" spans="2:9">
      <c r="B114" s="6" t="str">
        <f>B$17</f>
        <v>Seed Investor</v>
      </c>
      <c r="C114" s="43" t="s">
        <v>50</v>
      </c>
      <c r="D114" s="67">
        <f t="shared" si="7"/>
        <v>-0.85906766607127172</v>
      </c>
      <c r="E114" s="67">
        <f t="shared" si="7"/>
        <v>-0.3591940340671389</v>
      </c>
      <c r="F114" s="67">
        <f t="shared" si="7"/>
        <v>0.72121230273675996</v>
      </c>
      <c r="G114" s="67">
        <f t="shared" si="7"/>
        <v>2.2860254442172061</v>
      </c>
      <c r="H114" s="67">
        <f t="shared" si="7"/>
        <v>4.8911240394344384</v>
      </c>
      <c r="I114" s="30"/>
    </row>
    <row r="115" spans="2:9">
      <c r="B115" s="6" t="str">
        <f>B$18&amp;" (Preferred and Common)"</f>
        <v>Seed Investor 2 (Preferred and Common)</v>
      </c>
      <c r="C115" s="43" t="s">
        <v>50</v>
      </c>
      <c r="D115" s="67">
        <f>IFERROR((D102-$D18*$D$29-$E18*$E$29-$D$29*$F18)/($D18*$D$29+$E18*$E$29+$D$29*$F18),"na")</f>
        <v>-1</v>
      </c>
      <c r="E115" s="67">
        <f>IFERROR((E102-$D18*$D$29-$E18*$E$29-$D$29*$F18)/($D18*$D$29+$E18*$E$29+$D$29*$F18),"na")</f>
        <v>-0.84200697648520395</v>
      </c>
      <c r="F115" s="67">
        <f>IFERROR((F102-$D18*$D$29-$E18*$E$29-$D$29*$F18)/($D18*$D$29+$E18*$E$29+$D$29*$F18),"na")</f>
        <v>1.0267146557776683</v>
      </c>
      <c r="G115" s="67">
        <f>IFERROR((G102-$D18*$D$29-$E18*$E$29-$D$29*$F18)/($D18*$D$29+$E18*$E$29+$D$29*$F18),"na")</f>
        <v>3.0239776405680234</v>
      </c>
      <c r="H115" s="67">
        <f>IFERROR((H102-$D18*$D$29-$E18*$E$29-$D$29*$F18)/($D18*$D$29+$E18*$E$29+$D$29*$F18),"na")</f>
        <v>6.5191878639511449</v>
      </c>
      <c r="I115" s="30" t="s">
        <v>286</v>
      </c>
    </row>
    <row r="116" spans="2:9">
      <c r="B116" s="6" t="str">
        <f>B$19</f>
        <v>Co-Founder</v>
      </c>
      <c r="C116" s="43" t="s">
        <v>50</v>
      </c>
      <c r="D116" s="118" t="str">
        <f t="shared" si="7"/>
        <v>na</v>
      </c>
      <c r="E116" s="118" t="str">
        <f t="shared" si="7"/>
        <v>na</v>
      </c>
      <c r="F116" s="118" t="str">
        <f t="shared" si="7"/>
        <v>na</v>
      </c>
      <c r="G116" s="118" t="str">
        <f t="shared" si="7"/>
        <v>na</v>
      </c>
      <c r="H116" s="118" t="str">
        <f t="shared" si="7"/>
        <v>na</v>
      </c>
      <c r="I116" s="30" t="s">
        <v>287</v>
      </c>
    </row>
    <row r="117" spans="2:9">
      <c r="B117" s="6" t="str">
        <f>B$20</f>
        <v>Co-Founder</v>
      </c>
      <c r="C117" s="43" t="s">
        <v>50</v>
      </c>
      <c r="D117" s="118" t="str">
        <f t="shared" si="7"/>
        <v>na</v>
      </c>
      <c r="E117" s="118" t="str">
        <f t="shared" si="7"/>
        <v>na</v>
      </c>
      <c r="F117" s="118" t="str">
        <f t="shared" si="7"/>
        <v>na</v>
      </c>
      <c r="G117" s="118" t="str">
        <f t="shared" si="7"/>
        <v>na</v>
      </c>
      <c r="H117" s="118" t="str">
        <f t="shared" si="7"/>
        <v>na</v>
      </c>
      <c r="I117" s="30"/>
    </row>
    <row r="118" spans="2:9">
      <c r="B118" s="6" t="str">
        <f>B$21</f>
        <v>Employee</v>
      </c>
      <c r="C118" s="43" t="s">
        <v>50</v>
      </c>
      <c r="D118" s="118" t="str">
        <f t="shared" si="7"/>
        <v>na</v>
      </c>
      <c r="E118" s="118" t="str">
        <f t="shared" si="7"/>
        <v>na</v>
      </c>
      <c r="F118" s="118" t="str">
        <f t="shared" si="7"/>
        <v>na</v>
      </c>
      <c r="G118" s="118" t="str">
        <f t="shared" si="7"/>
        <v>na</v>
      </c>
      <c r="H118" s="118" t="str">
        <f t="shared" si="7"/>
        <v>na</v>
      </c>
      <c r="I118" s="30"/>
    </row>
    <row r="119" spans="2:9">
      <c r="B119" s="6" t="str">
        <f>B$22</f>
        <v>Employee</v>
      </c>
      <c r="C119" s="43" t="s">
        <v>50</v>
      </c>
      <c r="D119" s="118" t="str">
        <f t="shared" si="7"/>
        <v>na</v>
      </c>
      <c r="E119" s="118" t="str">
        <f t="shared" si="7"/>
        <v>na</v>
      </c>
      <c r="F119" s="118" t="str">
        <f t="shared" si="7"/>
        <v>na</v>
      </c>
      <c r="G119" s="118" t="str">
        <f t="shared" si="7"/>
        <v>na</v>
      </c>
      <c r="H119" s="118" t="str">
        <f t="shared" si="7"/>
        <v>na</v>
      </c>
      <c r="I119" s="30"/>
    </row>
    <row r="120" spans="2:9">
      <c r="B120" s="6" t="str">
        <f>B$23</f>
        <v>Options Granted and Exercised</v>
      </c>
      <c r="C120" s="43" t="s">
        <v>50</v>
      </c>
      <c r="D120" s="118" t="str">
        <f t="shared" si="7"/>
        <v>na</v>
      </c>
      <c r="E120" s="118" t="str">
        <f t="shared" si="7"/>
        <v>na</v>
      </c>
      <c r="F120" s="118" t="str">
        <f t="shared" si="7"/>
        <v>na</v>
      </c>
      <c r="G120" s="118" t="str">
        <f t="shared" si="7"/>
        <v>na</v>
      </c>
      <c r="H120" s="118" t="str">
        <f t="shared" si="7"/>
        <v>na</v>
      </c>
      <c r="I120" s="30"/>
    </row>
    <row r="121" spans="2:9">
      <c r="B121" s="6" t="s">
        <v>20</v>
      </c>
      <c r="C121" s="43" t="s">
        <v>50</v>
      </c>
      <c r="D121" s="7">
        <f>IFERROR((D108-$H30)/$H30,0)</f>
        <v>-0.78857074688994588</v>
      </c>
      <c r="E121" s="7">
        <f>IFERROR((E108-$H30)/$H30,0)</f>
        <v>-0.15428298755978331</v>
      </c>
      <c r="F121" s="7">
        <f>IFERROR((F108-$H30)/$H30,0)</f>
        <v>1.7745796015984046</v>
      </c>
      <c r="G121" s="7">
        <f>IFERROR((G108-$H30)/$H30,0)</f>
        <v>4.3117306389190544</v>
      </c>
      <c r="H121" s="7">
        <f>IFERROR((H108-$H30)/$H30,0)</f>
        <v>8.551729258545766</v>
      </c>
    </row>
    <row r="125" spans="2:9">
      <c r="I125" s="30" t="s">
        <v>288</v>
      </c>
    </row>
    <row r="154" spans="9:9">
      <c r="I154" s="30" t="s">
        <v>311</v>
      </c>
    </row>
  </sheetData>
  <dataValidations count="2">
    <dataValidation type="list" allowBlank="1" showInputMessage="1" showErrorMessage="1" sqref="D34:E34" xr:uid="{00000000-0002-0000-1100-000000000000}">
      <formula1>"Non Participating Preferred,Full Participating Preferred,Participating Preferred with a Cap"</formula1>
    </dataValidation>
    <dataValidation type="list" allowBlank="1" showInputMessage="1" showErrorMessage="1" sqref="D10" xr:uid="{00000000-0002-0000-1100-000001000000}">
      <formula1>"no,yes"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P150"/>
  <sheetViews>
    <sheetView showGridLines="0" workbookViewId="0">
      <selection activeCell="I43" sqref="I43:I44"/>
    </sheetView>
  </sheetViews>
  <sheetFormatPr baseColWidth="10" defaultRowHeight="17" outlineLevelRow="1"/>
  <cols>
    <col min="1" max="1" width="6.83203125" style="43" customWidth="1"/>
    <col min="2" max="2" width="53.83203125" style="2" customWidth="1"/>
    <col min="3" max="3" width="5.1640625" style="43" customWidth="1"/>
    <col min="4" max="4" width="18" style="2" customWidth="1"/>
    <col min="5" max="5" width="18" style="95" customWidth="1"/>
    <col min="6" max="6" width="18" style="2" customWidth="1"/>
    <col min="7" max="9" width="18.1640625" style="2" customWidth="1"/>
    <col min="10" max="10" width="15.33203125" style="2" customWidth="1"/>
    <col min="11" max="11" width="18.1640625" style="111" customWidth="1"/>
    <col min="12" max="15" width="18.1640625" style="2" customWidth="1"/>
    <col min="16" max="16" width="14.33203125" style="2" bestFit="1" customWidth="1"/>
    <col min="17" max="16384" width="10.83203125" style="2"/>
  </cols>
  <sheetData>
    <row r="2" spans="2:11">
      <c r="B2" s="19" t="s">
        <v>325</v>
      </c>
      <c r="C2" s="94"/>
      <c r="D2" s="95"/>
    </row>
    <row r="3" spans="2:11">
      <c r="B3" s="34" t="s">
        <v>360</v>
      </c>
      <c r="D3" s="46"/>
      <c r="F3" s="109"/>
      <c r="K3" s="2" t="s">
        <v>326</v>
      </c>
    </row>
    <row r="4" spans="2:11">
      <c r="B4" s="34" t="s">
        <v>361</v>
      </c>
      <c r="D4" s="46"/>
      <c r="F4" s="109"/>
      <c r="K4" s="2" t="s">
        <v>327</v>
      </c>
    </row>
    <row r="5" spans="2:11">
      <c r="D5" s="46"/>
    </row>
    <row r="6" spans="2:11">
      <c r="B6" s="2" t="s">
        <v>357</v>
      </c>
      <c r="D6" s="119" t="s">
        <v>26</v>
      </c>
      <c r="E6" s="119" t="s">
        <v>33</v>
      </c>
      <c r="F6" s="119" t="s">
        <v>34</v>
      </c>
      <c r="G6" s="119" t="s">
        <v>35</v>
      </c>
      <c r="H6" s="119" t="s">
        <v>36</v>
      </c>
      <c r="I6" s="119" t="s">
        <v>37</v>
      </c>
      <c r="K6" s="111" t="s">
        <v>328</v>
      </c>
    </row>
    <row r="8" spans="2:11">
      <c r="B8" s="19" t="s">
        <v>351</v>
      </c>
      <c r="D8" s="43"/>
      <c r="E8" s="43"/>
      <c r="F8" s="43"/>
      <c r="G8" s="43"/>
      <c r="H8" s="43"/>
      <c r="I8" s="43"/>
    </row>
    <row r="9" spans="2:11">
      <c r="B9" s="2" t="s">
        <v>331</v>
      </c>
      <c r="C9" s="43" t="s">
        <v>50</v>
      </c>
      <c r="D9" s="110">
        <v>1</v>
      </c>
      <c r="E9" s="96">
        <v>0.5</v>
      </c>
      <c r="F9" s="96">
        <v>0.25</v>
      </c>
      <c r="G9" s="96">
        <v>0.25</v>
      </c>
      <c r="H9" s="96">
        <v>0.25</v>
      </c>
      <c r="I9" s="96">
        <v>0.25</v>
      </c>
      <c r="K9" s="111" t="s">
        <v>329</v>
      </c>
    </row>
    <row r="10" spans="2:11">
      <c r="B10" s="2" t="str">
        <f>"% of "&amp;D6&amp;" Companies that raise this round"</f>
        <v>% of Seed Companies that raise this round</v>
      </c>
      <c r="C10" s="43" t="s">
        <v>50</v>
      </c>
      <c r="D10" s="36">
        <f>D9</f>
        <v>1</v>
      </c>
      <c r="E10" s="98">
        <f>E9*D10</f>
        <v>0.5</v>
      </c>
      <c r="F10" s="98">
        <f>F9*E10</f>
        <v>0.125</v>
      </c>
      <c r="G10" s="98">
        <f>G9*F10</f>
        <v>3.125E-2</v>
      </c>
      <c r="H10" s="98">
        <f>H9*G10</f>
        <v>7.8125E-3</v>
      </c>
      <c r="I10" s="98">
        <f>I9*H10</f>
        <v>1.953125E-3</v>
      </c>
      <c r="J10" s="36"/>
      <c r="K10" s="111" t="s">
        <v>330</v>
      </c>
    </row>
    <row r="11" spans="2:11">
      <c r="B11" s="2" t="s">
        <v>332</v>
      </c>
      <c r="C11" s="43" t="s">
        <v>170</v>
      </c>
      <c r="D11" s="125">
        <v>0</v>
      </c>
      <c r="E11" s="99">
        <v>10</v>
      </c>
      <c r="F11" s="99">
        <v>6</v>
      </c>
      <c r="G11" s="99">
        <v>5</v>
      </c>
      <c r="H11" s="99">
        <v>2.5</v>
      </c>
      <c r="I11" s="99">
        <v>1.6</v>
      </c>
      <c r="K11" s="111" t="s">
        <v>333</v>
      </c>
    </row>
    <row r="12" spans="2:11">
      <c r="B12" s="2" t="s">
        <v>316</v>
      </c>
      <c r="C12" s="43" t="s">
        <v>170</v>
      </c>
      <c r="D12" s="125">
        <v>0</v>
      </c>
      <c r="E12" s="99">
        <v>5</v>
      </c>
      <c r="F12" s="99">
        <v>3.5</v>
      </c>
      <c r="G12" s="99">
        <v>2</v>
      </c>
      <c r="H12" s="99">
        <v>2</v>
      </c>
      <c r="I12" s="99">
        <v>2</v>
      </c>
      <c r="K12" s="111" t="s">
        <v>334</v>
      </c>
    </row>
    <row r="13" spans="2:11">
      <c r="B13" s="2" t="s">
        <v>317</v>
      </c>
      <c r="C13" s="43" t="s">
        <v>170</v>
      </c>
      <c r="D13" s="125">
        <v>0</v>
      </c>
      <c r="E13" s="103">
        <v>18</v>
      </c>
      <c r="F13" s="103">
        <v>18</v>
      </c>
      <c r="G13" s="103">
        <v>18</v>
      </c>
      <c r="H13" s="103">
        <v>18</v>
      </c>
      <c r="I13" s="103">
        <v>18</v>
      </c>
      <c r="K13" s="111" t="s">
        <v>335</v>
      </c>
    </row>
    <row r="14" spans="2:11">
      <c r="B14" s="2" t="s">
        <v>40</v>
      </c>
      <c r="C14" s="43" t="s">
        <v>300</v>
      </c>
      <c r="D14" s="100">
        <v>43101</v>
      </c>
      <c r="E14" s="101">
        <f>EDATE(D14,E13)</f>
        <v>43647</v>
      </c>
      <c r="F14" s="101">
        <f>EDATE(E14,F13)</f>
        <v>44197</v>
      </c>
      <c r="G14" s="101">
        <f>EDATE(F14,G13)</f>
        <v>44743</v>
      </c>
      <c r="H14" s="101">
        <f>EDATE(G14,H13)</f>
        <v>45292</v>
      </c>
      <c r="I14" s="101">
        <f>EDATE(H14,I13)</f>
        <v>45839</v>
      </c>
      <c r="K14" s="111" t="s">
        <v>336</v>
      </c>
    </row>
    <row r="15" spans="2:11">
      <c r="B15" s="2" t="s">
        <v>318</v>
      </c>
      <c r="C15" s="290" t="s">
        <v>156</v>
      </c>
      <c r="D15" s="103">
        <v>1000000</v>
      </c>
      <c r="E15" s="104">
        <f>E12*D15</f>
        <v>5000000</v>
      </c>
      <c r="F15" s="104">
        <f>F12*E15</f>
        <v>17500000</v>
      </c>
      <c r="G15" s="104">
        <f>G12*F15</f>
        <v>35000000</v>
      </c>
      <c r="H15" s="104">
        <f>H12*G15</f>
        <v>70000000</v>
      </c>
      <c r="I15" s="104">
        <f>I12*H15</f>
        <v>140000000</v>
      </c>
      <c r="J15" s="6"/>
      <c r="K15" s="111" t="s">
        <v>337</v>
      </c>
    </row>
    <row r="16" spans="2:11">
      <c r="B16" s="2" t="s">
        <v>244</v>
      </c>
      <c r="C16" s="102" t="str">
        <f>$C$15</f>
        <v>$</v>
      </c>
      <c r="D16" s="103">
        <v>3000000</v>
      </c>
      <c r="E16" s="6">
        <f>E11*D16</f>
        <v>30000000</v>
      </c>
      <c r="F16" s="6">
        <f>F11*E16</f>
        <v>180000000</v>
      </c>
      <c r="G16" s="6">
        <f>G11*F16</f>
        <v>900000000</v>
      </c>
      <c r="H16" s="6">
        <f>H11*G16</f>
        <v>2250000000</v>
      </c>
      <c r="I16" s="6">
        <f>I11*H16</f>
        <v>3600000000</v>
      </c>
      <c r="K16" s="111" t="s">
        <v>338</v>
      </c>
    </row>
    <row r="17" spans="2:11">
      <c r="B17" s="2" t="s">
        <v>319</v>
      </c>
      <c r="C17" s="102" t="str">
        <f>$C$15</f>
        <v>$</v>
      </c>
      <c r="D17" s="6">
        <f t="shared" ref="D17:I17" si="0">D16+D15</f>
        <v>4000000</v>
      </c>
      <c r="E17" s="6">
        <f t="shared" si="0"/>
        <v>35000000</v>
      </c>
      <c r="F17" s="6">
        <f t="shared" si="0"/>
        <v>197500000</v>
      </c>
      <c r="G17" s="6">
        <f t="shared" si="0"/>
        <v>935000000</v>
      </c>
      <c r="H17" s="6">
        <f t="shared" si="0"/>
        <v>2320000000</v>
      </c>
      <c r="I17" s="6">
        <f t="shared" si="0"/>
        <v>3740000000</v>
      </c>
      <c r="K17" s="111" t="s">
        <v>339</v>
      </c>
    </row>
    <row r="18" spans="2:11">
      <c r="B18" s="2" t="s">
        <v>320</v>
      </c>
      <c r="C18" s="43" t="s">
        <v>170</v>
      </c>
      <c r="D18" s="103">
        <f>10000000</f>
        <v>10000000</v>
      </c>
      <c r="E18" s="104">
        <f>D22</f>
        <v>16666666.666666666</v>
      </c>
      <c r="F18" s="104">
        <f>E22</f>
        <v>24305555.555555552</v>
      </c>
      <c r="G18" s="104">
        <f>F22</f>
        <v>31374818.445896875</v>
      </c>
      <c r="H18" s="104">
        <f>G22</f>
        <v>38347000.322762847</v>
      </c>
      <c r="I18" s="104">
        <f>H22</f>
        <v>43933353.456202373</v>
      </c>
      <c r="K18" s="111" t="s">
        <v>340</v>
      </c>
    </row>
    <row r="19" spans="2:11">
      <c r="B19" s="2" t="s">
        <v>321</v>
      </c>
      <c r="C19" s="43" t="s">
        <v>170</v>
      </c>
      <c r="D19" s="6">
        <f t="shared" ref="D19:I19" si="1">D15/D23</f>
        <v>3333333.3333333335</v>
      </c>
      <c r="E19" s="6">
        <f t="shared" si="1"/>
        <v>2777777.7777777775</v>
      </c>
      <c r="F19" s="6">
        <f t="shared" si="1"/>
        <v>2363040.1234567896</v>
      </c>
      <c r="G19" s="6">
        <f t="shared" si="1"/>
        <v>1220131.8284515452</v>
      </c>
      <c r="H19" s="6">
        <f t="shared" si="1"/>
        <v>1193017.7878192884</v>
      </c>
      <c r="I19" s="6">
        <f t="shared" si="1"/>
        <v>1708519.3010745365</v>
      </c>
      <c r="K19" s="111" t="s">
        <v>342</v>
      </c>
    </row>
    <row r="20" spans="2:11">
      <c r="B20" s="2" t="s">
        <v>341</v>
      </c>
      <c r="C20" s="43" t="s">
        <v>50</v>
      </c>
      <c r="D20" s="96">
        <v>0.2</v>
      </c>
      <c r="E20" s="96">
        <v>0.2</v>
      </c>
      <c r="F20" s="96">
        <v>0.15</v>
      </c>
      <c r="G20" s="96">
        <v>0.15</v>
      </c>
      <c r="H20" s="96">
        <v>0.1</v>
      </c>
      <c r="I20" s="96">
        <v>0.05</v>
      </c>
      <c r="K20" s="111" t="s">
        <v>358</v>
      </c>
    </row>
    <row r="21" spans="2:11">
      <c r="B21" s="2" t="s">
        <v>343</v>
      </c>
      <c r="C21" s="43" t="s">
        <v>170</v>
      </c>
      <c r="D21" s="6">
        <f t="shared" ref="D21:I21" si="2">ROUND(D22-D18-D19,5)</f>
        <v>3333333.3333299998</v>
      </c>
      <c r="E21" s="6">
        <f t="shared" si="2"/>
        <v>4861111.1111099999</v>
      </c>
      <c r="F21" s="6">
        <f t="shared" si="2"/>
        <v>4706222.76688</v>
      </c>
      <c r="G21" s="6">
        <f t="shared" si="2"/>
        <v>5752050.0484100003</v>
      </c>
      <c r="H21" s="6">
        <f t="shared" si="2"/>
        <v>4393335.3456199998</v>
      </c>
      <c r="I21" s="6">
        <f t="shared" si="2"/>
        <v>2402203.8293300001</v>
      </c>
      <c r="K21" s="111" t="s">
        <v>344</v>
      </c>
    </row>
    <row r="22" spans="2:11">
      <c r="B22" s="2" t="s">
        <v>345</v>
      </c>
      <c r="C22" s="43" t="s">
        <v>170</v>
      </c>
      <c r="D22" s="6">
        <f t="shared" ref="D22:I22" si="3">(D18+D19)/(1-D20)</f>
        <v>16666666.666666666</v>
      </c>
      <c r="E22" s="6">
        <f t="shared" si="3"/>
        <v>24305555.555555552</v>
      </c>
      <c r="F22" s="6">
        <f t="shared" si="3"/>
        <v>31374818.445896875</v>
      </c>
      <c r="G22" s="6">
        <f t="shared" si="3"/>
        <v>38347000.322762847</v>
      </c>
      <c r="H22" s="6">
        <f t="shared" si="3"/>
        <v>43933353.456202373</v>
      </c>
      <c r="I22" s="6">
        <f t="shared" si="3"/>
        <v>48044076.58660727</v>
      </c>
      <c r="K22" s="112" t="s">
        <v>346</v>
      </c>
    </row>
    <row r="23" spans="2:11">
      <c r="B23" s="2" t="s">
        <v>62</v>
      </c>
      <c r="C23" s="102" t="str">
        <f>$C$15</f>
        <v>$</v>
      </c>
      <c r="D23" s="105">
        <f t="shared" ref="D23:I23" si="4">D16/D18</f>
        <v>0.3</v>
      </c>
      <c r="E23" s="105">
        <f t="shared" si="4"/>
        <v>1.8</v>
      </c>
      <c r="F23" s="105">
        <f t="shared" si="4"/>
        <v>7.4057142857142866</v>
      </c>
      <c r="G23" s="105">
        <f t="shared" si="4"/>
        <v>28.685424954792044</v>
      </c>
      <c r="H23" s="105">
        <f t="shared" si="4"/>
        <v>58.674732862074642</v>
      </c>
      <c r="I23" s="105">
        <f t="shared" si="4"/>
        <v>81.942299341862864</v>
      </c>
      <c r="K23" s="111" t="s">
        <v>347</v>
      </c>
    </row>
    <row r="24" spans="2:11">
      <c r="B24" s="2" t="s">
        <v>322</v>
      </c>
      <c r="C24" s="43" t="s">
        <v>170</v>
      </c>
      <c r="D24" s="6">
        <f>SUM($D19:D19)</f>
        <v>3333333.3333333335</v>
      </c>
      <c r="E24" s="6">
        <f>SUM($D19:E19)</f>
        <v>6111111.111111111</v>
      </c>
      <c r="F24" s="6">
        <f>SUM($D19:F19)</f>
        <v>8474151.2345679011</v>
      </c>
      <c r="G24" s="6">
        <f>SUM($D19:G19)</f>
        <v>9694283.063019447</v>
      </c>
      <c r="H24" s="6">
        <f>SUM($D19:H19)</f>
        <v>10887300.850838736</v>
      </c>
      <c r="I24" s="6">
        <f>SUM($D19:I19)</f>
        <v>12595820.151913272</v>
      </c>
      <c r="K24" s="111" t="s">
        <v>348</v>
      </c>
    </row>
    <row r="25" spans="2:11">
      <c r="B25" s="2" t="s">
        <v>356</v>
      </c>
      <c r="C25" s="43" t="s">
        <v>50</v>
      </c>
      <c r="D25" s="5">
        <f t="shared" ref="D25:I25" si="5">IFERROR(D24/D22,0)</f>
        <v>0.2</v>
      </c>
      <c r="E25" s="5">
        <f t="shared" si="5"/>
        <v>0.25142857142857145</v>
      </c>
      <c r="F25" s="5">
        <f t="shared" si="5"/>
        <v>0.27009403254972875</v>
      </c>
      <c r="G25" s="5">
        <f t="shared" si="5"/>
        <v>0.25280420844977808</v>
      </c>
      <c r="H25" s="5">
        <f t="shared" si="5"/>
        <v>0.24781401815120718</v>
      </c>
      <c r="I25" s="5">
        <f t="shared" si="5"/>
        <v>0.26217217702597023</v>
      </c>
      <c r="K25" s="111" t="s">
        <v>349</v>
      </c>
    </row>
    <row r="26" spans="2:11">
      <c r="D26" s="43"/>
      <c r="E26" s="43"/>
      <c r="F26" s="43"/>
      <c r="G26" s="43"/>
      <c r="H26" s="43"/>
      <c r="I26" s="43"/>
      <c r="J26" s="43"/>
    </row>
    <row r="27" spans="2:11">
      <c r="D27" s="43"/>
      <c r="E27" s="43"/>
      <c r="F27" s="43"/>
      <c r="G27" s="43"/>
      <c r="H27" s="43"/>
      <c r="I27" s="43"/>
      <c r="J27" s="43"/>
    </row>
    <row r="28" spans="2:11">
      <c r="B28" s="19" t="s">
        <v>350</v>
      </c>
      <c r="C28" s="94"/>
      <c r="D28" s="94"/>
      <c r="E28" s="94"/>
      <c r="F28" s="94"/>
      <c r="G28" s="94"/>
      <c r="H28" s="94"/>
      <c r="I28" s="94"/>
      <c r="J28" s="94"/>
    </row>
    <row r="29" spans="2:11">
      <c r="B29" s="11" t="s">
        <v>385</v>
      </c>
      <c r="C29" s="93" t="s">
        <v>50</v>
      </c>
      <c r="D29" s="97">
        <f>1-E9</f>
        <v>0.5</v>
      </c>
      <c r="E29" s="97">
        <f>1-F9</f>
        <v>0.75</v>
      </c>
      <c r="F29" s="97">
        <f>1-G9</f>
        <v>0.75</v>
      </c>
      <c r="G29" s="97">
        <f>1-H9</f>
        <v>0.75</v>
      </c>
      <c r="H29" s="97">
        <f>1-I9</f>
        <v>0.75</v>
      </c>
      <c r="I29" s="96">
        <v>1</v>
      </c>
      <c r="K29" s="111" t="s">
        <v>352</v>
      </c>
    </row>
    <row r="30" spans="2:11">
      <c r="B30" s="11" t="str">
        <f>"% of "&amp;D6&amp;" Companies that fail or exit at each stage"</f>
        <v>% of Seed Companies that fail or exit at each stage</v>
      </c>
      <c r="C30" s="93" t="s">
        <v>50</v>
      </c>
      <c r="D30" s="113">
        <f>D29</f>
        <v>0.5</v>
      </c>
      <c r="E30" s="114">
        <f>(1-SUM($D30:D30))*E29</f>
        <v>0.375</v>
      </c>
      <c r="F30" s="114">
        <f>(1-SUM($D30:E30))*F29</f>
        <v>9.375E-2</v>
      </c>
      <c r="G30" s="114">
        <f>(1-SUM($D30:F30))*G29</f>
        <v>2.34375E-2</v>
      </c>
      <c r="H30" s="114">
        <f>(1-SUM($D30:G30))*H29</f>
        <v>5.859375E-3</v>
      </c>
      <c r="I30" s="98">
        <f>(1-SUM($D30:H30))*I29</f>
        <v>1.953125E-3</v>
      </c>
      <c r="J30" s="36"/>
      <c r="K30" s="111" t="s">
        <v>353</v>
      </c>
    </row>
    <row r="31" spans="2:11">
      <c r="B31" s="11" t="str">
        <f>"% of Companies that fail, of the % of Companies that raised this round and fail or exit"</f>
        <v>% of Companies that fail, of the % of Companies that raised this round and fail or exit</v>
      </c>
      <c r="C31" s="93" t="s">
        <v>50</v>
      </c>
      <c r="D31" s="115">
        <v>0.8</v>
      </c>
      <c r="E31" s="115">
        <v>0.6</v>
      </c>
      <c r="F31" s="115">
        <v>0.35</v>
      </c>
      <c r="G31" s="115">
        <v>0.15</v>
      </c>
      <c r="H31" s="115">
        <v>0.1</v>
      </c>
      <c r="I31" s="115">
        <v>0.05</v>
      </c>
      <c r="J31" s="36"/>
      <c r="K31" s="111" t="s">
        <v>386</v>
      </c>
    </row>
    <row r="32" spans="2:11">
      <c r="B32" s="2" t="s">
        <v>354</v>
      </c>
      <c r="C32" s="43" t="s">
        <v>170</v>
      </c>
      <c r="D32" s="106">
        <v>1.2</v>
      </c>
      <c r="E32" s="106">
        <v>1.4</v>
      </c>
      <c r="F32" s="106">
        <v>1.4</v>
      </c>
      <c r="G32" s="106">
        <v>1.4</v>
      </c>
      <c r="H32" s="106">
        <v>1.2</v>
      </c>
      <c r="I32" s="106">
        <v>1.1000000000000001</v>
      </c>
      <c r="K32" s="111" t="s">
        <v>388</v>
      </c>
    </row>
    <row r="33" spans="2:11">
      <c r="B33" s="2" t="s">
        <v>355</v>
      </c>
      <c r="C33" s="43" t="s">
        <v>170</v>
      </c>
      <c r="D33" s="103">
        <v>12</v>
      </c>
      <c r="E33" s="103">
        <f>D33</f>
        <v>12</v>
      </c>
      <c r="F33" s="103">
        <f t="shared" ref="F33:I33" si="6">E33</f>
        <v>12</v>
      </c>
      <c r="G33" s="103">
        <f t="shared" si="6"/>
        <v>12</v>
      </c>
      <c r="H33" s="103">
        <f t="shared" si="6"/>
        <v>12</v>
      </c>
      <c r="I33" s="103">
        <f t="shared" si="6"/>
        <v>12</v>
      </c>
      <c r="K33" s="111" t="s">
        <v>387</v>
      </c>
    </row>
    <row r="34" spans="2:11">
      <c r="B34" s="2" t="s">
        <v>40</v>
      </c>
      <c r="C34" s="43" t="s">
        <v>300</v>
      </c>
      <c r="D34" s="108">
        <f t="shared" ref="D34:I34" si="7">EDATE(D14,D33)</f>
        <v>43466</v>
      </c>
      <c r="E34" s="108">
        <f t="shared" si="7"/>
        <v>44013</v>
      </c>
      <c r="F34" s="108">
        <f t="shared" si="7"/>
        <v>44562</v>
      </c>
      <c r="G34" s="108">
        <f t="shared" si="7"/>
        <v>45108</v>
      </c>
      <c r="H34" s="108">
        <f t="shared" si="7"/>
        <v>45658</v>
      </c>
      <c r="I34" s="108">
        <f t="shared" si="7"/>
        <v>46204</v>
      </c>
    </row>
    <row r="35" spans="2:11">
      <c r="B35" s="2" t="s">
        <v>323</v>
      </c>
      <c r="C35" s="102" t="str">
        <f>$C$15</f>
        <v>$</v>
      </c>
      <c r="D35" s="107">
        <f t="shared" ref="D35:I35" si="8">D22*D36</f>
        <v>1199999.9999999995</v>
      </c>
      <c r="E35" s="107">
        <f t="shared" si="8"/>
        <v>24499999.999999996</v>
      </c>
      <c r="F35" s="107">
        <f t="shared" si="8"/>
        <v>211441176.47058824</v>
      </c>
      <c r="G35" s="107">
        <f t="shared" si="8"/>
        <v>1308999999.9999998</v>
      </c>
      <c r="H35" s="107">
        <f t="shared" si="8"/>
        <v>2784000000</v>
      </c>
      <c r="I35" s="107">
        <f t="shared" si="8"/>
        <v>4114000000</v>
      </c>
      <c r="K35" s="111" t="s">
        <v>389</v>
      </c>
    </row>
    <row r="36" spans="2:11">
      <c r="B36" s="2" t="s">
        <v>324</v>
      </c>
      <c r="C36" s="102" t="str">
        <f>$C$15</f>
        <v>$</v>
      </c>
      <c r="D36" s="105">
        <f>D32*D23*(1-D31)</f>
        <v>7.1999999999999981E-2</v>
      </c>
      <c r="E36" s="105">
        <f t="shared" ref="E36:I36" si="9">E32*E23*(1-E31)</f>
        <v>1.008</v>
      </c>
      <c r="F36" s="105">
        <f t="shared" si="9"/>
        <v>6.7392000000000003</v>
      </c>
      <c r="G36" s="105">
        <f t="shared" si="9"/>
        <v>34.135655696202527</v>
      </c>
      <c r="H36" s="105">
        <f t="shared" si="9"/>
        <v>63.368711491040607</v>
      </c>
      <c r="I36" s="105">
        <f t="shared" si="9"/>
        <v>85.629702812246691</v>
      </c>
      <c r="K36" s="111" t="s">
        <v>390</v>
      </c>
    </row>
    <row r="37" spans="2:11">
      <c r="B37" s="2" t="s">
        <v>367</v>
      </c>
      <c r="C37" s="102" t="str">
        <f>$C$15</f>
        <v>$</v>
      </c>
      <c r="D37" s="107">
        <f t="shared" ref="D37:I37" si="10">D24*D36</f>
        <v>239999.99999999994</v>
      </c>
      <c r="E37" s="107">
        <f t="shared" si="10"/>
        <v>6160000</v>
      </c>
      <c r="F37" s="107">
        <f t="shared" si="10"/>
        <v>57109000</v>
      </c>
      <c r="G37" s="107">
        <f t="shared" si="10"/>
        <v>330920708.86075944</v>
      </c>
      <c r="H37" s="107">
        <f t="shared" si="10"/>
        <v>689914226.53296077</v>
      </c>
      <c r="I37" s="107">
        <f t="shared" si="10"/>
        <v>1078576336.2848415</v>
      </c>
      <c r="K37" s="111" t="s">
        <v>391</v>
      </c>
    </row>
    <row r="38" spans="2:11">
      <c r="C38" s="102"/>
      <c r="D38" s="107"/>
      <c r="E38" s="107"/>
      <c r="F38" s="107"/>
      <c r="G38" s="107"/>
      <c r="H38" s="107"/>
      <c r="I38" s="107"/>
    </row>
    <row r="39" spans="2:11">
      <c r="C39" s="102"/>
      <c r="D39" s="107"/>
      <c r="E39" s="107"/>
      <c r="F39" s="107"/>
      <c r="G39" s="107"/>
      <c r="H39" s="107"/>
      <c r="I39" s="107"/>
    </row>
    <row r="40" spans="2:11">
      <c r="B40" s="19" t="s">
        <v>392</v>
      </c>
      <c r="C40" s="102"/>
      <c r="D40" s="107"/>
      <c r="E40" s="107"/>
      <c r="F40" s="107"/>
      <c r="G40" s="107"/>
      <c r="H40" s="107"/>
      <c r="I40" s="107"/>
    </row>
    <row r="41" spans="2:11">
      <c r="B41" s="41" t="s">
        <v>404</v>
      </c>
      <c r="C41" s="102"/>
      <c r="D41" s="128" t="str">
        <f t="shared" ref="D41:I41" si="11">D6</f>
        <v>Seed</v>
      </c>
      <c r="E41" s="128" t="str">
        <f t="shared" si="11"/>
        <v>A</v>
      </c>
      <c r="F41" s="128" t="str">
        <f t="shared" si="11"/>
        <v>B</v>
      </c>
      <c r="G41" s="128" t="str">
        <f t="shared" si="11"/>
        <v>C</v>
      </c>
      <c r="H41" s="128" t="str">
        <f t="shared" si="11"/>
        <v>D</v>
      </c>
      <c r="I41" s="128" t="str">
        <f t="shared" si="11"/>
        <v>E</v>
      </c>
    </row>
    <row r="42" spans="2:11">
      <c r="C42" s="102"/>
      <c r="D42" s="107"/>
      <c r="E42" s="107"/>
      <c r="F42" s="107"/>
      <c r="G42" s="107"/>
      <c r="H42" s="107"/>
      <c r="I42" s="107"/>
    </row>
    <row r="43" spans="2:11">
      <c r="B43" s="2" t="s">
        <v>405</v>
      </c>
      <c r="C43" s="102"/>
      <c r="D43" s="127" t="str">
        <f t="shared" ref="D43:I43" si="12">IF(D15&gt;=1000000,$C$15&amp;ROUNDUP(D15/1000000,2)&amp;"m",$C$15&amp;ROUNDUP(D15/1000,0)&amp;"k")&amp;" at "</f>
        <v xml:space="preserve">$1m at </v>
      </c>
      <c r="E43" s="127" t="str">
        <f t="shared" si="12"/>
        <v xml:space="preserve">$5m at </v>
      </c>
      <c r="F43" s="127" t="str">
        <f t="shared" si="12"/>
        <v xml:space="preserve">$17.5m at </v>
      </c>
      <c r="G43" s="127" t="str">
        <f t="shared" si="12"/>
        <v xml:space="preserve">$35m at </v>
      </c>
      <c r="H43" s="127" t="str">
        <f t="shared" si="12"/>
        <v xml:space="preserve">$70m at </v>
      </c>
      <c r="I43" s="127" t="str">
        <f t="shared" si="12"/>
        <v xml:space="preserve">$140m at </v>
      </c>
    </row>
    <row r="44" spans="2:11">
      <c r="B44" s="2" t="s">
        <v>406</v>
      </c>
      <c r="C44" s="102"/>
      <c r="D44" s="127" t="str">
        <f t="shared" ref="D44:I44" si="13">IF(D16&gt;=1000000,$C$15&amp;ROUNDUP(D16/1000000,2)&amp;"m",$C$15&amp;ROUNDUP(D16/1000,0)&amp;"k")&amp;" pre"</f>
        <v>$3m pre</v>
      </c>
      <c r="E44" s="127" t="str">
        <f t="shared" si="13"/>
        <v>$30m pre</v>
      </c>
      <c r="F44" s="127" t="str">
        <f t="shared" si="13"/>
        <v>$180m pre</v>
      </c>
      <c r="G44" s="127" t="str">
        <f t="shared" si="13"/>
        <v>$900m pre</v>
      </c>
      <c r="H44" s="127" t="str">
        <f t="shared" si="13"/>
        <v>$2250m pre</v>
      </c>
      <c r="I44" s="127" t="str">
        <f t="shared" si="13"/>
        <v>$3600m pre</v>
      </c>
    </row>
    <row r="45" spans="2:11">
      <c r="C45" s="102"/>
      <c r="D45" s="107"/>
      <c r="E45" s="107"/>
      <c r="F45" s="107"/>
      <c r="G45" s="107"/>
      <c r="H45" s="107"/>
      <c r="I45" s="107"/>
    </row>
    <row r="46" spans="2:11">
      <c r="B46" s="2" t="s">
        <v>407</v>
      </c>
      <c r="C46" s="102"/>
      <c r="D46" s="127" t="str">
        <f>E9*100&amp;"% raise an "&amp;E41</f>
        <v>50% raise an A</v>
      </c>
      <c r="E46" s="127" t="str">
        <f>F9*100&amp;"% raise an "&amp;F41</f>
        <v>25% raise an B</v>
      </c>
      <c r="F46" s="127" t="str">
        <f>G9*100&amp;"% raise an "&amp;G41</f>
        <v>25% raise an C</v>
      </c>
      <c r="G46" s="127" t="str">
        <f>H9*100&amp;"% raise an "&amp;H41</f>
        <v>25% raise an D</v>
      </c>
      <c r="H46" s="127" t="str">
        <f>I9*100&amp;"% raise an "&amp;I41</f>
        <v>25% raise an E</v>
      </c>
      <c r="I46" s="127" t="str">
        <f>J9*100&amp;"% raise"</f>
        <v>0% raise</v>
      </c>
      <c r="K46" s="111" t="s">
        <v>403</v>
      </c>
    </row>
    <row r="47" spans="2:11">
      <c r="B47" s="2" t="s">
        <v>408</v>
      </c>
      <c r="C47" s="102"/>
      <c r="D47" s="127" t="str">
        <f t="shared" ref="D47:I47" si="14">D29*D31*100&amp;"% fail"</f>
        <v>40% fail</v>
      </c>
      <c r="E47" s="127" t="str">
        <f t="shared" si="14"/>
        <v>45% fail</v>
      </c>
      <c r="F47" s="127" t="str">
        <f t="shared" si="14"/>
        <v>26.25% fail</v>
      </c>
      <c r="G47" s="127" t="str">
        <f t="shared" si="14"/>
        <v>11.25% fail</v>
      </c>
      <c r="H47" s="127" t="str">
        <f t="shared" si="14"/>
        <v>7.5% fail</v>
      </c>
      <c r="I47" s="127" t="str">
        <f t="shared" si="14"/>
        <v>5% fail</v>
      </c>
    </row>
    <row r="48" spans="2:11">
      <c r="B48" s="2" t="s">
        <v>409</v>
      </c>
      <c r="C48" s="102"/>
      <c r="D48" s="127" t="str">
        <f t="shared" ref="D48:I48" si="15">D29*(1-D31)*100&amp;"% sell"</f>
        <v>10% sell</v>
      </c>
      <c r="E48" s="127" t="str">
        <f t="shared" si="15"/>
        <v>30% sell</v>
      </c>
      <c r="F48" s="127" t="str">
        <f t="shared" si="15"/>
        <v>48.75% sell</v>
      </c>
      <c r="G48" s="127" t="str">
        <f t="shared" si="15"/>
        <v>63.75% sell</v>
      </c>
      <c r="H48" s="127" t="str">
        <f t="shared" si="15"/>
        <v>67.5% sell</v>
      </c>
      <c r="I48" s="127" t="str">
        <f t="shared" si="15"/>
        <v>95% sell</v>
      </c>
    </row>
    <row r="49" spans="2:11">
      <c r="C49" s="102"/>
      <c r="D49" s="107"/>
      <c r="E49" s="107"/>
      <c r="F49" s="107"/>
      <c r="G49" s="107"/>
      <c r="H49" s="107"/>
      <c r="I49" s="107"/>
    </row>
    <row r="50" spans="2:11">
      <c r="C50" s="102"/>
      <c r="D50" s="107"/>
      <c r="E50" s="107"/>
      <c r="F50" s="107"/>
      <c r="G50" s="107"/>
      <c r="H50" s="107"/>
      <c r="I50" s="107"/>
    </row>
    <row r="51" spans="2:11">
      <c r="B51" s="19" t="s">
        <v>376</v>
      </c>
      <c r="C51" s="102"/>
      <c r="D51" s="107"/>
      <c r="E51" s="107"/>
      <c r="F51" s="107"/>
      <c r="G51" s="107"/>
      <c r="H51" s="107"/>
      <c r="I51" s="107"/>
    </row>
    <row r="52" spans="2:11">
      <c r="B52" s="2" t="s">
        <v>363</v>
      </c>
      <c r="C52" s="93" t="s">
        <v>50</v>
      </c>
      <c r="D52" s="115">
        <v>1</v>
      </c>
      <c r="E52" s="115">
        <v>1</v>
      </c>
      <c r="F52" s="115">
        <v>1</v>
      </c>
      <c r="G52" s="115">
        <v>1</v>
      </c>
      <c r="H52" s="115">
        <v>1</v>
      </c>
      <c r="I52" s="115">
        <v>1</v>
      </c>
      <c r="K52" s="2" t="s">
        <v>393</v>
      </c>
    </row>
    <row r="53" spans="2:11">
      <c r="B53" s="2" t="s">
        <v>362</v>
      </c>
      <c r="C53" s="102" t="str">
        <f>$C$15</f>
        <v>$</v>
      </c>
      <c r="D53" s="6">
        <f t="shared" ref="D53:I53" si="16">D52*D15</f>
        <v>1000000</v>
      </c>
      <c r="E53" s="6">
        <f t="shared" si="16"/>
        <v>5000000</v>
      </c>
      <c r="F53" s="6">
        <f t="shared" si="16"/>
        <v>17500000</v>
      </c>
      <c r="G53" s="6">
        <f t="shared" si="16"/>
        <v>35000000</v>
      </c>
      <c r="H53" s="6">
        <f t="shared" si="16"/>
        <v>70000000</v>
      </c>
      <c r="I53" s="6">
        <f t="shared" si="16"/>
        <v>140000000</v>
      </c>
      <c r="K53" s="2" t="s">
        <v>394</v>
      </c>
    </row>
    <row r="54" spans="2:11">
      <c r="B54" s="2" t="s">
        <v>365</v>
      </c>
      <c r="C54" s="102" t="s">
        <v>170</v>
      </c>
      <c r="D54" s="6">
        <f t="shared" ref="D54:I54" si="17">D53/D23</f>
        <v>3333333.3333333335</v>
      </c>
      <c r="E54" s="6">
        <f t="shared" si="17"/>
        <v>2777777.7777777775</v>
      </c>
      <c r="F54" s="6">
        <f t="shared" si="17"/>
        <v>2363040.1234567896</v>
      </c>
      <c r="G54" s="6">
        <f t="shared" si="17"/>
        <v>1220131.8284515452</v>
      </c>
      <c r="H54" s="6">
        <f t="shared" si="17"/>
        <v>1193017.7878192884</v>
      </c>
      <c r="I54" s="6">
        <f t="shared" si="17"/>
        <v>1708519.3010745365</v>
      </c>
      <c r="K54" s="2"/>
    </row>
    <row r="55" spans="2:11">
      <c r="B55" s="2" t="s">
        <v>366</v>
      </c>
      <c r="C55" s="102" t="s">
        <v>170</v>
      </c>
      <c r="D55" s="6">
        <f>SUM($D54:D54)</f>
        <v>3333333.3333333335</v>
      </c>
      <c r="E55" s="6">
        <f>SUM($D54:E54)</f>
        <v>6111111.111111111</v>
      </c>
      <c r="F55" s="6">
        <f>SUM($D54:F54)</f>
        <v>8474151.2345679011</v>
      </c>
      <c r="G55" s="6">
        <f>SUM($D54:G54)</f>
        <v>9694283.063019447</v>
      </c>
      <c r="H55" s="6">
        <f>SUM($D54:H54)</f>
        <v>10887300.850838736</v>
      </c>
      <c r="I55" s="6">
        <f>SUM($D54:I54)</f>
        <v>12595820.151913272</v>
      </c>
      <c r="K55" s="2"/>
    </row>
    <row r="56" spans="2:11">
      <c r="B56" s="2" t="s">
        <v>364</v>
      </c>
      <c r="C56" s="93" t="s">
        <v>50</v>
      </c>
      <c r="D56" s="116">
        <f t="shared" ref="D56:I56" si="18">D55/D22</f>
        <v>0.2</v>
      </c>
      <c r="E56" s="116">
        <f t="shared" si="18"/>
        <v>0.25142857142857145</v>
      </c>
      <c r="F56" s="116">
        <f t="shared" si="18"/>
        <v>0.27009403254972875</v>
      </c>
      <c r="G56" s="116">
        <f t="shared" si="18"/>
        <v>0.25280420844977808</v>
      </c>
      <c r="H56" s="116">
        <f t="shared" si="18"/>
        <v>0.24781401815120718</v>
      </c>
      <c r="I56" s="116">
        <f t="shared" si="18"/>
        <v>0.26217217702597023</v>
      </c>
      <c r="K56" s="117"/>
    </row>
    <row r="57" spans="2:11">
      <c r="B57" s="2" t="s">
        <v>368</v>
      </c>
      <c r="C57" s="102" t="str">
        <f>$C$15</f>
        <v>$</v>
      </c>
      <c r="D57" s="107">
        <f t="shared" ref="D57:I57" si="19">D55*D36</f>
        <v>239999.99999999994</v>
      </c>
      <c r="E57" s="107">
        <f t="shared" si="19"/>
        <v>6160000</v>
      </c>
      <c r="F57" s="107">
        <f t="shared" si="19"/>
        <v>57109000</v>
      </c>
      <c r="G57" s="107">
        <f t="shared" si="19"/>
        <v>330920708.86075944</v>
      </c>
      <c r="H57" s="107">
        <f t="shared" si="19"/>
        <v>689914226.53296077</v>
      </c>
      <c r="I57" s="107">
        <f t="shared" si="19"/>
        <v>1078576336.2848415</v>
      </c>
    </row>
    <row r="58" spans="2:11">
      <c r="C58" s="102"/>
      <c r="D58" s="107"/>
      <c r="E58" s="107"/>
      <c r="F58" s="107"/>
      <c r="G58" s="107"/>
      <c r="H58" s="107"/>
      <c r="I58" s="107"/>
    </row>
    <row r="59" spans="2:11">
      <c r="B59" s="2" t="s">
        <v>370</v>
      </c>
      <c r="C59" s="102" t="s">
        <v>170</v>
      </c>
      <c r="D59" s="121">
        <f>IFERROR(D57/(SUM($D53:D53)),"na")</f>
        <v>0.23999999999999994</v>
      </c>
      <c r="E59" s="121">
        <f>IFERROR(E57/(SUM($D53:E53)),"na")</f>
        <v>1.0266666666666666</v>
      </c>
      <c r="F59" s="121">
        <f>IFERROR(F57/(SUM($D53:F53)),"na")</f>
        <v>2.4301702127659572</v>
      </c>
      <c r="G59" s="121">
        <f>IFERROR(G57/(SUM($D53:G53)),"na")</f>
        <v>5.656764254030076</v>
      </c>
      <c r="H59" s="121">
        <f>IFERROR(H57/(SUM($D53:H53)),"na")</f>
        <v>5.3689823076495005</v>
      </c>
      <c r="I59" s="121">
        <f>IFERROR(I57/(SUM($D53:I53)),"na")</f>
        <v>4.0170440829975478</v>
      </c>
      <c r="K59" s="111" t="s">
        <v>395</v>
      </c>
    </row>
    <row r="60" spans="2:11">
      <c r="B60" s="2" t="s">
        <v>371</v>
      </c>
      <c r="C60" s="102" t="s">
        <v>50</v>
      </c>
      <c r="D60" s="120">
        <f>IFERROR((D57-SUM($D53:D53))/(SUM($D53:D53)),"na")</f>
        <v>-0.76</v>
      </c>
      <c r="E60" s="120">
        <f>IFERROR((E57-SUM($D53:E53))/(SUM($D53:E53)),"na")</f>
        <v>2.6666666666666668E-2</v>
      </c>
      <c r="F60" s="120">
        <f>IFERROR((F57-SUM($D53:F53))/(SUM($D53:F53)),"na")</f>
        <v>1.4301702127659575</v>
      </c>
      <c r="G60" s="120">
        <f>IFERROR((G57-SUM($D53:G53))/(SUM($D53:G53)),"na")</f>
        <v>4.656764254030076</v>
      </c>
      <c r="H60" s="120">
        <f>IFERROR((H57-SUM($D53:H53))/(SUM($D53:H53)),"na")</f>
        <v>4.3689823076495005</v>
      </c>
      <c r="I60" s="120">
        <f>IFERROR((I57-SUM($D53:I53))/(SUM($D53:I53)),"na")</f>
        <v>3.0170440829975478</v>
      </c>
      <c r="K60" s="111" t="s">
        <v>396</v>
      </c>
    </row>
    <row r="61" spans="2:11">
      <c r="B61" s="11" t="s">
        <v>373</v>
      </c>
      <c r="C61" s="126" t="s">
        <v>50</v>
      </c>
      <c r="D61" s="118">
        <f t="shared" ref="D61:I61" ca="1" si="20">IFERROR(LOOKUP(2,1/(ISNUMBER(D85:D90)),D85:D90),"na")</f>
        <v>-0.75999999754130854</v>
      </c>
      <c r="E61" s="118">
        <f t="shared" ca="1" si="20"/>
        <v>2.1185663342475892E-2</v>
      </c>
      <c r="F61" s="118">
        <f t="shared" ca="1" si="20"/>
        <v>0.70131539106369023</v>
      </c>
      <c r="G61" s="118">
        <f t="shared" ca="1" si="20"/>
        <v>1.0787555575370791</v>
      </c>
      <c r="H61" s="118">
        <f t="shared" ca="1" si="20"/>
        <v>0.8280052304267882</v>
      </c>
      <c r="I61" s="118">
        <f t="shared" ca="1" si="20"/>
        <v>0.59170518517494208</v>
      </c>
      <c r="K61" s="111" t="s">
        <v>397</v>
      </c>
    </row>
    <row r="62" spans="2:11">
      <c r="C62" s="102"/>
      <c r="D62" s="102"/>
      <c r="E62" s="102"/>
      <c r="F62" s="102"/>
      <c r="G62" s="102"/>
      <c r="H62" s="102"/>
      <c r="I62" s="102"/>
    </row>
    <row r="63" spans="2:11">
      <c r="C63" s="102"/>
      <c r="D63" s="107"/>
      <c r="E63" s="107"/>
      <c r="F63" s="107"/>
      <c r="G63" s="107"/>
      <c r="H63" s="107"/>
      <c r="I63" s="107"/>
    </row>
    <row r="64" spans="2:11">
      <c r="B64" s="19" t="s">
        <v>379</v>
      </c>
      <c r="C64" s="102"/>
      <c r="D64" s="107"/>
      <c r="E64" s="107"/>
      <c r="F64" s="107"/>
      <c r="G64" s="107"/>
      <c r="H64" s="107"/>
      <c r="I64" s="107"/>
    </row>
    <row r="65" spans="2:11">
      <c r="B65" s="34" t="s">
        <v>383</v>
      </c>
      <c r="C65" s="102"/>
      <c r="D65" s="107"/>
      <c r="E65" s="107"/>
      <c r="F65" s="107"/>
      <c r="G65" s="107"/>
      <c r="H65" s="107"/>
      <c r="I65" s="107"/>
    </row>
    <row r="66" spans="2:11">
      <c r="B66" s="34" t="s">
        <v>384</v>
      </c>
      <c r="C66" s="102"/>
      <c r="D66" s="107"/>
      <c r="E66" s="107"/>
      <c r="F66" s="107"/>
      <c r="G66" s="107"/>
      <c r="H66" s="107"/>
      <c r="I66" s="107"/>
    </row>
    <row r="67" spans="2:11">
      <c r="B67" s="19"/>
      <c r="C67" s="102"/>
      <c r="D67" s="107"/>
      <c r="E67" s="107"/>
      <c r="F67" s="107"/>
      <c r="G67" s="107"/>
      <c r="H67" s="107"/>
      <c r="I67" s="107"/>
    </row>
    <row r="68" spans="2:11">
      <c r="B68" s="2" t="s">
        <v>377</v>
      </c>
      <c r="C68" s="102"/>
      <c r="D68" s="122" t="str">
        <f t="shared" ref="D68:I68" si="21">D6</f>
        <v>Seed</v>
      </c>
      <c r="E68" s="122" t="str">
        <f t="shared" si="21"/>
        <v>A</v>
      </c>
      <c r="F68" s="122" t="str">
        <f t="shared" si="21"/>
        <v>B</v>
      </c>
      <c r="G68" s="122" t="str">
        <f t="shared" si="21"/>
        <v>C</v>
      </c>
      <c r="H68" s="122" t="str">
        <f t="shared" si="21"/>
        <v>D</v>
      </c>
      <c r="I68" s="122" t="str">
        <f t="shared" si="21"/>
        <v>E</v>
      </c>
      <c r="K68" s="111" t="s">
        <v>398</v>
      </c>
    </row>
    <row r="69" spans="2:11">
      <c r="B69" s="41" t="str">
        <f>D$6</f>
        <v>Seed</v>
      </c>
      <c r="C69" s="102" t="str">
        <f t="shared" ref="C69:C74" si="22">$C$15</f>
        <v>$</v>
      </c>
      <c r="D69" s="107">
        <f t="shared" ref="D69:I69" si="23">IF(INDEX($D$54:$I$54,0,MATCH($B$69,$D$6:$I$6,0))=0,0,IF(INDEX($D$14:$I$14,0,MATCH($B69,$D$6:$I$6,0))&gt;INDEX($D$14:$I$14,0,MATCH(D$68,$D$6:$I$6,0)),0,SUM($D$54:$D$54)*D$36))</f>
        <v>239999.99999999994</v>
      </c>
      <c r="E69" s="107">
        <f t="shared" si="23"/>
        <v>3360000</v>
      </c>
      <c r="F69" s="107">
        <f t="shared" si="23"/>
        <v>22464000.000000004</v>
      </c>
      <c r="G69" s="107">
        <f t="shared" si="23"/>
        <v>113785518.98734176</v>
      </c>
      <c r="H69" s="107">
        <f t="shared" si="23"/>
        <v>211229038.3034687</v>
      </c>
      <c r="I69" s="107">
        <f t="shared" si="23"/>
        <v>285432342.70748901</v>
      </c>
    </row>
    <row r="70" spans="2:11">
      <c r="B70" s="41" t="str">
        <f>E$6</f>
        <v>A</v>
      </c>
      <c r="C70" s="102" t="str">
        <f t="shared" si="22"/>
        <v>$</v>
      </c>
      <c r="D70" s="107">
        <f t="shared" ref="D70:I70" si="24">IF(INDEX($D$54:$I$54,0,MATCH($B$70,$D$6:$I$6,0))=0,0,IF(INDEX($D$14:$I$14,0,MATCH($B70,$D$6:$I$6,0))&gt;INDEX($D$14:$I$14,0,MATCH(D$68,$D$6:$I$6,0)),0,SUM($D$54:$E$54)*D$36))</f>
        <v>0</v>
      </c>
      <c r="E70" s="107">
        <f t="shared" si="24"/>
        <v>6160000</v>
      </c>
      <c r="F70" s="107">
        <f t="shared" si="24"/>
        <v>41184000</v>
      </c>
      <c r="G70" s="107">
        <f t="shared" si="24"/>
        <v>208606784.81012654</v>
      </c>
      <c r="H70" s="107">
        <f t="shared" si="24"/>
        <v>387253236.8896926</v>
      </c>
      <c r="I70" s="107">
        <f t="shared" si="24"/>
        <v>523292628.29706311</v>
      </c>
    </row>
    <row r="71" spans="2:11">
      <c r="B71" s="41" t="str">
        <f>F$6</f>
        <v>B</v>
      </c>
      <c r="C71" s="102" t="str">
        <f t="shared" si="22"/>
        <v>$</v>
      </c>
      <c r="D71" s="107">
        <f t="shared" ref="D71:I71" si="25">IF(INDEX($D$54:$I$54,0,MATCH($B$71,$D$6:$I$6,0))=0,0,IF(INDEX($D$14:$I$14,0,MATCH($B71,$D$6:$I$6,0))&gt;INDEX($D$14:$I$14,0,MATCH(D$68,$D$6:$I$6,0)),0,SUM($D$54:$F$54)*D$36))</f>
        <v>0</v>
      </c>
      <c r="E71" s="107">
        <f t="shared" si="25"/>
        <v>0</v>
      </c>
      <c r="F71" s="107">
        <f t="shared" si="25"/>
        <v>57109000</v>
      </c>
      <c r="G71" s="107">
        <f t="shared" si="25"/>
        <v>289270708.86075944</v>
      </c>
      <c r="H71" s="107">
        <f t="shared" si="25"/>
        <v>536996044.7147789</v>
      </c>
      <c r="I71" s="107">
        <f t="shared" si="25"/>
        <v>725639051.80208278</v>
      </c>
    </row>
    <row r="72" spans="2:11">
      <c r="B72" s="41" t="str">
        <f>G$6</f>
        <v>C</v>
      </c>
      <c r="C72" s="102" t="str">
        <f t="shared" si="22"/>
        <v>$</v>
      </c>
      <c r="D72" s="107">
        <f t="shared" ref="D72:I72" si="26">IF(INDEX($D$54:$I$54,0,MATCH($B$72,$D$6:$I$6,0))=0,0,IF(INDEX($D$14:$I$14,0,MATCH($B72,$D$6:$I$6,0))&gt;INDEX($D$14:$I$14,0,MATCH(D$68,$D$6:$I$6,0)),0,SUM($D$54:$G$54)*D$36))</f>
        <v>0</v>
      </c>
      <c r="E72" s="107">
        <f t="shared" si="26"/>
        <v>0</v>
      </c>
      <c r="F72" s="107">
        <f t="shared" si="26"/>
        <v>0</v>
      </c>
      <c r="G72" s="107">
        <f t="shared" si="26"/>
        <v>330920708.86075944</v>
      </c>
      <c r="H72" s="107">
        <f t="shared" si="26"/>
        <v>614314226.53296077</v>
      </c>
      <c r="I72" s="107">
        <f t="shared" si="26"/>
        <v>830118577.66415179</v>
      </c>
    </row>
    <row r="73" spans="2:11">
      <c r="B73" s="41" t="str">
        <f>H$6</f>
        <v>D</v>
      </c>
      <c r="C73" s="102" t="str">
        <f t="shared" si="22"/>
        <v>$</v>
      </c>
      <c r="D73" s="107">
        <f t="shared" ref="D73:I73" si="27">IF(INDEX($D$54:$I$54,0,MATCH($B$73,$D$6:$I$6,0))=0,0,IF(INDEX($D$14:$I$14,0,MATCH($B73,$D$6:$I$6,0))&gt;INDEX($D$14:$I$14,0,MATCH(D$68,$D$6:$I$6,0)),0,SUM($D$54:$H$54)*D$36))</f>
        <v>0</v>
      </c>
      <c r="E73" s="107">
        <f t="shared" si="27"/>
        <v>0</v>
      </c>
      <c r="F73" s="107">
        <f t="shared" si="27"/>
        <v>0</v>
      </c>
      <c r="G73" s="107">
        <f t="shared" si="27"/>
        <v>0</v>
      </c>
      <c r="H73" s="107">
        <f t="shared" si="27"/>
        <v>689914226.53296077</v>
      </c>
      <c r="I73" s="107">
        <f t="shared" si="27"/>
        <v>932276336.28484154</v>
      </c>
    </row>
    <row r="74" spans="2:11">
      <c r="B74" s="41" t="str">
        <f>I$6</f>
        <v>E</v>
      </c>
      <c r="C74" s="102" t="str">
        <f t="shared" si="22"/>
        <v>$</v>
      </c>
      <c r="D74" s="107">
        <f t="shared" ref="D74:I74" si="28">IF(INDEX($D$54:$I$54,0,MATCH($B$74,$D$6:$I$6,0))=0,0,IF(INDEX($D$14:$I$14,0,MATCH($B74,$D$6:$I$6,0))&gt;INDEX($D$14:$I$14,0,MATCH(D$68,$D$6:$I$6,0)),0,SUM($D$54:$I$54)*D$36))</f>
        <v>0</v>
      </c>
      <c r="E74" s="107">
        <f t="shared" si="28"/>
        <v>0</v>
      </c>
      <c r="F74" s="107">
        <f t="shared" si="28"/>
        <v>0</v>
      </c>
      <c r="G74" s="107">
        <f t="shared" si="28"/>
        <v>0</v>
      </c>
      <c r="H74" s="107">
        <f t="shared" si="28"/>
        <v>0</v>
      </c>
      <c r="I74" s="107">
        <f t="shared" si="28"/>
        <v>1078576336.2848415</v>
      </c>
    </row>
    <row r="75" spans="2:11">
      <c r="C75" s="102"/>
      <c r="D75" s="107"/>
      <c r="E75" s="107"/>
      <c r="F75" s="107"/>
      <c r="G75" s="107"/>
      <c r="H75" s="107"/>
      <c r="I75" s="107"/>
    </row>
    <row r="76" spans="2:11">
      <c r="B76" s="2" t="s">
        <v>381</v>
      </c>
      <c r="C76" s="102"/>
      <c r="D76" s="122" t="str">
        <f t="shared" ref="D76:I76" si="29">D6</f>
        <v>Seed</v>
      </c>
      <c r="E76" s="122" t="str">
        <f t="shared" si="29"/>
        <v>A</v>
      </c>
      <c r="F76" s="122" t="str">
        <f t="shared" si="29"/>
        <v>B</v>
      </c>
      <c r="G76" s="122" t="str">
        <f t="shared" si="29"/>
        <v>C</v>
      </c>
      <c r="H76" s="122" t="str">
        <f t="shared" si="29"/>
        <v>D</v>
      </c>
      <c r="I76" s="122" t="str">
        <f t="shared" si="29"/>
        <v>E</v>
      </c>
    </row>
    <row r="77" spans="2:11">
      <c r="B77" s="41" t="str">
        <f>D$6</f>
        <v>Seed</v>
      </c>
      <c r="C77" s="102" t="s">
        <v>170</v>
      </c>
      <c r="D77" s="49">
        <f t="shared" ref="D77:I77" si="30">IFERROR(D69/(SUM($D$53:$D$53)),0)</f>
        <v>0.23999999999999994</v>
      </c>
      <c r="E77" s="49">
        <f t="shared" si="30"/>
        <v>3.36</v>
      </c>
      <c r="F77" s="49">
        <f t="shared" si="30"/>
        <v>22.464000000000002</v>
      </c>
      <c r="G77" s="49">
        <f t="shared" si="30"/>
        <v>113.78551898734176</v>
      </c>
      <c r="H77" s="49">
        <f t="shared" si="30"/>
        <v>211.22903830346871</v>
      </c>
      <c r="I77" s="49">
        <f t="shared" si="30"/>
        <v>285.432342707489</v>
      </c>
    </row>
    <row r="78" spans="2:11">
      <c r="B78" s="41" t="str">
        <f>E$6</f>
        <v>A</v>
      </c>
      <c r="C78" s="102" t="s">
        <v>170</v>
      </c>
      <c r="D78" s="49">
        <f>IFERROR(D70/(SUM($D$53:$D$53)),0)</f>
        <v>0</v>
      </c>
      <c r="E78" s="49">
        <f>IFERROR(E70/(SUM($D$53:$E$53)),0)</f>
        <v>1.0266666666666666</v>
      </c>
      <c r="F78" s="49">
        <f>IFERROR(F70/(SUM($D$53:$E$53)),0)</f>
        <v>6.8639999999999999</v>
      </c>
      <c r="G78" s="49">
        <f>IFERROR(G70/(SUM($D$53:$E$53)),0)</f>
        <v>34.767797468354424</v>
      </c>
      <c r="H78" s="49">
        <f>IFERROR(H70/(SUM($D$53:$E$53)),0)</f>
        <v>64.542206148282105</v>
      </c>
      <c r="I78" s="49">
        <f>IFERROR(I70/(SUM($D$53:$E$53)),0)</f>
        <v>87.215438049510524</v>
      </c>
    </row>
    <row r="79" spans="2:11">
      <c r="B79" s="41" t="str">
        <f>F$6</f>
        <v>B</v>
      </c>
      <c r="C79" s="102" t="s">
        <v>170</v>
      </c>
      <c r="D79" s="49">
        <f>IFERROR(D71/(SUM($D$53:$D$53)),0)</f>
        <v>0</v>
      </c>
      <c r="E79" s="49">
        <f>IFERROR(E71/(SUM($D$53:$E$53)),0)</f>
        <v>0</v>
      </c>
      <c r="F79" s="49">
        <f>IFERROR(F71/(SUM($D$53:$F$53)),0)</f>
        <v>2.4301702127659572</v>
      </c>
      <c r="G79" s="49">
        <f>IFERROR(G71/(SUM($D$53:$F$53)),0)</f>
        <v>12.309391866415295</v>
      </c>
      <c r="H79" s="49">
        <f>IFERROR(H71/(SUM($D$53:$F$53)),0)</f>
        <v>22.850895519777826</v>
      </c>
      <c r="I79" s="49">
        <f>IFERROR(I71/(SUM($D$53:$F$53)),0)</f>
        <v>30.878257523492884</v>
      </c>
    </row>
    <row r="80" spans="2:11">
      <c r="B80" s="41" t="str">
        <f>G$6</f>
        <v>C</v>
      </c>
      <c r="C80" s="102" t="s">
        <v>170</v>
      </c>
      <c r="D80" s="49">
        <f>IFERROR(D72/(SUM($D$53:$D$53)),0)</f>
        <v>0</v>
      </c>
      <c r="E80" s="49">
        <f>IFERROR(E72/(SUM($D$53:$E$53)),0)</f>
        <v>0</v>
      </c>
      <c r="F80" s="49">
        <f>IFERROR(F72/(SUM($D$53:$F$53)),0)</f>
        <v>0</v>
      </c>
      <c r="G80" s="49">
        <f>IFERROR(G72/(SUM($D$53:$G$53)),0)</f>
        <v>5.656764254030076</v>
      </c>
      <c r="H80" s="49">
        <f>IFERROR(H72/(SUM($D$53:$G$53)),0)</f>
        <v>10.501097889452321</v>
      </c>
      <c r="I80" s="49">
        <f>IFERROR(I72/(SUM($D$53:$G$53)),0)</f>
        <v>14.190061156652167</v>
      </c>
    </row>
    <row r="81" spans="2:11">
      <c r="B81" s="41" t="str">
        <f>H$6</f>
        <v>D</v>
      </c>
      <c r="C81" s="102" t="s">
        <v>170</v>
      </c>
      <c r="D81" s="49">
        <f>IFERROR(D73/(SUM($D$53:$D$53)),0)</f>
        <v>0</v>
      </c>
      <c r="E81" s="49">
        <f>IFERROR(E73/(SUM($D$53:$E$53)),0)</f>
        <v>0</v>
      </c>
      <c r="F81" s="49">
        <f>IFERROR(F73/(SUM($D$53:$F$53)),0)</f>
        <v>0</v>
      </c>
      <c r="G81" s="49">
        <f>IFERROR(G73/(SUM($D$53:$G$53)),0)</f>
        <v>0</v>
      </c>
      <c r="H81" s="49">
        <f>IFERROR(H73/(SUM($D$53:$H$53)),0)</f>
        <v>5.3689823076495005</v>
      </c>
      <c r="I81" s="49">
        <f>IFERROR(I73/(SUM($D$53:$H$53)),0)</f>
        <v>7.25506876486258</v>
      </c>
    </row>
    <row r="82" spans="2:11">
      <c r="B82" s="41" t="str">
        <f>I$6</f>
        <v>E</v>
      </c>
      <c r="C82" s="102" t="s">
        <v>170</v>
      </c>
      <c r="D82" s="49">
        <f>IFERROR(D74/(SUM($D$53:$D$53)),0)</f>
        <v>0</v>
      </c>
      <c r="E82" s="49">
        <f>IFERROR(E74/(SUM($D$53:$E$53)),0)</f>
        <v>0</v>
      </c>
      <c r="F82" s="49">
        <f>IFERROR(F74/(SUM($D$53:$F$53)),0)</f>
        <v>0</v>
      </c>
      <c r="G82" s="49">
        <f>IFERROR(G74/(SUM($D$53:$G$53)),0)</f>
        <v>0</v>
      </c>
      <c r="H82" s="49">
        <f>IFERROR(H74/(SUM($D$53:$H$53)),0)</f>
        <v>0</v>
      </c>
      <c r="I82" s="49">
        <f>IFERROR(I74/(SUM($D$53:$I$53)),0)</f>
        <v>4.0170440829975478</v>
      </c>
    </row>
    <row r="83" spans="2:11">
      <c r="C83" s="102"/>
      <c r="D83" s="107"/>
      <c r="E83" s="107"/>
      <c r="F83" s="107"/>
      <c r="G83" s="107"/>
      <c r="H83" s="107"/>
      <c r="I83" s="107"/>
    </row>
    <row r="84" spans="2:11">
      <c r="B84" s="2" t="s">
        <v>375</v>
      </c>
      <c r="C84" s="102"/>
      <c r="D84" s="122" t="str">
        <f t="shared" ref="D84:I84" si="31">D6</f>
        <v>Seed</v>
      </c>
      <c r="E84" s="122" t="str">
        <f t="shared" si="31"/>
        <v>A</v>
      </c>
      <c r="F84" s="122" t="str">
        <f t="shared" si="31"/>
        <v>B</v>
      </c>
      <c r="G84" s="122" t="str">
        <f t="shared" si="31"/>
        <v>C</v>
      </c>
      <c r="H84" s="122" t="str">
        <f t="shared" si="31"/>
        <v>D</v>
      </c>
      <c r="I84" s="122" t="str">
        <f t="shared" si="31"/>
        <v>E</v>
      </c>
      <c r="K84" s="111" t="s">
        <v>399</v>
      </c>
    </row>
    <row r="85" spans="2:11">
      <c r="B85" s="41" t="str">
        <f>D$6</f>
        <v>Seed</v>
      </c>
      <c r="C85" s="102" t="s">
        <v>50</v>
      </c>
      <c r="D85" s="123">
        <f t="shared" ref="D85:I85" ca="1" si="32">INDEX($P109:$P114,MATCH(D$34,$J$108:$O$108,0))</f>
        <v>-0.75999999754130854</v>
      </c>
      <c r="E85" s="123">
        <f t="shared" ca="1" si="32"/>
        <v>0.62424349188804629</v>
      </c>
      <c r="F85" s="123">
        <f t="shared" ca="1" si="32"/>
        <v>1.1759079098701479</v>
      </c>
      <c r="G85" s="123">
        <f t="shared" ca="1" si="32"/>
        <v>1.3655227541923527</v>
      </c>
      <c r="H85" s="123">
        <f t="shared" ca="1" si="32"/>
        <v>1.147078359127045</v>
      </c>
      <c r="I85" s="123">
        <f t="shared" ca="1" si="32"/>
        <v>0.94462641477584852</v>
      </c>
    </row>
    <row r="86" spans="2:11">
      <c r="B86" s="41" t="str">
        <f>E$6</f>
        <v>A</v>
      </c>
      <c r="C86" s="102" t="s">
        <v>50</v>
      </c>
      <c r="D86" s="123" t="str">
        <f t="shared" ref="D86:I86" ca="1" si="33">INDEX($P116:$P121,MATCH(D$34,$J$108:$O$108,0))</f>
        <v>na</v>
      </c>
      <c r="E86" s="123">
        <f t="shared" ca="1" si="33"/>
        <v>2.1185663342475892E-2</v>
      </c>
      <c r="F86" s="123">
        <f t="shared" ca="1" si="33"/>
        <v>0.95042604207992554</v>
      </c>
      <c r="G86" s="123">
        <f t="shared" ca="1" si="33"/>
        <v>1.2356731772422793</v>
      </c>
      <c r="H86" s="123">
        <f t="shared" ca="1" si="33"/>
        <v>1.0277454257011416</v>
      </c>
      <c r="I86" s="123">
        <f t="shared" ca="1" si="33"/>
        <v>0.83385850191116329</v>
      </c>
    </row>
    <row r="87" spans="2:11">
      <c r="B87" s="41" t="str">
        <f>F$6</f>
        <v>B</v>
      </c>
      <c r="C87" s="102" t="s">
        <v>50</v>
      </c>
      <c r="D87" s="123" t="str">
        <f t="shared" ref="D87:I87" ca="1" si="34">INDEX($P123:$P128,MATCH(D$34,$J$108:$O$108,0))</f>
        <v>na</v>
      </c>
      <c r="E87" s="123" t="str">
        <f t="shared" ca="1" si="34"/>
        <v>na</v>
      </c>
      <c r="F87" s="123">
        <f t="shared" ca="1" si="34"/>
        <v>0.70131539106369023</v>
      </c>
      <c r="G87" s="123">
        <f t="shared" ca="1" si="34"/>
        <v>1.1434364914894104</v>
      </c>
      <c r="H87" s="123">
        <f t="shared" ca="1" si="34"/>
        <v>0.93457933664321913</v>
      </c>
      <c r="I87" s="123">
        <f t="shared" ca="1" si="34"/>
        <v>0.74172877073287968</v>
      </c>
    </row>
    <row r="88" spans="2:11">
      <c r="B88" s="41" t="str">
        <f>G$6</f>
        <v>C</v>
      </c>
      <c r="C88" s="102" t="s">
        <v>50</v>
      </c>
      <c r="D88" s="123" t="str">
        <f t="shared" ref="D88:I88" ca="1" si="35">INDEX($P130:$P135,MATCH(D$34,$J$108:$O$108,0))</f>
        <v>na</v>
      </c>
      <c r="E88" s="123" t="str">
        <f t="shared" ca="1" si="35"/>
        <v>na</v>
      </c>
      <c r="F88" s="123" t="str">
        <f t="shared" ca="1" si="35"/>
        <v>na</v>
      </c>
      <c r="G88" s="123">
        <f t="shared" ca="1" si="35"/>
        <v>1.0787555575370791</v>
      </c>
      <c r="H88" s="123">
        <f t="shared" ca="1" si="35"/>
        <v>0.86607216596603398</v>
      </c>
      <c r="I88" s="123">
        <f t="shared" ca="1" si="35"/>
        <v>0.67146843075752261</v>
      </c>
    </row>
    <row r="89" spans="2:11">
      <c r="B89" s="41" t="str">
        <f>H$6</f>
        <v>D</v>
      </c>
      <c r="C89" s="102" t="s">
        <v>50</v>
      </c>
      <c r="D89" s="123" t="str">
        <f t="shared" ref="D89:I89" ca="1" si="36">INDEX($P137:$P142,MATCH(D$34,$J$108:$O$108,0))</f>
        <v>na</v>
      </c>
      <c r="E89" s="123" t="str">
        <f t="shared" ca="1" si="36"/>
        <v>na</v>
      </c>
      <c r="F89" s="123" t="str">
        <f t="shared" ca="1" si="36"/>
        <v>na</v>
      </c>
      <c r="G89" s="123" t="str">
        <f t="shared" ca="1" si="36"/>
        <v>na</v>
      </c>
      <c r="H89" s="123">
        <f t="shared" ca="1" si="36"/>
        <v>0.8280052304267882</v>
      </c>
      <c r="I89" s="123">
        <f t="shared" ca="1" si="36"/>
        <v>0.53287493586540235</v>
      </c>
    </row>
    <row r="90" spans="2:11">
      <c r="B90" s="41" t="str">
        <f>I$6</f>
        <v>E</v>
      </c>
      <c r="C90" s="102" t="s">
        <v>50</v>
      </c>
      <c r="D90" s="123" t="str">
        <f t="shared" ref="D90:I90" ca="1" si="37">INDEX($P144:$P149,MATCH(D$34,$J$108:$O$108,0))</f>
        <v>na</v>
      </c>
      <c r="E90" s="123" t="str">
        <f t="shared" ca="1" si="37"/>
        <v>na</v>
      </c>
      <c r="F90" s="123" t="str">
        <f t="shared" ca="1" si="37"/>
        <v>na</v>
      </c>
      <c r="G90" s="123" t="str">
        <f t="shared" ca="1" si="37"/>
        <v>na</v>
      </c>
      <c r="H90" s="123" t="str">
        <f t="shared" ca="1" si="37"/>
        <v>na</v>
      </c>
      <c r="I90" s="123">
        <f t="shared" ca="1" si="37"/>
        <v>0.59170518517494208</v>
      </c>
    </row>
    <row r="91" spans="2:11">
      <c r="C91" s="102"/>
      <c r="D91" s="107"/>
      <c r="E91" s="107"/>
      <c r="F91" s="107"/>
      <c r="G91" s="107"/>
      <c r="H91" s="107"/>
      <c r="I91" s="107"/>
    </row>
    <row r="92" spans="2:11">
      <c r="C92" s="102"/>
      <c r="D92" s="107"/>
      <c r="E92" s="107"/>
      <c r="F92" s="107"/>
      <c r="G92" s="107"/>
      <c r="H92" s="107"/>
      <c r="I92" s="107"/>
    </row>
    <row r="93" spans="2:11">
      <c r="B93" s="19" t="s">
        <v>380</v>
      </c>
      <c r="D93" s="6"/>
      <c r="E93" s="6"/>
      <c r="F93" s="6"/>
      <c r="G93" s="6"/>
      <c r="H93" s="6"/>
      <c r="I93" s="6"/>
    </row>
    <row r="94" spans="2:11">
      <c r="B94" s="34" t="s">
        <v>382</v>
      </c>
      <c r="D94" s="6"/>
      <c r="E94" s="6"/>
      <c r="F94" s="6"/>
      <c r="G94" s="6"/>
      <c r="H94" s="6"/>
      <c r="I94" s="6"/>
    </row>
    <row r="95" spans="2:11">
      <c r="B95" s="19"/>
      <c r="D95" s="6"/>
      <c r="E95" s="6"/>
      <c r="F95" s="6"/>
      <c r="G95" s="6"/>
      <c r="H95" s="6"/>
      <c r="I95" s="6"/>
    </row>
    <row r="96" spans="2:11">
      <c r="B96" s="2" t="s">
        <v>370</v>
      </c>
      <c r="C96" s="102" t="s">
        <v>170</v>
      </c>
      <c r="D96" s="87">
        <f>IFERROR(SUMPRODUCT($D59:D59,$D$30:D$30)/SUM($D$30:D$30),0)</f>
        <v>0.23999999999999994</v>
      </c>
      <c r="E96" s="87">
        <f>IFERROR(SUMPRODUCT($D59:E59,$D$30:E$30)/SUM($D$30:E$30),0)</f>
        <v>0.57714285714285718</v>
      </c>
      <c r="F96" s="87">
        <f>IFERROR(SUMPRODUCT($D59:F59,$D$30:F$30)/SUM($D$30:F$30),0)</f>
        <v>0.75646808510638297</v>
      </c>
      <c r="G96" s="87">
        <f>IFERROR(SUMPRODUCT($D59:G59,$D$30:G$30)/SUM($D$30:G$30),0)</f>
        <v>0.87222311271875363</v>
      </c>
      <c r="H96" s="87">
        <f>IFERROR(SUMPRODUCT($D59:H59,$D$30:H$30)/SUM($D$30:H$30),0)</f>
        <v>0.89862287315866018</v>
      </c>
      <c r="I96" s="87">
        <f>IFERROR(SUMPRODUCT($D59:I59,$D$30:I$30)/SUM($D$30:I$30),0)</f>
        <v>0.9047135395841267</v>
      </c>
    </row>
    <row r="97" spans="2:16">
      <c r="B97" s="2" t="s">
        <v>371</v>
      </c>
      <c r="C97" s="102" t="s">
        <v>50</v>
      </c>
      <c r="D97" s="5">
        <f>IFERROR(SUMPRODUCT($D60:D60,$D$30:D$30)/SUM($D$30:D$30),0)</f>
        <v>-0.76</v>
      </c>
      <c r="E97" s="5">
        <f>IFERROR(SUMPRODUCT($D60:E60,$D$30:E$30)/SUM($D$30:E$30),0)</f>
        <v>-0.42285714285714288</v>
      </c>
      <c r="F97" s="5">
        <f>IFERROR(SUMPRODUCT($D60:F60,$D$30:F$30)/SUM($D$30:F$30),0)</f>
        <v>-0.243531914893617</v>
      </c>
      <c r="G97" s="5">
        <f>IFERROR(SUMPRODUCT($D60:G60,$D$30:G$30)/SUM($D$30:G$30),0)</f>
        <v>-0.12777688728124631</v>
      </c>
      <c r="H97" s="5">
        <f>IFERROR(SUMPRODUCT($D60:H60,$D$30:H$30)/SUM($D$30:H$30),0)</f>
        <v>-0.10137712684133977</v>
      </c>
      <c r="I97" s="5">
        <f>IFERROR(SUMPRODUCT($D60:I60,$D$30:I$30)/SUM($D$30:I$30),0)</f>
        <v>-9.5286460415873186E-2</v>
      </c>
      <c r="K97" s="111" t="s">
        <v>400</v>
      </c>
    </row>
    <row r="98" spans="2:16">
      <c r="B98" s="2" t="s">
        <v>373</v>
      </c>
      <c r="C98" s="102" t="s">
        <v>50</v>
      </c>
      <c r="D98" s="5">
        <f ca="1">IFERROR(SUMPRODUCT($D61:D61,$D$30:D$30)/SUM($D$30:D$30),0)</f>
        <v>-0.75999999754130854</v>
      </c>
      <c r="E98" s="5">
        <f ca="1">IFERROR(SUMPRODUCT($D61:E61,$D$30:E$30)/SUM($D$30:E$30),0)</f>
        <v>-0.42520614287682951</v>
      </c>
      <c r="F98" s="5">
        <f ca="1">IFERROR(SUMPRODUCT($D61:F61,$D$30:F$30)/SUM($D$30:F$30),0)</f>
        <v>-0.31618792991484368</v>
      </c>
      <c r="G98" s="5">
        <f ca="1">IFERROR(SUMPRODUCT($D61:G61,$D$30:G$30)/SUM($D$30:G$30),0)</f>
        <v>-0.28323650895141245</v>
      </c>
      <c r="H98" s="5">
        <f ca="1">IFERROR(SUMPRODUCT($D61:H61,$D$30:H$30)/SUM($D$30:H$30),0)</f>
        <v>-0.2767125848454739</v>
      </c>
      <c r="I98" s="5">
        <f ca="1">IFERROR(SUMPRODUCT($D61:I61,$D$30:I$30)/SUM($D$30:I$30),0)</f>
        <v>-0.27501645638840277</v>
      </c>
      <c r="K98" s="111" t="s">
        <v>401</v>
      </c>
    </row>
    <row r="99" spans="2:16">
      <c r="D99" s="6"/>
      <c r="E99" s="6"/>
      <c r="F99" s="6"/>
      <c r="G99" s="6"/>
      <c r="H99" s="6"/>
      <c r="I99" s="6"/>
    </row>
    <row r="100" spans="2:16">
      <c r="D100" s="6"/>
      <c r="E100" s="6"/>
      <c r="F100" s="6"/>
      <c r="G100" s="6"/>
      <c r="H100" s="6"/>
      <c r="I100" s="6"/>
    </row>
    <row r="101" spans="2:16">
      <c r="B101" s="33" t="s">
        <v>54</v>
      </c>
      <c r="E101" s="2"/>
    </row>
    <row r="102" spans="2:16">
      <c r="B102" s="2" t="s">
        <v>326</v>
      </c>
    </row>
    <row r="103" spans="2:16">
      <c r="B103" s="2" t="s">
        <v>327</v>
      </c>
    </row>
    <row r="106" spans="2:16">
      <c r="B106" s="34" t="s">
        <v>378</v>
      </c>
      <c r="E106" s="108"/>
      <c r="K106" s="111" t="s">
        <v>402</v>
      </c>
    </row>
    <row r="107" spans="2:16" outlineLevel="1">
      <c r="E107" s="2"/>
      <c r="J107" s="124" t="str">
        <f t="shared" ref="J107:O107" si="38">D68</f>
        <v>Seed</v>
      </c>
      <c r="K107" s="124" t="str">
        <f t="shared" si="38"/>
        <v>A</v>
      </c>
      <c r="L107" s="124" t="str">
        <f t="shared" si="38"/>
        <v>B</v>
      </c>
      <c r="M107" s="124" t="str">
        <f t="shared" si="38"/>
        <v>C</v>
      </c>
      <c r="N107" s="124" t="str">
        <f t="shared" si="38"/>
        <v>D</v>
      </c>
      <c r="O107" s="124" t="str">
        <f t="shared" si="38"/>
        <v>E</v>
      </c>
    </row>
    <row r="108" spans="2:16" outlineLevel="1">
      <c r="B108" s="2" t="s">
        <v>372</v>
      </c>
      <c r="C108" s="43" t="s">
        <v>300</v>
      </c>
      <c r="D108" s="108">
        <f t="shared" ref="D108:I108" si="39">D14</f>
        <v>43101</v>
      </c>
      <c r="E108" s="108">
        <f t="shared" si="39"/>
        <v>43647</v>
      </c>
      <c r="F108" s="108">
        <f t="shared" si="39"/>
        <v>44197</v>
      </c>
      <c r="G108" s="108">
        <f t="shared" si="39"/>
        <v>44743</v>
      </c>
      <c r="H108" s="108">
        <f t="shared" si="39"/>
        <v>45292</v>
      </c>
      <c r="I108" s="108">
        <f t="shared" si="39"/>
        <v>45839</v>
      </c>
      <c r="J108" s="108">
        <f t="shared" ref="J108:O108" si="40">D34</f>
        <v>43466</v>
      </c>
      <c r="K108" s="108">
        <f t="shared" si="40"/>
        <v>44013</v>
      </c>
      <c r="L108" s="108">
        <f t="shared" si="40"/>
        <v>44562</v>
      </c>
      <c r="M108" s="108">
        <f t="shared" si="40"/>
        <v>45108</v>
      </c>
      <c r="N108" s="108">
        <f t="shared" si="40"/>
        <v>45658</v>
      </c>
      <c r="O108" s="108">
        <f t="shared" si="40"/>
        <v>46204</v>
      </c>
      <c r="P108" s="46" t="s">
        <v>369</v>
      </c>
    </row>
    <row r="109" spans="2:16" outlineLevel="1">
      <c r="B109" s="41" t="str">
        <f>D$6</f>
        <v>Seed</v>
      </c>
      <c r="C109" s="102" t="str">
        <f>$C$15</f>
        <v>$</v>
      </c>
      <c r="D109" s="4">
        <f t="shared" ref="D109:I114" si="41">IF(D$108&lt;=INDEX($D$14:$I$14,0,MATCH($B109,$D$6:$I$6,0)),-1*INDEX($D$53:$I$53,0,MATCH(D$108,$D$14:$I$14,0)),0)</f>
        <v>-1000000</v>
      </c>
      <c r="E109" s="4">
        <f t="shared" si="41"/>
        <v>0</v>
      </c>
      <c r="F109" s="4">
        <f t="shared" si="41"/>
        <v>0</v>
      </c>
      <c r="G109" s="4">
        <f t="shared" si="41"/>
        <v>0</v>
      </c>
      <c r="H109" s="4">
        <f t="shared" si="41"/>
        <v>0</v>
      </c>
      <c r="I109" s="4">
        <f t="shared" si="41"/>
        <v>0</v>
      </c>
      <c r="J109" s="4">
        <f>INDEX($D$69:$I$69,0,MATCH(J$107,$D$68:$I$68,0))</f>
        <v>239999.99999999994</v>
      </c>
      <c r="K109" s="4">
        <v>0</v>
      </c>
      <c r="L109" s="4">
        <v>0</v>
      </c>
      <c r="M109" s="4">
        <v>0</v>
      </c>
      <c r="N109" s="4">
        <v>0</v>
      </c>
      <c r="O109" s="4">
        <v>0</v>
      </c>
      <c r="P109" s="120">
        <f ca="1">IFERROR(XIRR(INDIRECT(ADDRESS(ROW(D109),COLUMN(D109)+MATCH(INDEX(D109:O109,MATCH(TRUE,INDEX(D109:O109&lt;&gt;0,),0)),D109:O109,0)-1,4)&amp;":"&amp;ADDRESS(ROW(D109),COLUMN(C109)+MATCH(O$108,D$108:O$108,1),4)),INDIRECT(ADDRESS(ROW(D$108),COLUMN(D$108)+MATCH(INDEX(D109:O109,MATCH(TRUE,INDEX(D109:O109&lt;&gt;0,),0)),D109:O109,0)-1,4)&amp;":"&amp;ADDRESS(ROW(D$108),COLUMN(C$108)+MATCH(O$108,D$108:O$108,1),4))),"na")</f>
        <v>-0.75999999754130854</v>
      </c>
    </row>
    <row r="110" spans="2:16" outlineLevel="1">
      <c r="B110" s="41" t="str">
        <f t="shared" ref="B110:B114" si="42">D$6</f>
        <v>Seed</v>
      </c>
      <c r="C110" s="102" t="str">
        <f t="shared" ref="C110:C114" si="43">$C$15</f>
        <v>$</v>
      </c>
      <c r="D110" s="4">
        <f t="shared" si="41"/>
        <v>-1000000</v>
      </c>
      <c r="E110" s="4">
        <f t="shared" si="41"/>
        <v>0</v>
      </c>
      <c r="F110" s="4">
        <f t="shared" si="41"/>
        <v>0</v>
      </c>
      <c r="G110" s="4">
        <f t="shared" si="41"/>
        <v>0</v>
      </c>
      <c r="H110" s="4">
        <f t="shared" si="41"/>
        <v>0</v>
      </c>
      <c r="I110" s="4">
        <f t="shared" si="41"/>
        <v>0</v>
      </c>
      <c r="J110" s="4">
        <v>0</v>
      </c>
      <c r="K110" s="4">
        <f>INDEX($D$69:$I$69,0,MATCH(K$107,$D$68:$I$68,0))</f>
        <v>3360000</v>
      </c>
      <c r="L110" s="4">
        <v>0</v>
      </c>
      <c r="M110" s="4">
        <v>0</v>
      </c>
      <c r="N110" s="4">
        <v>0</v>
      </c>
      <c r="O110" s="4">
        <v>0</v>
      </c>
      <c r="P110" s="120">
        <f t="shared" ref="P110:P114" ca="1" si="44">IFERROR(XIRR(INDIRECT(ADDRESS(ROW(D110),COLUMN(D110)+MATCH(INDEX(D110:O110,MATCH(TRUE,INDEX(D110:O110&lt;&gt;0,),0)),D110:O110,0)-1,4)&amp;":"&amp;ADDRESS(ROW(D110),COLUMN(C110)+MATCH(O$108,D$108:O$108,1),4)),INDIRECT(ADDRESS(ROW(D$108),COLUMN(D$108)+MATCH(INDEX(D110:O110,MATCH(TRUE,INDEX(D110:O110&lt;&gt;0,),0)),D110:O110,0)-1,4)&amp;":"&amp;ADDRESS(ROW(D$108),COLUMN(C$108)+MATCH(O$108,D$108:O$108,1),4))),"na")</f>
        <v>0.62424349188804629</v>
      </c>
    </row>
    <row r="111" spans="2:16" outlineLevel="1">
      <c r="B111" s="41" t="str">
        <f t="shared" si="42"/>
        <v>Seed</v>
      </c>
      <c r="C111" s="102" t="str">
        <f t="shared" si="43"/>
        <v>$</v>
      </c>
      <c r="D111" s="4">
        <f t="shared" si="41"/>
        <v>-1000000</v>
      </c>
      <c r="E111" s="4">
        <f t="shared" si="41"/>
        <v>0</v>
      </c>
      <c r="F111" s="4">
        <f t="shared" si="41"/>
        <v>0</v>
      </c>
      <c r="G111" s="4">
        <f t="shared" si="41"/>
        <v>0</v>
      </c>
      <c r="H111" s="4">
        <f t="shared" si="41"/>
        <v>0</v>
      </c>
      <c r="I111" s="4">
        <f t="shared" si="41"/>
        <v>0</v>
      </c>
      <c r="J111" s="4">
        <v>0</v>
      </c>
      <c r="K111" s="4">
        <v>0</v>
      </c>
      <c r="L111" s="4">
        <f>INDEX($D$69:$I$69,0,MATCH(L$107,$D$68:$I$68,0))</f>
        <v>22464000.000000004</v>
      </c>
      <c r="M111" s="4">
        <v>0</v>
      </c>
      <c r="N111" s="4">
        <v>0</v>
      </c>
      <c r="O111" s="4">
        <v>0</v>
      </c>
      <c r="P111" s="120">
        <f t="shared" ca="1" si="44"/>
        <v>1.1759079098701479</v>
      </c>
    </row>
    <row r="112" spans="2:16" outlineLevel="1">
      <c r="B112" s="41" t="str">
        <f t="shared" si="42"/>
        <v>Seed</v>
      </c>
      <c r="C112" s="102" t="str">
        <f t="shared" si="43"/>
        <v>$</v>
      </c>
      <c r="D112" s="4">
        <f t="shared" si="41"/>
        <v>-1000000</v>
      </c>
      <c r="E112" s="4">
        <f t="shared" si="41"/>
        <v>0</v>
      </c>
      <c r="F112" s="4">
        <f t="shared" si="41"/>
        <v>0</v>
      </c>
      <c r="G112" s="4">
        <f t="shared" si="41"/>
        <v>0</v>
      </c>
      <c r="H112" s="4">
        <f t="shared" si="41"/>
        <v>0</v>
      </c>
      <c r="I112" s="4">
        <f t="shared" si="41"/>
        <v>0</v>
      </c>
      <c r="J112" s="4">
        <v>0</v>
      </c>
      <c r="K112" s="4">
        <v>0</v>
      </c>
      <c r="L112" s="4">
        <v>0</v>
      </c>
      <c r="M112" s="4">
        <f>INDEX($D$69:$I$69,0,MATCH(M$107,$D$68:$I$68,0))</f>
        <v>113785518.98734176</v>
      </c>
      <c r="N112" s="4">
        <v>0</v>
      </c>
      <c r="O112" s="4">
        <v>0</v>
      </c>
      <c r="P112" s="120">
        <f t="shared" ca="1" si="44"/>
        <v>1.3655227541923527</v>
      </c>
    </row>
    <row r="113" spans="2:16" outlineLevel="1">
      <c r="B113" s="41" t="str">
        <f t="shared" si="42"/>
        <v>Seed</v>
      </c>
      <c r="C113" s="102" t="str">
        <f t="shared" si="43"/>
        <v>$</v>
      </c>
      <c r="D113" s="4">
        <f t="shared" si="41"/>
        <v>-1000000</v>
      </c>
      <c r="E113" s="4">
        <f t="shared" si="41"/>
        <v>0</v>
      </c>
      <c r="F113" s="4">
        <f t="shared" si="41"/>
        <v>0</v>
      </c>
      <c r="G113" s="4">
        <f t="shared" si="41"/>
        <v>0</v>
      </c>
      <c r="H113" s="4">
        <f t="shared" si="41"/>
        <v>0</v>
      </c>
      <c r="I113" s="4">
        <f t="shared" si="41"/>
        <v>0</v>
      </c>
      <c r="J113" s="4">
        <v>0</v>
      </c>
      <c r="K113" s="4">
        <v>0</v>
      </c>
      <c r="L113" s="4">
        <v>0</v>
      </c>
      <c r="M113" s="4">
        <v>0</v>
      </c>
      <c r="N113" s="4">
        <f>INDEX($D$69:$I$69,0,MATCH(N$107,$D$68:$I$68,0))</f>
        <v>211229038.3034687</v>
      </c>
      <c r="O113" s="4">
        <v>0</v>
      </c>
      <c r="P113" s="120">
        <f t="shared" ca="1" si="44"/>
        <v>1.147078359127045</v>
      </c>
    </row>
    <row r="114" spans="2:16" outlineLevel="1">
      <c r="B114" s="41" t="str">
        <f t="shared" si="42"/>
        <v>Seed</v>
      </c>
      <c r="C114" s="102" t="str">
        <f t="shared" si="43"/>
        <v>$</v>
      </c>
      <c r="D114" s="4">
        <f t="shared" si="41"/>
        <v>-1000000</v>
      </c>
      <c r="E114" s="4">
        <f t="shared" si="41"/>
        <v>0</v>
      </c>
      <c r="F114" s="4">
        <f t="shared" si="41"/>
        <v>0</v>
      </c>
      <c r="G114" s="4">
        <f t="shared" si="41"/>
        <v>0</v>
      </c>
      <c r="H114" s="4">
        <f t="shared" si="41"/>
        <v>0</v>
      </c>
      <c r="I114" s="4">
        <f t="shared" si="41"/>
        <v>0</v>
      </c>
      <c r="J114" s="4">
        <v>0</v>
      </c>
      <c r="K114" s="4">
        <v>0</v>
      </c>
      <c r="L114" s="4">
        <v>0</v>
      </c>
      <c r="M114" s="4">
        <v>0</v>
      </c>
      <c r="N114" s="4">
        <v>0</v>
      </c>
      <c r="O114" s="4">
        <f>INDEX($D$69:$I$69,0,MATCH(O$107,$D$68:$I$68,0))</f>
        <v>285432342.70748901</v>
      </c>
      <c r="P114" s="120">
        <f t="shared" ca="1" si="44"/>
        <v>0.94462641477584852</v>
      </c>
    </row>
    <row r="115" spans="2:16" outlineLevel="1">
      <c r="P115" s="5"/>
    </row>
    <row r="116" spans="2:16" outlineLevel="1">
      <c r="B116" s="41" t="str">
        <f>E$6</f>
        <v>A</v>
      </c>
      <c r="C116" s="102" t="str">
        <f>$C$15</f>
        <v>$</v>
      </c>
      <c r="D116" s="4">
        <f t="shared" ref="D116:I121" si="45">IF(D$108&lt;=INDEX($D$14:$I$14,0,MATCH($B116,$D$6:$I$6,0)),-1*INDEX($D$53:$I$53,0,MATCH(D$108,$D$14:$I$14,0)),0)</f>
        <v>-1000000</v>
      </c>
      <c r="E116" s="4">
        <f t="shared" si="45"/>
        <v>-5000000</v>
      </c>
      <c r="F116" s="4">
        <f t="shared" si="45"/>
        <v>0</v>
      </c>
      <c r="G116" s="4">
        <f t="shared" si="45"/>
        <v>0</v>
      </c>
      <c r="H116" s="4">
        <f t="shared" si="45"/>
        <v>0</v>
      </c>
      <c r="I116" s="4">
        <f t="shared" si="45"/>
        <v>0</v>
      </c>
      <c r="J116" s="4">
        <v>0</v>
      </c>
      <c r="K116" s="4">
        <v>0</v>
      </c>
      <c r="L116" s="4">
        <v>0</v>
      </c>
      <c r="M116" s="4">
        <v>0</v>
      </c>
      <c r="N116" s="4">
        <v>0</v>
      </c>
      <c r="O116" s="4">
        <v>0</v>
      </c>
      <c r="P116" s="120" t="str">
        <f t="shared" ref="P116:P121" ca="1" si="46">IFERROR(XIRR(INDIRECT(ADDRESS(ROW(D116),COLUMN(D116)+MATCH(INDEX(D116:O116,MATCH(TRUE,INDEX(D116:O116&lt;&gt;0,),0)),D116:O116,0)-1,4)&amp;":"&amp;ADDRESS(ROW(D116),COLUMN(C116)+MATCH(O$108,D$108:O$108,1),4)),INDIRECT(ADDRESS(ROW(D$108),COLUMN(D$108)+MATCH(INDEX(D116:O116,MATCH(TRUE,INDEX(D116:O116&lt;&gt;0,),0)),D116:O116,0)-1,4)&amp;":"&amp;ADDRESS(ROW(D$108),COLUMN(C$108)+MATCH(O$108,D$108:O$108,1),4))),"na")</f>
        <v>na</v>
      </c>
    </row>
    <row r="117" spans="2:16" outlineLevel="1">
      <c r="B117" s="41" t="str">
        <f t="shared" ref="B117:B121" si="47">E$6</f>
        <v>A</v>
      </c>
      <c r="C117" s="102" t="str">
        <f t="shared" ref="C117:C121" si="48">$C$15</f>
        <v>$</v>
      </c>
      <c r="D117" s="4">
        <f t="shared" si="45"/>
        <v>-1000000</v>
      </c>
      <c r="E117" s="4">
        <f t="shared" si="45"/>
        <v>-5000000</v>
      </c>
      <c r="F117" s="4">
        <f t="shared" si="45"/>
        <v>0</v>
      </c>
      <c r="G117" s="4">
        <f t="shared" si="45"/>
        <v>0</v>
      </c>
      <c r="H117" s="4">
        <f t="shared" si="45"/>
        <v>0</v>
      </c>
      <c r="I117" s="4">
        <f t="shared" si="45"/>
        <v>0</v>
      </c>
      <c r="J117" s="4">
        <v>0</v>
      </c>
      <c r="K117" s="4">
        <f>INDEX($D$70:$I$70,0,MATCH(K$107,$D$68:$I$68,0))</f>
        <v>6160000</v>
      </c>
      <c r="L117" s="4">
        <v>0</v>
      </c>
      <c r="M117" s="4">
        <v>0</v>
      </c>
      <c r="N117" s="4">
        <v>0</v>
      </c>
      <c r="O117" s="4">
        <v>0</v>
      </c>
      <c r="P117" s="120">
        <f t="shared" ca="1" si="46"/>
        <v>2.1185663342475892E-2</v>
      </c>
    </row>
    <row r="118" spans="2:16" outlineLevel="1">
      <c r="B118" s="41" t="str">
        <f t="shared" si="47"/>
        <v>A</v>
      </c>
      <c r="C118" s="102" t="str">
        <f t="shared" si="48"/>
        <v>$</v>
      </c>
      <c r="D118" s="4">
        <f t="shared" si="45"/>
        <v>-1000000</v>
      </c>
      <c r="E118" s="4">
        <f t="shared" si="45"/>
        <v>-5000000</v>
      </c>
      <c r="F118" s="4">
        <f t="shared" si="45"/>
        <v>0</v>
      </c>
      <c r="G118" s="4">
        <f t="shared" si="45"/>
        <v>0</v>
      </c>
      <c r="H118" s="4">
        <f t="shared" si="45"/>
        <v>0</v>
      </c>
      <c r="I118" s="4">
        <f t="shared" si="45"/>
        <v>0</v>
      </c>
      <c r="J118" s="4">
        <v>0</v>
      </c>
      <c r="K118" s="4">
        <v>0</v>
      </c>
      <c r="L118" s="4">
        <f>INDEX($D$70:$I$70,0,MATCH(L$107,$D$68:$I$68,0))</f>
        <v>41184000</v>
      </c>
      <c r="M118" s="4">
        <v>0</v>
      </c>
      <c r="N118" s="4">
        <v>0</v>
      </c>
      <c r="O118" s="4">
        <v>0</v>
      </c>
      <c r="P118" s="120">
        <f t="shared" ca="1" si="46"/>
        <v>0.95042604207992554</v>
      </c>
    </row>
    <row r="119" spans="2:16" outlineLevel="1">
      <c r="B119" s="41" t="str">
        <f t="shared" si="47"/>
        <v>A</v>
      </c>
      <c r="C119" s="102" t="str">
        <f t="shared" si="48"/>
        <v>$</v>
      </c>
      <c r="D119" s="4">
        <f t="shared" si="45"/>
        <v>-1000000</v>
      </c>
      <c r="E119" s="4">
        <f t="shared" si="45"/>
        <v>-5000000</v>
      </c>
      <c r="F119" s="4">
        <f t="shared" si="45"/>
        <v>0</v>
      </c>
      <c r="G119" s="4">
        <f t="shared" si="45"/>
        <v>0</v>
      </c>
      <c r="H119" s="4">
        <f t="shared" si="45"/>
        <v>0</v>
      </c>
      <c r="I119" s="4">
        <f t="shared" si="45"/>
        <v>0</v>
      </c>
      <c r="J119" s="4">
        <v>0</v>
      </c>
      <c r="K119" s="4">
        <v>0</v>
      </c>
      <c r="L119" s="4">
        <v>0</v>
      </c>
      <c r="M119" s="4">
        <f>INDEX($D$70:$I$70,0,MATCH(M$107,$D$68:$I$68,0))</f>
        <v>208606784.81012654</v>
      </c>
      <c r="N119" s="4">
        <v>0</v>
      </c>
      <c r="O119" s="4">
        <v>0</v>
      </c>
      <c r="P119" s="120">
        <f t="shared" ca="1" si="46"/>
        <v>1.2356731772422793</v>
      </c>
    </row>
    <row r="120" spans="2:16" outlineLevel="1">
      <c r="B120" s="41" t="str">
        <f t="shared" si="47"/>
        <v>A</v>
      </c>
      <c r="C120" s="102" t="str">
        <f t="shared" si="48"/>
        <v>$</v>
      </c>
      <c r="D120" s="4">
        <f t="shared" si="45"/>
        <v>-1000000</v>
      </c>
      <c r="E120" s="4">
        <f t="shared" si="45"/>
        <v>-5000000</v>
      </c>
      <c r="F120" s="4">
        <f t="shared" si="45"/>
        <v>0</v>
      </c>
      <c r="G120" s="4">
        <f t="shared" si="45"/>
        <v>0</v>
      </c>
      <c r="H120" s="4">
        <f t="shared" si="45"/>
        <v>0</v>
      </c>
      <c r="I120" s="4">
        <f t="shared" si="45"/>
        <v>0</v>
      </c>
      <c r="J120" s="4">
        <v>0</v>
      </c>
      <c r="K120" s="4">
        <v>0</v>
      </c>
      <c r="L120" s="4">
        <v>0</v>
      </c>
      <c r="M120" s="4">
        <v>0</v>
      </c>
      <c r="N120" s="4">
        <f>INDEX($D$70:$I$70,0,MATCH(N$107,$D$68:$I$68,0))</f>
        <v>387253236.8896926</v>
      </c>
      <c r="O120" s="4">
        <v>0</v>
      </c>
      <c r="P120" s="120">
        <f t="shared" ca="1" si="46"/>
        <v>1.0277454257011416</v>
      </c>
    </row>
    <row r="121" spans="2:16" outlineLevel="1">
      <c r="B121" s="41" t="str">
        <f t="shared" si="47"/>
        <v>A</v>
      </c>
      <c r="C121" s="102" t="str">
        <f t="shared" si="48"/>
        <v>$</v>
      </c>
      <c r="D121" s="4">
        <f t="shared" si="45"/>
        <v>-1000000</v>
      </c>
      <c r="E121" s="4">
        <f t="shared" si="45"/>
        <v>-5000000</v>
      </c>
      <c r="F121" s="4">
        <f t="shared" si="45"/>
        <v>0</v>
      </c>
      <c r="G121" s="4">
        <f t="shared" si="45"/>
        <v>0</v>
      </c>
      <c r="H121" s="4">
        <f t="shared" si="45"/>
        <v>0</v>
      </c>
      <c r="I121" s="4">
        <f t="shared" si="45"/>
        <v>0</v>
      </c>
      <c r="J121" s="4">
        <v>0</v>
      </c>
      <c r="K121" s="4">
        <v>0</v>
      </c>
      <c r="L121" s="4">
        <v>0</v>
      </c>
      <c r="M121" s="4">
        <v>0</v>
      </c>
      <c r="N121" s="4">
        <v>0</v>
      </c>
      <c r="O121" s="4">
        <f>INDEX($D$70:$I$70,0,MATCH(O$107,$D$68:$I$68,0))</f>
        <v>523292628.29706311</v>
      </c>
      <c r="P121" s="120">
        <f t="shared" ca="1" si="46"/>
        <v>0.83385850191116329</v>
      </c>
    </row>
    <row r="122" spans="2:16" outlineLevel="1"/>
    <row r="123" spans="2:16" outlineLevel="1">
      <c r="B123" s="41" t="str">
        <f>F$6</f>
        <v>B</v>
      </c>
      <c r="C123" s="102" t="str">
        <f>$C$15</f>
        <v>$</v>
      </c>
      <c r="D123" s="4">
        <f t="shared" ref="D123:I128" si="49">IF(D$108&lt;=INDEX($D$14:$I$14,0,MATCH($B123,$D$6:$I$6,0)),-1*INDEX($D$53:$I$53,0,MATCH(D$108,$D$14:$I$14,0)),0)</f>
        <v>-1000000</v>
      </c>
      <c r="E123" s="4">
        <f t="shared" si="49"/>
        <v>-5000000</v>
      </c>
      <c r="F123" s="4">
        <f t="shared" si="49"/>
        <v>-17500000</v>
      </c>
      <c r="G123" s="4">
        <f t="shared" si="49"/>
        <v>0</v>
      </c>
      <c r="H123" s="4">
        <f t="shared" si="49"/>
        <v>0</v>
      </c>
      <c r="I123" s="4">
        <f t="shared" si="49"/>
        <v>0</v>
      </c>
      <c r="J123" s="4">
        <v>0</v>
      </c>
      <c r="K123" s="4">
        <v>0</v>
      </c>
      <c r="L123" s="4">
        <v>0</v>
      </c>
      <c r="M123" s="4">
        <v>0</v>
      </c>
      <c r="N123" s="4">
        <v>0</v>
      </c>
      <c r="O123" s="4">
        <v>0</v>
      </c>
      <c r="P123" s="120" t="str">
        <f t="shared" ref="P123:P135" ca="1" si="50">IFERROR(XIRR(INDIRECT(ADDRESS(ROW(D123),COLUMN(D123)+MATCH(INDEX(D123:O123,MATCH(TRUE,INDEX(D123:O123&lt;&gt;0,),0)),D123:O123,0)-1,4)&amp;":"&amp;ADDRESS(ROW(D123),COLUMN(C123)+MATCH(O$108,D$108:O$108,1),4)),INDIRECT(ADDRESS(ROW(D$108),COLUMN(D$108)+MATCH(INDEX(D123:O123,MATCH(TRUE,INDEX(D123:O123&lt;&gt;0,),0)),D123:O123,0)-1,4)&amp;":"&amp;ADDRESS(ROW(D$108),COLUMN(C$108)+MATCH(O$108,D$108:O$108,1),4))),"na")</f>
        <v>na</v>
      </c>
    </row>
    <row r="124" spans="2:16" outlineLevel="1">
      <c r="B124" s="41" t="str">
        <f>F$6</f>
        <v>B</v>
      </c>
      <c r="C124" s="102" t="str">
        <f t="shared" ref="C124:C128" si="51">$C$15</f>
        <v>$</v>
      </c>
      <c r="D124" s="4">
        <f t="shared" si="49"/>
        <v>-1000000</v>
      </c>
      <c r="E124" s="4">
        <f t="shared" si="49"/>
        <v>-5000000</v>
      </c>
      <c r="F124" s="4">
        <f t="shared" si="49"/>
        <v>-17500000</v>
      </c>
      <c r="G124" s="4">
        <f t="shared" si="49"/>
        <v>0</v>
      </c>
      <c r="H124" s="4">
        <f t="shared" si="49"/>
        <v>0</v>
      </c>
      <c r="I124" s="4">
        <f t="shared" si="49"/>
        <v>0</v>
      </c>
      <c r="J124" s="4">
        <v>0</v>
      </c>
      <c r="K124" s="4">
        <v>0</v>
      </c>
      <c r="L124" s="4">
        <v>0</v>
      </c>
      <c r="M124" s="4">
        <v>0</v>
      </c>
      <c r="N124" s="4">
        <v>0</v>
      </c>
      <c r="O124" s="4">
        <v>0</v>
      </c>
      <c r="P124" s="120" t="str">
        <f t="shared" ca="1" si="50"/>
        <v>na</v>
      </c>
    </row>
    <row r="125" spans="2:16" outlineLevel="1">
      <c r="B125" s="41" t="str">
        <f>F$6</f>
        <v>B</v>
      </c>
      <c r="C125" s="102" t="str">
        <f t="shared" si="51"/>
        <v>$</v>
      </c>
      <c r="D125" s="4">
        <f t="shared" si="49"/>
        <v>-1000000</v>
      </c>
      <c r="E125" s="4">
        <f t="shared" si="49"/>
        <v>-5000000</v>
      </c>
      <c r="F125" s="4">
        <f t="shared" si="49"/>
        <v>-17500000</v>
      </c>
      <c r="G125" s="4">
        <f t="shared" si="49"/>
        <v>0</v>
      </c>
      <c r="H125" s="4">
        <f t="shared" si="49"/>
        <v>0</v>
      </c>
      <c r="I125" s="4">
        <f t="shared" si="49"/>
        <v>0</v>
      </c>
      <c r="J125" s="4">
        <v>0</v>
      </c>
      <c r="K125" s="4">
        <v>0</v>
      </c>
      <c r="L125" s="4">
        <f>INDEX($D$71:$I$71,0,MATCH(L$107,$D$68:$I$68,0))</f>
        <v>57109000</v>
      </c>
      <c r="M125" s="4">
        <v>0</v>
      </c>
      <c r="N125" s="4">
        <v>0</v>
      </c>
      <c r="O125" s="4">
        <v>0</v>
      </c>
      <c r="P125" s="120">
        <f t="shared" ca="1" si="50"/>
        <v>0.70131539106369023</v>
      </c>
    </row>
    <row r="126" spans="2:16" outlineLevel="1">
      <c r="B126" s="41" t="str">
        <f t="shared" ref="B126:B128" si="52">F$6</f>
        <v>B</v>
      </c>
      <c r="C126" s="102" t="str">
        <f t="shared" si="51"/>
        <v>$</v>
      </c>
      <c r="D126" s="4">
        <f t="shared" si="49"/>
        <v>-1000000</v>
      </c>
      <c r="E126" s="4">
        <f t="shared" si="49"/>
        <v>-5000000</v>
      </c>
      <c r="F126" s="4">
        <f t="shared" si="49"/>
        <v>-17500000</v>
      </c>
      <c r="G126" s="4">
        <f t="shared" si="49"/>
        <v>0</v>
      </c>
      <c r="H126" s="4">
        <f t="shared" si="49"/>
        <v>0</v>
      </c>
      <c r="I126" s="4">
        <f t="shared" si="49"/>
        <v>0</v>
      </c>
      <c r="J126" s="4">
        <v>0</v>
      </c>
      <c r="K126" s="4">
        <v>0</v>
      </c>
      <c r="L126" s="4">
        <v>0</v>
      </c>
      <c r="M126" s="4">
        <f>INDEX($D$71:$I$71,0,MATCH(M$107,$D$68:$I$68,0))</f>
        <v>289270708.86075944</v>
      </c>
      <c r="N126" s="4">
        <v>0</v>
      </c>
      <c r="O126" s="4">
        <v>0</v>
      </c>
      <c r="P126" s="120">
        <f t="shared" ca="1" si="50"/>
        <v>1.1434364914894104</v>
      </c>
    </row>
    <row r="127" spans="2:16" outlineLevel="1">
      <c r="B127" s="41" t="str">
        <f t="shared" si="52"/>
        <v>B</v>
      </c>
      <c r="C127" s="102" t="str">
        <f t="shared" si="51"/>
        <v>$</v>
      </c>
      <c r="D127" s="4">
        <f t="shared" si="49"/>
        <v>-1000000</v>
      </c>
      <c r="E127" s="4">
        <f t="shared" si="49"/>
        <v>-5000000</v>
      </c>
      <c r="F127" s="4">
        <f t="shared" si="49"/>
        <v>-17500000</v>
      </c>
      <c r="G127" s="4">
        <f t="shared" si="49"/>
        <v>0</v>
      </c>
      <c r="H127" s="4">
        <f t="shared" si="49"/>
        <v>0</v>
      </c>
      <c r="I127" s="4">
        <f t="shared" si="49"/>
        <v>0</v>
      </c>
      <c r="J127" s="4">
        <v>0</v>
      </c>
      <c r="K127" s="4">
        <v>0</v>
      </c>
      <c r="L127" s="4">
        <v>0</v>
      </c>
      <c r="M127" s="4">
        <v>0</v>
      </c>
      <c r="N127" s="4">
        <f>INDEX($D$71:$I$71,0,MATCH(N$107,$D$68:$I$68,0))</f>
        <v>536996044.7147789</v>
      </c>
      <c r="O127" s="4">
        <v>0</v>
      </c>
      <c r="P127" s="120">
        <f t="shared" ca="1" si="50"/>
        <v>0.93457933664321913</v>
      </c>
    </row>
    <row r="128" spans="2:16" outlineLevel="1">
      <c r="B128" s="41" t="str">
        <f t="shared" si="52"/>
        <v>B</v>
      </c>
      <c r="C128" s="102" t="str">
        <f t="shared" si="51"/>
        <v>$</v>
      </c>
      <c r="D128" s="4">
        <f t="shared" si="49"/>
        <v>-1000000</v>
      </c>
      <c r="E128" s="4">
        <f t="shared" si="49"/>
        <v>-5000000</v>
      </c>
      <c r="F128" s="4">
        <f t="shared" si="49"/>
        <v>-17500000</v>
      </c>
      <c r="G128" s="4">
        <f t="shared" si="49"/>
        <v>0</v>
      </c>
      <c r="H128" s="4">
        <f t="shared" si="49"/>
        <v>0</v>
      </c>
      <c r="I128" s="4">
        <f t="shared" si="49"/>
        <v>0</v>
      </c>
      <c r="J128" s="4">
        <v>0</v>
      </c>
      <c r="K128" s="4">
        <v>0</v>
      </c>
      <c r="L128" s="4">
        <v>0</v>
      </c>
      <c r="M128" s="4">
        <v>0</v>
      </c>
      <c r="N128" s="4">
        <v>0</v>
      </c>
      <c r="O128" s="4">
        <f>INDEX($D$71:$I$71,0,MATCH(O$107,$D$68:$I$68,0))</f>
        <v>725639051.80208278</v>
      </c>
      <c r="P128" s="120">
        <f t="shared" ca="1" si="50"/>
        <v>0.74172877073287968</v>
      </c>
    </row>
    <row r="129" spans="2:16" outlineLevel="1"/>
    <row r="130" spans="2:16" outlineLevel="1">
      <c r="B130" s="41" t="str">
        <f t="shared" ref="B130:B135" si="53">G$6</f>
        <v>C</v>
      </c>
      <c r="C130" s="102" t="str">
        <f>$C$15</f>
        <v>$</v>
      </c>
      <c r="D130" s="4">
        <f t="shared" ref="D130:I135" si="54">IF(D$108&lt;=INDEX($D$14:$I$14,0,MATCH($B130,$D$6:$I$6,0)),-1*INDEX($D$53:$I$53,0,MATCH(D$108,$D$14:$I$14,0)),0)</f>
        <v>-1000000</v>
      </c>
      <c r="E130" s="4">
        <f t="shared" si="54"/>
        <v>-5000000</v>
      </c>
      <c r="F130" s="4">
        <f t="shared" si="54"/>
        <v>-17500000</v>
      </c>
      <c r="G130" s="4">
        <f t="shared" si="54"/>
        <v>-35000000</v>
      </c>
      <c r="H130" s="4">
        <f t="shared" si="54"/>
        <v>0</v>
      </c>
      <c r="I130" s="4">
        <f t="shared" si="54"/>
        <v>0</v>
      </c>
      <c r="J130" s="4">
        <v>0</v>
      </c>
      <c r="K130" s="4">
        <v>0</v>
      </c>
      <c r="L130" s="4">
        <v>0</v>
      </c>
      <c r="M130" s="4">
        <v>0</v>
      </c>
      <c r="N130" s="4">
        <v>0</v>
      </c>
      <c r="O130" s="4">
        <v>0</v>
      </c>
      <c r="P130" s="120" t="str">
        <f t="shared" ca="1" si="50"/>
        <v>na</v>
      </c>
    </row>
    <row r="131" spans="2:16" outlineLevel="1">
      <c r="B131" s="41" t="str">
        <f t="shared" si="53"/>
        <v>C</v>
      </c>
      <c r="C131" s="102" t="str">
        <f t="shared" ref="C131:C135" si="55">$C$15</f>
        <v>$</v>
      </c>
      <c r="D131" s="4">
        <f t="shared" si="54"/>
        <v>-1000000</v>
      </c>
      <c r="E131" s="4">
        <f t="shared" si="54"/>
        <v>-5000000</v>
      </c>
      <c r="F131" s="4">
        <f t="shared" si="54"/>
        <v>-17500000</v>
      </c>
      <c r="G131" s="4">
        <f t="shared" si="54"/>
        <v>-35000000</v>
      </c>
      <c r="H131" s="4">
        <f t="shared" si="54"/>
        <v>0</v>
      </c>
      <c r="I131" s="4">
        <f t="shared" si="54"/>
        <v>0</v>
      </c>
      <c r="J131" s="4">
        <v>0</v>
      </c>
      <c r="K131" s="4">
        <v>0</v>
      </c>
      <c r="L131" s="4">
        <v>0</v>
      </c>
      <c r="M131" s="4">
        <v>0</v>
      </c>
      <c r="N131" s="4">
        <v>0</v>
      </c>
      <c r="O131" s="4">
        <v>0</v>
      </c>
      <c r="P131" s="120" t="str">
        <f t="shared" ca="1" si="50"/>
        <v>na</v>
      </c>
    </row>
    <row r="132" spans="2:16" outlineLevel="1">
      <c r="B132" s="41" t="str">
        <f t="shared" si="53"/>
        <v>C</v>
      </c>
      <c r="C132" s="102" t="str">
        <f t="shared" si="55"/>
        <v>$</v>
      </c>
      <c r="D132" s="4">
        <f t="shared" si="54"/>
        <v>-1000000</v>
      </c>
      <c r="E132" s="4">
        <f t="shared" si="54"/>
        <v>-5000000</v>
      </c>
      <c r="F132" s="4">
        <f t="shared" si="54"/>
        <v>-17500000</v>
      </c>
      <c r="G132" s="4">
        <f t="shared" si="54"/>
        <v>-35000000</v>
      </c>
      <c r="H132" s="4">
        <f t="shared" si="54"/>
        <v>0</v>
      </c>
      <c r="I132" s="4">
        <f t="shared" si="54"/>
        <v>0</v>
      </c>
      <c r="J132" s="4">
        <v>0</v>
      </c>
      <c r="K132" s="4">
        <v>0</v>
      </c>
      <c r="L132" s="4">
        <v>0</v>
      </c>
      <c r="M132" s="4">
        <v>0</v>
      </c>
      <c r="N132" s="4">
        <v>0</v>
      </c>
      <c r="O132" s="4">
        <v>0</v>
      </c>
      <c r="P132" s="120" t="str">
        <f t="shared" ca="1" si="50"/>
        <v>na</v>
      </c>
    </row>
    <row r="133" spans="2:16" outlineLevel="1">
      <c r="B133" s="41" t="str">
        <f t="shared" si="53"/>
        <v>C</v>
      </c>
      <c r="C133" s="102" t="str">
        <f t="shared" si="55"/>
        <v>$</v>
      </c>
      <c r="D133" s="4">
        <f t="shared" si="54"/>
        <v>-1000000</v>
      </c>
      <c r="E133" s="4">
        <f t="shared" si="54"/>
        <v>-5000000</v>
      </c>
      <c r="F133" s="4">
        <f t="shared" si="54"/>
        <v>-17500000</v>
      </c>
      <c r="G133" s="4">
        <f t="shared" si="54"/>
        <v>-35000000</v>
      </c>
      <c r="H133" s="4">
        <f t="shared" si="54"/>
        <v>0</v>
      </c>
      <c r="I133" s="4">
        <f t="shared" si="54"/>
        <v>0</v>
      </c>
      <c r="J133" s="4">
        <v>0</v>
      </c>
      <c r="K133" s="4">
        <v>0</v>
      </c>
      <c r="L133" s="4">
        <v>0</v>
      </c>
      <c r="M133" s="4">
        <f>INDEX($D$72:$I$72,0,MATCH(M$107,$D$68:$I$68,0))</f>
        <v>330920708.86075944</v>
      </c>
      <c r="N133" s="4">
        <v>0</v>
      </c>
      <c r="O133" s="4">
        <v>0</v>
      </c>
      <c r="P133" s="120">
        <f t="shared" ca="1" si="50"/>
        <v>1.0787555575370791</v>
      </c>
    </row>
    <row r="134" spans="2:16" outlineLevel="1">
      <c r="B134" s="41" t="str">
        <f t="shared" si="53"/>
        <v>C</v>
      </c>
      <c r="C134" s="102" t="str">
        <f t="shared" si="55"/>
        <v>$</v>
      </c>
      <c r="D134" s="4">
        <f t="shared" si="54"/>
        <v>-1000000</v>
      </c>
      <c r="E134" s="4">
        <f t="shared" si="54"/>
        <v>-5000000</v>
      </c>
      <c r="F134" s="4">
        <f t="shared" si="54"/>
        <v>-17500000</v>
      </c>
      <c r="G134" s="4">
        <f t="shared" si="54"/>
        <v>-35000000</v>
      </c>
      <c r="H134" s="4">
        <f t="shared" si="54"/>
        <v>0</v>
      </c>
      <c r="I134" s="4">
        <f t="shared" si="54"/>
        <v>0</v>
      </c>
      <c r="J134" s="4">
        <v>0</v>
      </c>
      <c r="K134" s="4">
        <v>0</v>
      </c>
      <c r="L134" s="4">
        <v>0</v>
      </c>
      <c r="M134" s="4">
        <v>0</v>
      </c>
      <c r="N134" s="4">
        <f>INDEX($D$72:$I$72,0,MATCH(N$107,$D$68:$I$68,0))</f>
        <v>614314226.53296077</v>
      </c>
      <c r="O134" s="4">
        <v>0</v>
      </c>
      <c r="P134" s="120">
        <f t="shared" ca="1" si="50"/>
        <v>0.86607216596603398</v>
      </c>
    </row>
    <row r="135" spans="2:16" outlineLevel="1">
      <c r="B135" s="41" t="str">
        <f t="shared" si="53"/>
        <v>C</v>
      </c>
      <c r="C135" s="102" t="str">
        <f t="shared" si="55"/>
        <v>$</v>
      </c>
      <c r="D135" s="4">
        <f t="shared" si="54"/>
        <v>-1000000</v>
      </c>
      <c r="E135" s="4">
        <f t="shared" si="54"/>
        <v>-5000000</v>
      </c>
      <c r="F135" s="4">
        <f t="shared" si="54"/>
        <v>-17500000</v>
      </c>
      <c r="G135" s="4">
        <f t="shared" si="54"/>
        <v>-35000000</v>
      </c>
      <c r="H135" s="4">
        <f t="shared" si="54"/>
        <v>0</v>
      </c>
      <c r="I135" s="4">
        <f t="shared" si="54"/>
        <v>0</v>
      </c>
      <c r="J135" s="4">
        <v>0</v>
      </c>
      <c r="K135" s="4">
        <v>0</v>
      </c>
      <c r="L135" s="4">
        <v>0</v>
      </c>
      <c r="M135" s="4">
        <v>0</v>
      </c>
      <c r="N135" s="4">
        <v>0</v>
      </c>
      <c r="O135" s="4">
        <f>INDEX($D$72:$I$72,0,MATCH(O$107,$D$68:$I$68,0))</f>
        <v>830118577.66415179</v>
      </c>
      <c r="P135" s="120">
        <f t="shared" ca="1" si="50"/>
        <v>0.67146843075752261</v>
      </c>
    </row>
    <row r="136" spans="2:16" outlineLevel="1"/>
    <row r="137" spans="2:16" outlineLevel="1">
      <c r="B137" s="41" t="str">
        <f t="shared" ref="B137:B140" si="56">H$6</f>
        <v>D</v>
      </c>
      <c r="C137" s="102" t="str">
        <f>$C$15</f>
        <v>$</v>
      </c>
      <c r="D137" s="4">
        <f t="shared" ref="D137:I142" si="57">IF(D$108&lt;=INDEX($D$14:$I$14,0,MATCH($B137,$D$6:$I$6,0)),-1*INDEX($D$53:$I$53,0,MATCH(D$108,$D$14:$I$14,0)),0)</f>
        <v>-1000000</v>
      </c>
      <c r="E137" s="4">
        <f t="shared" si="57"/>
        <v>-5000000</v>
      </c>
      <c r="F137" s="4">
        <f t="shared" si="57"/>
        <v>-17500000</v>
      </c>
      <c r="G137" s="4">
        <f t="shared" si="57"/>
        <v>-35000000</v>
      </c>
      <c r="H137" s="4">
        <f t="shared" si="57"/>
        <v>-70000000</v>
      </c>
      <c r="I137" s="4">
        <f t="shared" si="57"/>
        <v>0</v>
      </c>
      <c r="J137" s="4">
        <v>0</v>
      </c>
      <c r="K137" s="4">
        <v>0</v>
      </c>
      <c r="L137" s="4">
        <v>0</v>
      </c>
      <c r="M137" s="4">
        <v>0</v>
      </c>
      <c r="N137" s="4">
        <v>0</v>
      </c>
      <c r="O137" s="4">
        <v>0</v>
      </c>
      <c r="P137" s="120" t="str">
        <f t="shared" ref="P137:P142" ca="1" si="58">IFERROR(XIRR(INDIRECT(ADDRESS(ROW(D137),COLUMN(D137)+MATCH(INDEX(D137:O137,MATCH(TRUE,INDEX(D137:O137&lt;&gt;0,),0)),D137:O137,0)-1,4)&amp;":"&amp;ADDRESS(ROW(D137),COLUMN(C137)+MATCH(O$108,D$108:O$108,1),4)),INDIRECT(ADDRESS(ROW(D$108),COLUMN(D$108)+MATCH(INDEX(D137:O137,MATCH(TRUE,INDEX(D137:O137&lt;&gt;0,),0)),D137:O137,0)-1,4)&amp;":"&amp;ADDRESS(ROW(D$108),COLUMN(C$108)+MATCH(O$108,D$108:O$108,1),4))),"na")</f>
        <v>na</v>
      </c>
    </row>
    <row r="138" spans="2:16" outlineLevel="1">
      <c r="B138" s="41" t="str">
        <f t="shared" si="56"/>
        <v>D</v>
      </c>
      <c r="C138" s="102" t="str">
        <f t="shared" ref="C138:C142" si="59">$C$15</f>
        <v>$</v>
      </c>
      <c r="D138" s="4">
        <f t="shared" si="57"/>
        <v>-1000000</v>
      </c>
      <c r="E138" s="4">
        <f t="shared" si="57"/>
        <v>-5000000</v>
      </c>
      <c r="F138" s="4">
        <f t="shared" si="57"/>
        <v>-17500000</v>
      </c>
      <c r="G138" s="4">
        <f t="shared" si="57"/>
        <v>-35000000</v>
      </c>
      <c r="H138" s="4">
        <f t="shared" si="57"/>
        <v>-70000000</v>
      </c>
      <c r="I138" s="4">
        <f t="shared" si="57"/>
        <v>0</v>
      </c>
      <c r="J138" s="4">
        <v>0</v>
      </c>
      <c r="K138" s="4">
        <v>0</v>
      </c>
      <c r="L138" s="4">
        <v>0</v>
      </c>
      <c r="M138" s="4">
        <v>0</v>
      </c>
      <c r="N138" s="4">
        <v>0</v>
      </c>
      <c r="O138" s="4">
        <v>0</v>
      </c>
      <c r="P138" s="120" t="str">
        <f t="shared" ca="1" si="58"/>
        <v>na</v>
      </c>
    </row>
    <row r="139" spans="2:16" outlineLevel="1">
      <c r="B139" s="41" t="str">
        <f t="shared" si="56"/>
        <v>D</v>
      </c>
      <c r="C139" s="102" t="str">
        <f t="shared" si="59"/>
        <v>$</v>
      </c>
      <c r="D139" s="4">
        <f t="shared" si="57"/>
        <v>-1000000</v>
      </c>
      <c r="E139" s="4">
        <f t="shared" si="57"/>
        <v>-5000000</v>
      </c>
      <c r="F139" s="4">
        <f t="shared" si="57"/>
        <v>-17500000</v>
      </c>
      <c r="G139" s="4">
        <f t="shared" si="57"/>
        <v>-35000000</v>
      </c>
      <c r="H139" s="4">
        <f t="shared" si="57"/>
        <v>-70000000</v>
      </c>
      <c r="I139" s="4">
        <f t="shared" si="57"/>
        <v>0</v>
      </c>
      <c r="J139" s="4">
        <v>0</v>
      </c>
      <c r="K139" s="4">
        <v>0</v>
      </c>
      <c r="L139" s="4">
        <v>0</v>
      </c>
      <c r="M139" s="4">
        <v>0</v>
      </c>
      <c r="N139" s="4">
        <v>0</v>
      </c>
      <c r="O139" s="4">
        <v>0</v>
      </c>
      <c r="P139" s="120" t="str">
        <f t="shared" ca="1" si="58"/>
        <v>na</v>
      </c>
    </row>
    <row r="140" spans="2:16" outlineLevel="1">
      <c r="B140" s="41" t="str">
        <f t="shared" si="56"/>
        <v>D</v>
      </c>
      <c r="C140" s="102" t="str">
        <f t="shared" si="59"/>
        <v>$</v>
      </c>
      <c r="D140" s="4">
        <f t="shared" si="57"/>
        <v>-1000000</v>
      </c>
      <c r="E140" s="4">
        <f t="shared" si="57"/>
        <v>-5000000</v>
      </c>
      <c r="F140" s="4">
        <f t="shared" si="57"/>
        <v>-17500000</v>
      </c>
      <c r="G140" s="4">
        <f t="shared" si="57"/>
        <v>-35000000</v>
      </c>
      <c r="H140" s="4">
        <f t="shared" si="57"/>
        <v>-70000000</v>
      </c>
      <c r="I140" s="4">
        <f t="shared" si="57"/>
        <v>0</v>
      </c>
      <c r="J140" s="4">
        <v>0</v>
      </c>
      <c r="K140" s="4">
        <v>0</v>
      </c>
      <c r="L140" s="4">
        <v>0</v>
      </c>
      <c r="M140" s="4">
        <v>0</v>
      </c>
      <c r="N140" s="4">
        <v>0</v>
      </c>
      <c r="O140" s="4">
        <v>0</v>
      </c>
      <c r="P140" s="120" t="str">
        <f t="shared" ca="1" si="58"/>
        <v>na</v>
      </c>
    </row>
    <row r="141" spans="2:16" outlineLevel="1">
      <c r="B141" s="41" t="str">
        <f>H$6</f>
        <v>D</v>
      </c>
      <c r="C141" s="102" t="str">
        <f t="shared" si="59"/>
        <v>$</v>
      </c>
      <c r="D141" s="4">
        <f t="shared" si="57"/>
        <v>-1000000</v>
      </c>
      <c r="E141" s="4">
        <f t="shared" si="57"/>
        <v>-5000000</v>
      </c>
      <c r="F141" s="4">
        <f t="shared" si="57"/>
        <v>-17500000</v>
      </c>
      <c r="G141" s="4">
        <f t="shared" si="57"/>
        <v>-35000000</v>
      </c>
      <c r="H141" s="4">
        <f t="shared" si="57"/>
        <v>-70000000</v>
      </c>
      <c r="I141" s="4">
        <f t="shared" si="57"/>
        <v>0</v>
      </c>
      <c r="J141" s="4">
        <v>0</v>
      </c>
      <c r="K141" s="4">
        <v>0</v>
      </c>
      <c r="L141" s="4">
        <v>0</v>
      </c>
      <c r="M141" s="4">
        <v>0</v>
      </c>
      <c r="N141" s="4">
        <f>INDEX($D$73:$I$73,0,MATCH(N$107,$D$68:$I$68,0))</f>
        <v>689914226.53296077</v>
      </c>
      <c r="O141" s="4">
        <v>0</v>
      </c>
      <c r="P141" s="120">
        <f t="shared" ca="1" si="58"/>
        <v>0.8280052304267882</v>
      </c>
    </row>
    <row r="142" spans="2:16" outlineLevel="1">
      <c r="B142" s="41" t="str">
        <f>I$6</f>
        <v>E</v>
      </c>
      <c r="C142" s="102" t="str">
        <f t="shared" si="59"/>
        <v>$</v>
      </c>
      <c r="D142" s="4">
        <f t="shared" si="57"/>
        <v>-1000000</v>
      </c>
      <c r="E142" s="4">
        <f t="shared" si="57"/>
        <v>-5000000</v>
      </c>
      <c r="F142" s="4">
        <f t="shared" si="57"/>
        <v>-17500000</v>
      </c>
      <c r="G142" s="4">
        <f t="shared" si="57"/>
        <v>-35000000</v>
      </c>
      <c r="H142" s="4">
        <f t="shared" si="57"/>
        <v>-70000000</v>
      </c>
      <c r="I142" s="4">
        <f t="shared" si="57"/>
        <v>-140000000</v>
      </c>
      <c r="J142" s="4">
        <v>0</v>
      </c>
      <c r="K142" s="4">
        <v>0</v>
      </c>
      <c r="L142" s="4">
        <v>0</v>
      </c>
      <c r="M142" s="4">
        <v>0</v>
      </c>
      <c r="N142" s="4">
        <v>0</v>
      </c>
      <c r="O142" s="4">
        <f>INDEX($D$73:$I$73,0,MATCH(O$107,$D$68:$I$68,0))</f>
        <v>932276336.28484154</v>
      </c>
      <c r="P142" s="120">
        <f t="shared" ca="1" si="58"/>
        <v>0.53287493586540235</v>
      </c>
    </row>
    <row r="143" spans="2:16" outlineLevel="1"/>
    <row r="144" spans="2:16" outlineLevel="1">
      <c r="B144" s="41" t="str">
        <f>I$6</f>
        <v>E</v>
      </c>
      <c r="C144" s="102" t="str">
        <f>$C$15</f>
        <v>$</v>
      </c>
      <c r="D144" s="4">
        <f t="shared" ref="D144:I149" si="60">IF(D$108&lt;=INDEX($D$14:$I$14,0,MATCH($B144,$D$6:$I$6,0)),-1*INDEX($D$53:$I$53,0,MATCH(D$108,$D$14:$I$14,0)),0)</f>
        <v>-1000000</v>
      </c>
      <c r="E144" s="4">
        <f t="shared" si="60"/>
        <v>-5000000</v>
      </c>
      <c r="F144" s="4">
        <f t="shared" si="60"/>
        <v>-17500000</v>
      </c>
      <c r="G144" s="4">
        <f t="shared" si="60"/>
        <v>-35000000</v>
      </c>
      <c r="H144" s="4">
        <f t="shared" si="60"/>
        <v>-70000000</v>
      </c>
      <c r="I144" s="4">
        <f t="shared" si="60"/>
        <v>-140000000</v>
      </c>
      <c r="J144" s="4">
        <v>0</v>
      </c>
      <c r="K144" s="4">
        <v>0</v>
      </c>
      <c r="L144" s="4">
        <v>0</v>
      </c>
      <c r="M144" s="4">
        <v>0</v>
      </c>
      <c r="N144" s="4">
        <v>0</v>
      </c>
      <c r="O144" s="4">
        <v>0</v>
      </c>
      <c r="P144" s="120" t="str">
        <f t="shared" ref="P144:P149" ca="1" si="61">IFERROR(XIRR(INDIRECT(ADDRESS(ROW(D144),COLUMN(D144)+MATCH(INDEX(D144:O144,MATCH(TRUE,INDEX(D144:O144&lt;&gt;0,),0)),D144:O144,0)-1,4)&amp;":"&amp;ADDRESS(ROW(D144),COLUMN(C144)+MATCH(O$108,D$108:O$108,1),4)),INDIRECT(ADDRESS(ROW(D$108),COLUMN(D$108)+MATCH(INDEX(D144:O144,MATCH(TRUE,INDEX(D144:O144&lt;&gt;0,),0)),D144:O144,0)-1,4)&amp;":"&amp;ADDRESS(ROW(D$108),COLUMN(C$108)+MATCH(O$108,D$108:O$108,1),4))),"na")</f>
        <v>na</v>
      </c>
    </row>
    <row r="145" spans="2:16" outlineLevel="1">
      <c r="B145" s="41" t="str">
        <f t="shared" ref="B145:B149" si="62">I$6</f>
        <v>E</v>
      </c>
      <c r="C145" s="102" t="str">
        <f t="shared" ref="C145:C149" si="63">$C$15</f>
        <v>$</v>
      </c>
      <c r="D145" s="4">
        <f t="shared" si="60"/>
        <v>-1000000</v>
      </c>
      <c r="E145" s="4">
        <f t="shared" si="60"/>
        <v>-5000000</v>
      </c>
      <c r="F145" s="4">
        <f t="shared" si="60"/>
        <v>-17500000</v>
      </c>
      <c r="G145" s="4">
        <f t="shared" si="60"/>
        <v>-35000000</v>
      </c>
      <c r="H145" s="4">
        <f t="shared" si="60"/>
        <v>-70000000</v>
      </c>
      <c r="I145" s="4">
        <f t="shared" si="60"/>
        <v>-140000000</v>
      </c>
      <c r="J145" s="4">
        <v>0</v>
      </c>
      <c r="K145" s="4">
        <v>0</v>
      </c>
      <c r="L145" s="4">
        <v>0</v>
      </c>
      <c r="M145" s="4">
        <v>0</v>
      </c>
      <c r="N145" s="4">
        <v>0</v>
      </c>
      <c r="O145" s="4">
        <v>0</v>
      </c>
      <c r="P145" s="120" t="str">
        <f t="shared" ca="1" si="61"/>
        <v>na</v>
      </c>
    </row>
    <row r="146" spans="2:16" outlineLevel="1">
      <c r="B146" s="41" t="str">
        <f t="shared" si="62"/>
        <v>E</v>
      </c>
      <c r="C146" s="102" t="str">
        <f t="shared" si="63"/>
        <v>$</v>
      </c>
      <c r="D146" s="4">
        <f t="shared" si="60"/>
        <v>-1000000</v>
      </c>
      <c r="E146" s="4">
        <f t="shared" si="60"/>
        <v>-5000000</v>
      </c>
      <c r="F146" s="4">
        <f t="shared" si="60"/>
        <v>-17500000</v>
      </c>
      <c r="G146" s="4">
        <f t="shared" si="60"/>
        <v>-35000000</v>
      </c>
      <c r="H146" s="4">
        <f t="shared" si="60"/>
        <v>-70000000</v>
      </c>
      <c r="I146" s="4">
        <f t="shared" si="60"/>
        <v>-140000000</v>
      </c>
      <c r="J146" s="4">
        <v>0</v>
      </c>
      <c r="K146" s="4">
        <v>0</v>
      </c>
      <c r="L146" s="4">
        <v>0</v>
      </c>
      <c r="M146" s="4">
        <v>0</v>
      </c>
      <c r="N146" s="4">
        <v>0</v>
      </c>
      <c r="O146" s="4">
        <v>0</v>
      </c>
      <c r="P146" s="120" t="str">
        <f t="shared" ca="1" si="61"/>
        <v>na</v>
      </c>
    </row>
    <row r="147" spans="2:16" outlineLevel="1">
      <c r="B147" s="41" t="str">
        <f t="shared" si="62"/>
        <v>E</v>
      </c>
      <c r="C147" s="102" t="str">
        <f t="shared" si="63"/>
        <v>$</v>
      </c>
      <c r="D147" s="4">
        <f t="shared" si="60"/>
        <v>-1000000</v>
      </c>
      <c r="E147" s="4">
        <f t="shared" si="60"/>
        <v>-5000000</v>
      </c>
      <c r="F147" s="4">
        <f t="shared" si="60"/>
        <v>-17500000</v>
      </c>
      <c r="G147" s="4">
        <f t="shared" si="60"/>
        <v>-35000000</v>
      </c>
      <c r="H147" s="4">
        <f t="shared" si="60"/>
        <v>-70000000</v>
      </c>
      <c r="I147" s="4">
        <f t="shared" si="60"/>
        <v>-140000000</v>
      </c>
      <c r="J147" s="4">
        <v>0</v>
      </c>
      <c r="K147" s="4">
        <v>0</v>
      </c>
      <c r="L147" s="4">
        <v>0</v>
      </c>
      <c r="M147" s="4">
        <v>0</v>
      </c>
      <c r="N147" s="4">
        <v>0</v>
      </c>
      <c r="O147" s="4">
        <v>0</v>
      </c>
      <c r="P147" s="120" t="str">
        <f t="shared" ca="1" si="61"/>
        <v>na</v>
      </c>
    </row>
    <row r="148" spans="2:16" outlineLevel="1">
      <c r="B148" s="41" t="str">
        <f t="shared" si="62"/>
        <v>E</v>
      </c>
      <c r="C148" s="102" t="str">
        <f t="shared" si="63"/>
        <v>$</v>
      </c>
      <c r="D148" s="4">
        <f t="shared" si="60"/>
        <v>-1000000</v>
      </c>
      <c r="E148" s="4">
        <f t="shared" si="60"/>
        <v>-5000000</v>
      </c>
      <c r="F148" s="4">
        <f t="shared" si="60"/>
        <v>-17500000</v>
      </c>
      <c r="G148" s="4">
        <f t="shared" si="60"/>
        <v>-35000000</v>
      </c>
      <c r="H148" s="4">
        <f t="shared" si="60"/>
        <v>-70000000</v>
      </c>
      <c r="I148" s="4">
        <f t="shared" si="60"/>
        <v>-140000000</v>
      </c>
      <c r="J148" s="4">
        <v>0</v>
      </c>
      <c r="K148" s="4">
        <v>0</v>
      </c>
      <c r="L148" s="4">
        <v>0</v>
      </c>
      <c r="M148" s="4">
        <v>0</v>
      </c>
      <c r="N148" s="4">
        <v>0</v>
      </c>
      <c r="O148" s="4">
        <v>0</v>
      </c>
      <c r="P148" s="120" t="str">
        <f t="shared" ca="1" si="61"/>
        <v>na</v>
      </c>
    </row>
    <row r="149" spans="2:16" outlineLevel="1">
      <c r="B149" s="41" t="str">
        <f t="shared" si="62"/>
        <v>E</v>
      </c>
      <c r="C149" s="102" t="str">
        <f t="shared" si="63"/>
        <v>$</v>
      </c>
      <c r="D149" s="4">
        <f t="shared" si="60"/>
        <v>-1000000</v>
      </c>
      <c r="E149" s="4">
        <f t="shared" si="60"/>
        <v>-5000000</v>
      </c>
      <c r="F149" s="4">
        <f t="shared" si="60"/>
        <v>-17500000</v>
      </c>
      <c r="G149" s="4">
        <f t="shared" si="60"/>
        <v>-35000000</v>
      </c>
      <c r="H149" s="4">
        <f t="shared" si="60"/>
        <v>-70000000</v>
      </c>
      <c r="I149" s="4">
        <f t="shared" si="60"/>
        <v>-140000000</v>
      </c>
      <c r="J149" s="4">
        <v>0</v>
      </c>
      <c r="K149" s="4">
        <v>0</v>
      </c>
      <c r="L149" s="4">
        <v>0</v>
      </c>
      <c r="M149" s="4">
        <v>0</v>
      </c>
      <c r="N149" s="4">
        <v>0</v>
      </c>
      <c r="O149" s="4">
        <f>INDEX($D$74:$I$74,0,MATCH(O$107,$D$68:$I$68,0))</f>
        <v>1078576336.2848415</v>
      </c>
      <c r="P149" s="120">
        <f t="shared" ca="1" si="61"/>
        <v>0.59170518517494208</v>
      </c>
    </row>
    <row r="150" spans="2:16" outlineLevel="1"/>
  </sheetData>
  <conditionalFormatting sqref="D85:I90">
    <cfRule type="colorScale" priority="3">
      <colorScale>
        <cfvo type="min"/>
        <cfvo type="percentile" val="50"/>
        <cfvo type="max"/>
        <color theme="0"/>
        <color rgb="FFFFEB84"/>
        <color rgb="FF63BE7B"/>
      </colorScale>
    </cfRule>
  </conditionalFormatting>
  <conditionalFormatting sqref="D77:I82">
    <cfRule type="colorScale" priority="2">
      <colorScale>
        <cfvo type="min"/>
        <cfvo type="percentile" val="50"/>
        <cfvo type="max"/>
        <color theme="0"/>
        <color rgb="FFFFEB84"/>
        <color rgb="FF63BE7B"/>
      </colorScale>
    </cfRule>
  </conditionalFormatting>
  <conditionalFormatting sqref="D69:I74">
    <cfRule type="colorScale" priority="1">
      <colorScale>
        <cfvo type="min"/>
        <cfvo type="percentile" val="50"/>
        <cfvo type="max"/>
        <color theme="0"/>
        <color rgb="FFFFEB84"/>
        <color rgb="FF63BE7B"/>
      </colorScale>
    </cfRule>
  </conditionalFormatting>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4"/>
  <sheetViews>
    <sheetView showGridLines="0" workbookViewId="0">
      <pane ySplit="2" topLeftCell="A3" activePane="bottomLeft" state="frozen"/>
      <selection activeCell="B47" sqref="B47"/>
      <selection pane="bottomLeft" activeCell="B4" sqref="B4"/>
    </sheetView>
  </sheetViews>
  <sheetFormatPr baseColWidth="10" defaultRowHeight="17"/>
  <cols>
    <col min="1" max="1" width="4.1640625" style="263" customWidth="1"/>
    <col min="2" max="2" width="156.33203125" style="263" customWidth="1"/>
    <col min="3" max="16384" width="10.83203125" style="263"/>
  </cols>
  <sheetData>
    <row r="1" spans="2:2">
      <c r="B1" s="262"/>
    </row>
    <row r="2" spans="2:2" ht="18">
      <c r="B2" s="264" t="s">
        <v>579</v>
      </c>
    </row>
    <row r="3" spans="2:2">
      <c r="B3" s="264"/>
    </row>
    <row r="4" spans="2:2" ht="36">
      <c r="B4" s="262" t="str">
        <f>"This Investor Presentation is provided for informational purposes only and does not constitute an offer to buy or a solicitation of an offer to invest, or to procure an investment in "&amp;'Cap Table'!D63&amp;" (the “Company”)."</f>
        <v>This Investor Presentation is provided for informational purposes only and does not constitute an offer to buy or a solicitation of an offer to invest, or to procure an investment in Company (the “Company”).</v>
      </c>
    </row>
    <row r="5" spans="2:2" ht="9" customHeight="1">
      <c r="B5" s="262"/>
    </row>
    <row r="6" spans="2:2" ht="54">
      <c r="B6" s="262" t="s">
        <v>580</v>
      </c>
    </row>
    <row r="7" spans="2:2" ht="8" customHeight="1">
      <c r="B7" s="262"/>
    </row>
    <row r="8" spans="2:2" ht="144">
      <c r="B8" s="262" t="s">
        <v>581</v>
      </c>
    </row>
    <row r="9" spans="2:2" ht="9" customHeight="1">
      <c r="B9" s="262"/>
    </row>
    <row r="10" spans="2:2" ht="180">
      <c r="B10" s="262" t="s">
        <v>582</v>
      </c>
    </row>
    <row r="11" spans="2:2" ht="9" customHeight="1">
      <c r="B11" s="262"/>
    </row>
    <row r="12" spans="2:2" ht="36">
      <c r="B12" s="262" t="s">
        <v>583</v>
      </c>
    </row>
    <row r="13" spans="2:2" ht="9" customHeight="1">
      <c r="B13" s="262"/>
    </row>
    <row r="14" spans="2:2" ht="180">
      <c r="B14" s="262" t="s">
        <v>584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B54"/>
  <sheetViews>
    <sheetView showGridLines="0" workbookViewId="0">
      <pane ySplit="2" topLeftCell="A3" activePane="bottomLeft" state="frozen"/>
      <selection activeCell="B47" sqref="B47"/>
      <selection pane="bottomLeft" activeCell="B6" sqref="B6"/>
    </sheetView>
  </sheetViews>
  <sheetFormatPr baseColWidth="10" defaultRowHeight="17"/>
  <cols>
    <col min="1" max="1" width="3.6640625" style="15" customWidth="1"/>
    <col min="2" max="2" width="152.83203125" style="17" customWidth="1"/>
    <col min="3" max="3" width="16.6640625" style="15" customWidth="1"/>
    <col min="4" max="8" width="16.1640625" style="15" customWidth="1"/>
    <col min="9" max="10" width="14.33203125" style="15" customWidth="1"/>
    <col min="11" max="18" width="12.6640625" style="15" customWidth="1"/>
    <col min="19" max="23" width="14.33203125" style="15" customWidth="1"/>
    <col min="24" max="26" width="12.6640625" style="15" customWidth="1"/>
    <col min="27" max="27" width="15.33203125" style="15" bestFit="1" customWidth="1"/>
    <col min="28" max="16384" width="10.83203125" style="15"/>
  </cols>
  <sheetData>
    <row r="2" spans="2:2" ht="18">
      <c r="B2" s="16" t="s">
        <v>30</v>
      </c>
    </row>
    <row r="4" spans="2:2" ht="18">
      <c r="B4" s="16" t="s">
        <v>702</v>
      </c>
    </row>
    <row r="5" spans="2:2" ht="36">
      <c r="B5" s="17" t="s">
        <v>703</v>
      </c>
    </row>
    <row r="7" spans="2:2" ht="18">
      <c r="B7" s="16" t="s">
        <v>701</v>
      </c>
    </row>
    <row r="8" spans="2:2" ht="18">
      <c r="B8" s="17" t="s">
        <v>675</v>
      </c>
    </row>
    <row r="9" spans="2:2" ht="71" customHeight="1">
      <c r="B9" s="17" t="s">
        <v>679</v>
      </c>
    </row>
    <row r="10" spans="2:2" ht="36" customHeight="1">
      <c r="B10" s="17" t="s">
        <v>694</v>
      </c>
    </row>
    <row r="11" spans="2:2" ht="54">
      <c r="B11" s="17" t="s">
        <v>677</v>
      </c>
    </row>
    <row r="12" spans="2:2" ht="54">
      <c r="B12" s="17" t="s">
        <v>691</v>
      </c>
    </row>
    <row r="14" spans="2:2" ht="18">
      <c r="B14" s="16" t="s">
        <v>673</v>
      </c>
    </row>
    <row r="15" spans="2:2" ht="18">
      <c r="B15" s="17" t="s">
        <v>674</v>
      </c>
    </row>
    <row r="17" spans="2:2" ht="18">
      <c r="B17" s="16" t="s">
        <v>671</v>
      </c>
    </row>
    <row r="18" spans="2:2" ht="54">
      <c r="B18" s="17" t="s">
        <v>672</v>
      </c>
    </row>
    <row r="20" spans="2:2" ht="18">
      <c r="B20" s="16" t="s">
        <v>670</v>
      </c>
    </row>
    <row r="21" spans="2:2" ht="90">
      <c r="B21" s="17" t="s">
        <v>647</v>
      </c>
    </row>
    <row r="22" spans="2:2" ht="36">
      <c r="B22" s="17" t="s">
        <v>425</v>
      </c>
    </row>
    <row r="23" spans="2:2" ht="36">
      <c r="B23" s="17" t="s">
        <v>646</v>
      </c>
    </row>
    <row r="24" spans="2:2" ht="72">
      <c r="B24" s="17" t="s">
        <v>648</v>
      </c>
    </row>
    <row r="26" spans="2:2" ht="18">
      <c r="B26" s="16" t="s">
        <v>417</v>
      </c>
    </row>
    <row r="27" spans="2:2" ht="90">
      <c r="B27" s="17" t="s">
        <v>418</v>
      </c>
    </row>
    <row r="29" spans="2:2" ht="18">
      <c r="B29" s="16" t="s">
        <v>415</v>
      </c>
    </row>
    <row r="30" spans="2:2" ht="36">
      <c r="B30" s="17" t="s">
        <v>416</v>
      </c>
    </row>
    <row r="32" spans="2:2" ht="18">
      <c r="B32" s="16" t="s">
        <v>359</v>
      </c>
    </row>
    <row r="33" spans="2:2" ht="18">
      <c r="B33" s="17" t="s">
        <v>31</v>
      </c>
    </row>
    <row r="35" spans="2:2" ht="18">
      <c r="B35" s="16" t="s">
        <v>104</v>
      </c>
    </row>
    <row r="36" spans="2:2" ht="54">
      <c r="B36" s="17" t="s">
        <v>105</v>
      </c>
    </row>
    <row r="38" spans="2:2" ht="18">
      <c r="B38" s="16" t="s">
        <v>106</v>
      </c>
    </row>
    <row r="39" spans="2:2" ht="72">
      <c r="B39" s="17" t="s">
        <v>107</v>
      </c>
    </row>
    <row r="41" spans="2:2" ht="18">
      <c r="B41" s="16" t="s">
        <v>108</v>
      </c>
    </row>
    <row r="42" spans="2:2" ht="54">
      <c r="B42" s="17" t="s">
        <v>109</v>
      </c>
    </row>
    <row r="44" spans="2:2" ht="18">
      <c r="B44" s="16" t="s">
        <v>110</v>
      </c>
    </row>
    <row r="45" spans="2:2" ht="54">
      <c r="B45" s="17" t="s">
        <v>111</v>
      </c>
    </row>
    <row r="47" spans="2:2" ht="18">
      <c r="B47" s="16" t="s">
        <v>162</v>
      </c>
    </row>
    <row r="48" spans="2:2" ht="36">
      <c r="B48" s="17" t="s">
        <v>313</v>
      </c>
    </row>
    <row r="49" spans="2:2" s="2" customFormat="1"/>
    <row r="50" spans="2:2" ht="18">
      <c r="B50" s="16" t="s">
        <v>239</v>
      </c>
    </row>
    <row r="51" spans="2:2" ht="36">
      <c r="B51" s="17" t="s">
        <v>314</v>
      </c>
    </row>
    <row r="52" spans="2:2" ht="36">
      <c r="B52" s="17" t="s">
        <v>315</v>
      </c>
    </row>
    <row r="53" spans="2:2" ht="18">
      <c r="B53" s="17" t="s">
        <v>240</v>
      </c>
    </row>
    <row r="54" spans="2:2" ht="36">
      <c r="B54" s="17" t="s">
        <v>241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B25"/>
  <sheetViews>
    <sheetView showGridLines="0" workbookViewId="0">
      <selection activeCell="B47" sqref="B47"/>
    </sheetView>
  </sheetViews>
  <sheetFormatPr baseColWidth="10" defaultRowHeight="17"/>
  <cols>
    <col min="1" max="1" width="10.83203125" style="268" customWidth="1"/>
    <col min="2" max="2" width="83.1640625" style="268" customWidth="1"/>
    <col min="3" max="3" width="14.33203125" style="268" customWidth="1"/>
    <col min="4" max="4" width="59.5" style="268" customWidth="1"/>
    <col min="5" max="5" width="13.1640625" style="268" customWidth="1"/>
    <col min="6" max="6" width="59.5" style="268" customWidth="1"/>
    <col min="7" max="16384" width="10.83203125" style="268"/>
  </cols>
  <sheetData>
    <row r="3" spans="2:2" s="266" customFormat="1" ht="24">
      <c r="B3" s="265" t="s">
        <v>585</v>
      </c>
    </row>
    <row r="4" spans="2:2" s="266" customFormat="1"/>
    <row r="5" spans="2:2" s="267" customFormat="1" ht="21">
      <c r="B5" s="267" t="s">
        <v>586</v>
      </c>
    </row>
    <row r="6" spans="2:2" s="267" customFormat="1" ht="21">
      <c r="B6" s="267" t="s">
        <v>587</v>
      </c>
    </row>
    <row r="7" spans="2:2" s="267" customFormat="1" ht="20"/>
    <row r="8" spans="2:2" s="267" customFormat="1" ht="105">
      <c r="B8" s="267" t="s">
        <v>588</v>
      </c>
    </row>
    <row r="12" spans="2:2" ht="24">
      <c r="B12" s="265" t="s">
        <v>589</v>
      </c>
    </row>
    <row r="13" spans="2:2">
      <c r="B13" s="266"/>
    </row>
    <row r="14" spans="2:2" ht="21">
      <c r="B14" s="267" t="s">
        <v>590</v>
      </c>
    </row>
    <row r="15" spans="2:2" ht="21">
      <c r="B15" s="267" t="s">
        <v>639</v>
      </c>
    </row>
    <row r="16" spans="2:2" ht="20">
      <c r="B16" s="267"/>
    </row>
    <row r="17" spans="2:2" ht="63">
      <c r="B17" s="267" t="s">
        <v>591</v>
      </c>
    </row>
    <row r="21" spans="2:2" ht="24">
      <c r="B21" s="265" t="s">
        <v>592</v>
      </c>
    </row>
    <row r="22" spans="2:2">
      <c r="B22" s="266"/>
    </row>
    <row r="23" spans="2:2" ht="21">
      <c r="B23" s="267" t="s">
        <v>593</v>
      </c>
    </row>
    <row r="24" spans="2:2" ht="20">
      <c r="B24" s="267"/>
    </row>
    <row r="25" spans="2:2" ht="84">
      <c r="B25" s="267" t="s">
        <v>594</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46"/>
  <sheetViews>
    <sheetView showGridLines="0" topLeftCell="A5" workbookViewId="0">
      <selection activeCell="C36" sqref="C36"/>
    </sheetView>
  </sheetViews>
  <sheetFormatPr baseColWidth="10" defaultRowHeight="17"/>
  <cols>
    <col min="1" max="1" width="6.5" style="2" customWidth="1"/>
    <col min="2" max="2" width="34.5" style="2" customWidth="1"/>
    <col min="3" max="3" width="12.5" style="2" customWidth="1"/>
    <col min="4" max="6" width="15.83203125" style="2" customWidth="1"/>
    <col min="7" max="7" width="15" style="2" customWidth="1"/>
    <col min="8" max="8" width="9" style="2" customWidth="1"/>
    <col min="9" max="12" width="15.6640625" style="2" customWidth="1"/>
    <col min="13" max="16384" width="10.83203125" style="2"/>
  </cols>
  <sheetData>
    <row r="1" spans="2:12" ht="18" thickBot="1"/>
    <row r="2" spans="2:12">
      <c r="B2" s="80"/>
      <c r="C2" s="81"/>
    </row>
    <row r="3" spans="2:12">
      <c r="B3" s="85" t="s">
        <v>299</v>
      </c>
      <c r="C3" s="82"/>
    </row>
    <row r="4" spans="2:12">
      <c r="B4" s="86"/>
      <c r="C4" s="82"/>
    </row>
    <row r="5" spans="2:12">
      <c r="B5" s="86" t="s">
        <v>298</v>
      </c>
      <c r="C5" s="82"/>
    </row>
    <row r="6" spans="2:12">
      <c r="B6" s="82"/>
      <c r="C6" s="82"/>
    </row>
    <row r="7" spans="2:12" ht="18" thickBot="1">
      <c r="B7" s="83"/>
      <c r="C7" s="84"/>
    </row>
    <row r="8" spans="2:12">
      <c r="D8" s="90"/>
      <c r="E8" s="91" t="str">
        <f>"  Series "&amp;C35</f>
        <v xml:space="preserve">  Series Founding</v>
      </c>
      <c r="F8" s="90"/>
      <c r="G8" s="90"/>
      <c r="I8" s="82"/>
      <c r="J8" s="92" t="str">
        <f>IF($C$36="na","","  Series "&amp;C36)</f>
        <v/>
      </c>
      <c r="K8" s="82"/>
      <c r="L8" s="82"/>
    </row>
    <row r="10" spans="2:12" ht="36">
      <c r="B10" s="142" t="str">
        <f>'Cap Table'!D62&amp;"holder"</f>
        <v>Shareholder</v>
      </c>
      <c r="C10" s="142" t="str">
        <f>'Cap Table'!B31</f>
        <v>Share Class</v>
      </c>
      <c r="D10" s="143" t="str">
        <f>'Cap Table'!$D62&amp;"s [1]"</f>
        <v>Shares [1]</v>
      </c>
      <c r="E10" s="143" t="s">
        <v>303</v>
      </c>
      <c r="F10" s="143" t="s">
        <v>304</v>
      </c>
      <c r="G10" s="143" t="s">
        <v>39</v>
      </c>
      <c r="I10" s="144" t="str">
        <f>IF($C$36="na","",D10)</f>
        <v/>
      </c>
      <c r="J10" s="144" t="str">
        <f>IF($C$36="na","",E10)</f>
        <v/>
      </c>
      <c r="K10" s="144" t="str">
        <f>IF($C$36="na","",F10)</f>
        <v/>
      </c>
      <c r="L10" s="144" t="str">
        <f>IF($C$36="na","",G10)</f>
        <v/>
      </c>
    </row>
    <row r="12" spans="2:12">
      <c r="B12" s="145" t="str">
        <f>'Cap Table'!B6</f>
        <v>Co-Founder 1</v>
      </c>
      <c r="C12" s="146" t="str">
        <f>INDEX('Cap Table'!FK$6:FK$26,MATCH($B12,'Cap Table'!$B$6:$B$26,0))</f>
        <v>Common</v>
      </c>
      <c r="D12" s="146">
        <f ca="1">INDEX('Cap Table'!FL$6:FL$26,MATCH($B12,'Cap Table'!$B$6:$B$26,0))</f>
        <v>0</v>
      </c>
      <c r="E12" s="146">
        <f ca="1">INDEX('Cap Table'!FM$6:FM$26,MATCH($B12,'Cap Table'!$B$6:$B$26,0))</f>
        <v>0</v>
      </c>
      <c r="F12" s="146">
        <f ca="1">INDEX('Cap Table'!FN$6:FN$26,MATCH($B12,'Cap Table'!$B$6:$B$26,0))</f>
        <v>0</v>
      </c>
      <c r="G12" s="147">
        <f ca="1">IFERROR(F12/F$25,0)</f>
        <v>0</v>
      </c>
      <c r="I12" s="146" t="str">
        <f>IF($C$36="na","",INDEX('Cap Table'!FQ$6:FQ$26,MATCH($B12,'Cap Table'!$B$6:$B$26,0)))</f>
        <v/>
      </c>
      <c r="J12" s="146" t="str">
        <f>IF($C$36="na","",INDEX('Cap Table'!FR$6:FR$26,MATCH($B12,'Cap Table'!$B$6:$B$26,0)))</f>
        <v/>
      </c>
      <c r="K12" s="146" t="str">
        <f>IF($C$36="na","",INDEX('Cap Table'!FS$6:FS$26,MATCH($B12,'Cap Table'!$B$6:$B$26,0)))</f>
        <v/>
      </c>
      <c r="L12" s="148" t="str">
        <f t="shared" ref="L12:L23" si="0">IF($C$36="na","",IFERROR(K12/K$25,0))</f>
        <v/>
      </c>
    </row>
    <row r="13" spans="2:12">
      <c r="B13" s="145" t="str">
        <f>'Cap Table'!B7</f>
        <v>Employee</v>
      </c>
      <c r="C13" s="146" t="str">
        <f>INDEX('Cap Table'!FK$6:FK$26,MATCH($B13,'Cap Table'!$B$6:$B$26,0))</f>
        <v>Common</v>
      </c>
      <c r="D13" s="146">
        <f ca="1">INDEX('Cap Table'!FL$6:FL$26,MATCH($B13,'Cap Table'!$B$6:$B$26,0))</f>
        <v>0</v>
      </c>
      <c r="E13" s="146">
        <f ca="1">INDEX('Cap Table'!FM$6:FM$26,MATCH($B13,'Cap Table'!$B$6:$B$26,0))</f>
        <v>0</v>
      </c>
      <c r="F13" s="146">
        <f ca="1">INDEX('Cap Table'!FN$6:FN$26,MATCH($B13,'Cap Table'!$B$6:$B$26,0))</f>
        <v>0</v>
      </c>
      <c r="G13" s="147">
        <f t="shared" ref="G13:G23" ca="1" si="1">IFERROR(F13/F$25,0)</f>
        <v>0</v>
      </c>
      <c r="I13" s="146" t="str">
        <f>IF($C$36="na","",INDEX('Cap Table'!FQ$6:FQ$26,MATCH($B13,'Cap Table'!$B$6:$B$26,0)))</f>
        <v/>
      </c>
      <c r="J13" s="146" t="str">
        <f>IF($C$36="na","",INDEX('Cap Table'!FR$6:FR$26,MATCH($B13,'Cap Table'!$B$6:$B$26,0)))</f>
        <v/>
      </c>
      <c r="K13" s="146" t="str">
        <f>IF($C$36="na","",INDEX('Cap Table'!FS$6:FS$26,MATCH($B13,'Cap Table'!$B$6:$B$26,0)))</f>
        <v/>
      </c>
      <c r="L13" s="148" t="str">
        <f t="shared" si="0"/>
        <v/>
      </c>
    </row>
    <row r="14" spans="2:12">
      <c r="B14" s="145" t="str">
        <f>'Cap Table'!B8</f>
        <v>Seed</v>
      </c>
      <c r="C14" s="146" t="str">
        <f>INDEX('Cap Table'!FK$6:FK$26,MATCH($B14,'Cap Table'!$B$6:$B$26,0))</f>
        <v>Common</v>
      </c>
      <c r="D14" s="146">
        <f ca="1">INDEX('Cap Table'!FL$6:FL$26,MATCH($B14,'Cap Table'!$B$6:$B$26,0))</f>
        <v>0</v>
      </c>
      <c r="E14" s="146">
        <f ca="1">INDEX('Cap Table'!FM$6:FM$26,MATCH($B14,'Cap Table'!$B$6:$B$26,0))</f>
        <v>0</v>
      </c>
      <c r="F14" s="146">
        <f ca="1">INDEX('Cap Table'!FN$6:FN$26,MATCH($B14,'Cap Table'!$B$6:$B$26,0))</f>
        <v>0</v>
      </c>
      <c r="G14" s="147">
        <f t="shared" ca="1" si="1"/>
        <v>0</v>
      </c>
      <c r="I14" s="146" t="str">
        <f>IF($C$36="na","",INDEX('Cap Table'!FQ$6:FQ$26,MATCH($B14,'Cap Table'!$B$6:$B$26,0)))</f>
        <v/>
      </c>
      <c r="J14" s="146" t="str">
        <f>IF($C$36="na","",INDEX('Cap Table'!FR$6:FR$26,MATCH($B14,'Cap Table'!$B$6:$B$26,0)))</f>
        <v/>
      </c>
      <c r="K14" s="146" t="str">
        <f>IF($C$36="na","",INDEX('Cap Table'!FS$6:FS$26,MATCH($B14,'Cap Table'!$B$6:$B$26,0)))</f>
        <v/>
      </c>
      <c r="L14" s="148" t="str">
        <f t="shared" si="0"/>
        <v/>
      </c>
    </row>
    <row r="15" spans="2:12">
      <c r="B15" s="145" t="str">
        <f>'Cap Table'!B9</f>
        <v>na</v>
      </c>
      <c r="C15" s="146" t="str">
        <f>INDEX('Cap Table'!FK$6:FK$26,MATCH($B15,'Cap Table'!$B$6:$B$26,0))</f>
        <v>Common</v>
      </c>
      <c r="D15" s="146">
        <f ca="1">INDEX('Cap Table'!FL$6:FL$26,MATCH($B15,'Cap Table'!$B$6:$B$26,0))</f>
        <v>0</v>
      </c>
      <c r="E15" s="146">
        <f ca="1">INDEX('Cap Table'!FM$6:FM$26,MATCH($B15,'Cap Table'!$B$6:$B$26,0))</f>
        <v>0</v>
      </c>
      <c r="F15" s="146">
        <f ca="1">INDEX('Cap Table'!FN$6:FN$26,MATCH($B15,'Cap Table'!$B$6:$B$26,0))</f>
        <v>0</v>
      </c>
      <c r="G15" s="147">
        <f t="shared" ca="1" si="1"/>
        <v>0</v>
      </c>
      <c r="I15" s="146" t="str">
        <f>IF($C$36="na","",INDEX('Cap Table'!FQ$6:FQ$26,MATCH($B15,'Cap Table'!$B$6:$B$26,0)))</f>
        <v/>
      </c>
      <c r="J15" s="146" t="str">
        <f>IF($C$36="na","",INDEX('Cap Table'!FR$6:FR$26,MATCH($B15,'Cap Table'!$B$6:$B$26,0)))</f>
        <v/>
      </c>
      <c r="K15" s="146" t="str">
        <f>IF($C$36="na","",INDEX('Cap Table'!FS$6:FS$26,MATCH($B15,'Cap Table'!$B$6:$B$26,0)))</f>
        <v/>
      </c>
      <c r="L15" s="148" t="str">
        <f t="shared" si="0"/>
        <v/>
      </c>
    </row>
    <row r="16" spans="2:12">
      <c r="B16" s="145" t="str">
        <f>'Cap Table'!B10</f>
        <v>na</v>
      </c>
      <c r="C16" s="146" t="str">
        <f>INDEX('Cap Table'!FK$6:FK$26,MATCH($B16,'Cap Table'!$B$6:$B$26,0))</f>
        <v>Common</v>
      </c>
      <c r="D16" s="146">
        <f ca="1">INDEX('Cap Table'!FL$6:FL$26,MATCH($B16,'Cap Table'!$B$6:$B$26,0))</f>
        <v>0</v>
      </c>
      <c r="E16" s="146">
        <f ca="1">INDEX('Cap Table'!FM$6:FM$26,MATCH($B16,'Cap Table'!$B$6:$B$26,0))</f>
        <v>0</v>
      </c>
      <c r="F16" s="146">
        <f ca="1">INDEX('Cap Table'!FN$6:FN$26,MATCH($B16,'Cap Table'!$B$6:$B$26,0))</f>
        <v>0</v>
      </c>
      <c r="G16" s="147">
        <f t="shared" ca="1" si="1"/>
        <v>0</v>
      </c>
      <c r="I16" s="146" t="str">
        <f>IF($C$36="na","",INDEX('Cap Table'!FQ$6:FQ$26,MATCH($B16,'Cap Table'!$B$6:$B$26,0)))</f>
        <v/>
      </c>
      <c r="J16" s="146" t="str">
        <f>IF($C$36="na","",INDEX('Cap Table'!FR$6:FR$26,MATCH($B16,'Cap Table'!$B$6:$B$26,0)))</f>
        <v/>
      </c>
      <c r="K16" s="146" t="str">
        <f>IF($C$36="na","",INDEX('Cap Table'!FS$6:FS$26,MATCH($B16,'Cap Table'!$B$6:$B$26,0)))</f>
        <v/>
      </c>
      <c r="L16" s="148" t="str">
        <f t="shared" si="0"/>
        <v/>
      </c>
    </row>
    <row r="17" spans="2:12">
      <c r="B17" s="145" t="str">
        <f>'Cap Table'!B11</f>
        <v>na</v>
      </c>
      <c r="C17" s="146" t="str">
        <f>INDEX('Cap Table'!FK$6:FK$26,MATCH($B17,'Cap Table'!$B$6:$B$26,0))</f>
        <v>Common</v>
      </c>
      <c r="D17" s="146">
        <f ca="1">INDEX('Cap Table'!FL$6:FL$26,MATCH($B17,'Cap Table'!$B$6:$B$26,0))</f>
        <v>0</v>
      </c>
      <c r="E17" s="146">
        <f ca="1">INDEX('Cap Table'!FM$6:FM$26,MATCH($B17,'Cap Table'!$B$6:$B$26,0))</f>
        <v>0</v>
      </c>
      <c r="F17" s="146">
        <f ca="1">INDEX('Cap Table'!FN$6:FN$26,MATCH($B17,'Cap Table'!$B$6:$B$26,0))</f>
        <v>0</v>
      </c>
      <c r="G17" s="147">
        <f t="shared" ca="1" si="1"/>
        <v>0</v>
      </c>
      <c r="I17" s="146" t="str">
        <f>IF($C$36="na","",INDEX('Cap Table'!FQ$6:FQ$26,MATCH($B17,'Cap Table'!$B$6:$B$26,0)))</f>
        <v/>
      </c>
      <c r="J17" s="146" t="str">
        <f>IF($C$36="na","",INDEX('Cap Table'!FR$6:FR$26,MATCH($B17,'Cap Table'!$B$6:$B$26,0)))</f>
        <v/>
      </c>
      <c r="K17" s="146" t="str">
        <f>IF($C$36="na","",INDEX('Cap Table'!FS$6:FS$26,MATCH($B17,'Cap Table'!$B$6:$B$26,0)))</f>
        <v/>
      </c>
      <c r="L17" s="148" t="str">
        <f t="shared" si="0"/>
        <v/>
      </c>
    </row>
    <row r="18" spans="2:12">
      <c r="B18" s="145" t="str">
        <f>'Cap Table'!B12</f>
        <v>na</v>
      </c>
      <c r="C18" s="146" t="str">
        <f>INDEX('Cap Table'!FK$6:FK$26,MATCH($B18,'Cap Table'!$B$6:$B$26,0))</f>
        <v>Common</v>
      </c>
      <c r="D18" s="146">
        <f ca="1">INDEX('Cap Table'!FL$6:FL$26,MATCH($B18,'Cap Table'!$B$6:$B$26,0))</f>
        <v>0</v>
      </c>
      <c r="E18" s="146">
        <f ca="1">INDEX('Cap Table'!FM$6:FM$26,MATCH($B18,'Cap Table'!$B$6:$B$26,0))</f>
        <v>0</v>
      </c>
      <c r="F18" s="146">
        <f ca="1">INDEX('Cap Table'!FN$6:FN$26,MATCH($B18,'Cap Table'!$B$6:$B$26,0))</f>
        <v>0</v>
      </c>
      <c r="G18" s="147">
        <f t="shared" ca="1" si="1"/>
        <v>0</v>
      </c>
      <c r="I18" s="146" t="str">
        <f>IF($C$36="na","",INDEX('Cap Table'!FQ$6:FQ$26,MATCH($B18,'Cap Table'!$B$6:$B$26,0)))</f>
        <v/>
      </c>
      <c r="J18" s="146" t="str">
        <f>IF($C$36="na","",INDEX('Cap Table'!FR$6:FR$26,MATCH($B18,'Cap Table'!$B$6:$B$26,0)))</f>
        <v/>
      </c>
      <c r="K18" s="146" t="str">
        <f>IF($C$36="na","",INDEX('Cap Table'!FS$6:FS$26,MATCH($B18,'Cap Table'!$B$6:$B$26,0)))</f>
        <v/>
      </c>
      <c r="L18" s="148" t="str">
        <f t="shared" si="0"/>
        <v/>
      </c>
    </row>
    <row r="19" spans="2:12">
      <c r="B19" s="145" t="str">
        <f>'Cap Table'!B13</f>
        <v>na</v>
      </c>
      <c r="C19" s="146" t="str">
        <f>INDEX('Cap Table'!FK$6:FK$26,MATCH($B19,'Cap Table'!$B$6:$B$26,0))</f>
        <v>Common</v>
      </c>
      <c r="D19" s="146">
        <f ca="1">INDEX('Cap Table'!FL$6:FL$26,MATCH($B19,'Cap Table'!$B$6:$B$26,0))</f>
        <v>0</v>
      </c>
      <c r="E19" s="146">
        <f ca="1">INDEX('Cap Table'!FM$6:FM$26,MATCH($B19,'Cap Table'!$B$6:$B$26,0))</f>
        <v>0</v>
      </c>
      <c r="F19" s="146">
        <f ca="1">INDEX('Cap Table'!FN$6:FN$26,MATCH($B19,'Cap Table'!$B$6:$B$26,0))</f>
        <v>0</v>
      </c>
      <c r="G19" s="147">
        <f t="shared" ca="1" si="1"/>
        <v>0</v>
      </c>
      <c r="I19" s="146" t="str">
        <f>IF($C$36="na","",INDEX('Cap Table'!FQ$6:FQ$26,MATCH($B19,'Cap Table'!$B$6:$B$26,0)))</f>
        <v/>
      </c>
      <c r="J19" s="146" t="str">
        <f>IF($C$36="na","",INDEX('Cap Table'!FR$6:FR$26,MATCH($B19,'Cap Table'!$B$6:$B$26,0)))</f>
        <v/>
      </c>
      <c r="K19" s="146" t="str">
        <f>IF($C$36="na","",INDEX('Cap Table'!FS$6:FS$26,MATCH($B19,'Cap Table'!$B$6:$B$26,0)))</f>
        <v/>
      </c>
      <c r="L19" s="148" t="str">
        <f t="shared" si="0"/>
        <v/>
      </c>
    </row>
    <row r="20" spans="2:12">
      <c r="B20" s="149" t="str">
        <f>"Other "&amp;C20</f>
        <v>Other Common</v>
      </c>
      <c r="C20" s="149" t="str">
        <f>'Cap Table'!B32</f>
        <v>Common</v>
      </c>
      <c r="D20" s="146">
        <f t="shared" ref="D20:F21" ca="1" si="2">D28-SUMIF($C$12:$C$19,$B28,D$12:D$19)</f>
        <v>0</v>
      </c>
      <c r="E20" s="146">
        <f t="shared" ca="1" si="2"/>
        <v>0</v>
      </c>
      <c r="F20" s="146">
        <f t="shared" ca="1" si="2"/>
        <v>0</v>
      </c>
      <c r="G20" s="147">
        <f t="shared" ca="1" si="1"/>
        <v>0</v>
      </c>
      <c r="I20" s="146" t="str">
        <f t="shared" ref="I20:K21" si="3">IF($C$36="na","",I28-SUMIF($C$12:$C$19,$B28,I$12:I$19))</f>
        <v/>
      </c>
      <c r="J20" s="146" t="str">
        <f t="shared" si="3"/>
        <v/>
      </c>
      <c r="K20" s="146" t="str">
        <f t="shared" si="3"/>
        <v/>
      </c>
      <c r="L20" s="148" t="str">
        <f t="shared" si="0"/>
        <v/>
      </c>
    </row>
    <row r="21" spans="2:12">
      <c r="B21" s="150" t="str">
        <f>"Other "&amp;C21</f>
        <v>Other Preferred</v>
      </c>
      <c r="C21" s="149" t="str">
        <f>'Cap Table'!B33</f>
        <v>Preferred</v>
      </c>
      <c r="D21" s="146">
        <f t="shared" ca="1" si="2"/>
        <v>0</v>
      </c>
      <c r="E21" s="146">
        <f t="shared" ca="1" si="2"/>
        <v>0</v>
      </c>
      <c r="F21" s="146">
        <f t="shared" ca="1" si="2"/>
        <v>0</v>
      </c>
      <c r="G21" s="147">
        <f t="shared" ca="1" si="1"/>
        <v>0</v>
      </c>
      <c r="I21" s="146" t="str">
        <f t="shared" si="3"/>
        <v/>
      </c>
      <c r="J21" s="146" t="str">
        <f t="shared" si="3"/>
        <v/>
      </c>
      <c r="K21" s="146" t="str">
        <f t="shared" si="3"/>
        <v/>
      </c>
      <c r="L21" s="148" t="str">
        <f t="shared" si="0"/>
        <v/>
      </c>
    </row>
    <row r="22" spans="2:12">
      <c r="B22" s="150" t="str">
        <f>'Cap Table'!B27</f>
        <v>Options - Granted</v>
      </c>
      <c r="C22" s="146" t="str">
        <f>INDEX('Cap Table'!FK$6:FK$28,MATCH($B22,'Cap Table'!$B$6:$B$28,0))</f>
        <v>Options</v>
      </c>
      <c r="D22" s="146">
        <f ca="1">INDEX('Cap Table'!FL$6:FL$28,MATCH($B22,'Cap Table'!$B$6:$B$28,0))</f>
        <v>0</v>
      </c>
      <c r="E22" s="146">
        <f ca="1">INDEX('Cap Table'!FM$6:FM$28,MATCH($B22,'Cap Table'!$B$6:$B$28,0))</f>
        <v>0</v>
      </c>
      <c r="F22" s="146">
        <f ca="1">INDEX('Cap Table'!FN$6:FN$28,MATCH($B22,'Cap Table'!$B$6:$B$28,0))</f>
        <v>0</v>
      </c>
      <c r="G22" s="147">
        <f t="shared" ca="1" si="1"/>
        <v>0</v>
      </c>
      <c r="I22" s="146" t="str">
        <f>IF($C$36="na","",INDEX('Cap Table'!FQ$6:FQ$28,MATCH($B22,'Cap Table'!$B$6:$B$28,0)))</f>
        <v/>
      </c>
      <c r="J22" s="146" t="str">
        <f>IF($C$36="na","",INDEX('Cap Table'!FR$6:FR$28,MATCH($B22,'Cap Table'!$B$6:$B$28,0)))</f>
        <v/>
      </c>
      <c r="K22" s="146" t="str">
        <f>IF($C$36="na","",INDEX('Cap Table'!FS$6:FS$28,MATCH($B22,'Cap Table'!$B$6:$B$28,0)))</f>
        <v/>
      </c>
      <c r="L22" s="148" t="str">
        <f t="shared" si="0"/>
        <v/>
      </c>
    </row>
    <row r="23" spans="2:12">
      <c r="B23" s="150" t="str">
        <f>'Cap Table'!B28</f>
        <v>Option Pool - Available, Ungranted</v>
      </c>
      <c r="C23" s="146" t="str">
        <f>INDEX('Cap Table'!FK$6:FK$28,MATCH($B23,'Cap Table'!$B$6:$B$28,0))</f>
        <v>Options</v>
      </c>
      <c r="D23" s="146">
        <f ca="1">INDEX('Cap Table'!FL$6:FL$28,MATCH($B23,'Cap Table'!$B$6:$B$28,0))</f>
        <v>0</v>
      </c>
      <c r="E23" s="146">
        <f ca="1">INDEX('Cap Table'!FM$6:FM$28,MATCH($B23,'Cap Table'!$B$6:$B$28,0))</f>
        <v>0</v>
      </c>
      <c r="F23" s="146">
        <f ca="1">INDEX('Cap Table'!FN$6:FN$28,MATCH($B23,'Cap Table'!$B$6:$B$28,0))</f>
        <v>0</v>
      </c>
      <c r="G23" s="147">
        <f t="shared" ca="1" si="1"/>
        <v>0</v>
      </c>
      <c r="I23" s="146" t="str">
        <f>IF($C$36="na","",INDEX('Cap Table'!FQ$6:FQ$28,MATCH($B23,'Cap Table'!$B$6:$B$28,0)))</f>
        <v/>
      </c>
      <c r="J23" s="146" t="str">
        <f>IF($C$36="na","",INDEX('Cap Table'!FR$6:FR$28,MATCH($B23,'Cap Table'!$B$6:$B$28,0)))</f>
        <v/>
      </c>
      <c r="K23" s="146" t="str">
        <f>IF($C$36="na","",INDEX('Cap Table'!FS$6:FS$28,MATCH($B23,'Cap Table'!$B$6:$B$28,0)))</f>
        <v/>
      </c>
      <c r="L23" s="148" t="str">
        <f t="shared" si="0"/>
        <v/>
      </c>
    </row>
    <row r="25" spans="2:12">
      <c r="B25" s="151" t="s">
        <v>20</v>
      </c>
      <c r="C25" s="38" t="s">
        <v>293</v>
      </c>
      <c r="D25" s="88">
        <f ca="1">SUM(D12:D24)</f>
        <v>0</v>
      </c>
      <c r="E25" s="88">
        <f ca="1">SUM(E12:E24)</f>
        <v>0</v>
      </c>
      <c r="F25" s="88">
        <f ca="1">SUM(F12:F24)</f>
        <v>0</v>
      </c>
      <c r="G25" s="152">
        <f ca="1">IFERROR(F25/F$25,0)</f>
        <v>0</v>
      </c>
      <c r="I25" s="89" t="str">
        <f>IF($C$36="na","",SUM(I12:I24))</f>
        <v/>
      </c>
      <c r="J25" s="89" t="str">
        <f>IF($C$36="na","",SUM(J12:J24))</f>
        <v/>
      </c>
      <c r="K25" s="89" t="str">
        <f>IF($C$36="na","",SUM(K12:K24))</f>
        <v/>
      </c>
      <c r="L25" s="148" t="str">
        <f>IF($C$36="na","",IFERROR(K25/K$25,0))</f>
        <v/>
      </c>
    </row>
    <row r="27" spans="2:12">
      <c r="B27" s="149" t="str">
        <f>'Cap Table'!B31</f>
        <v>Share Class</v>
      </c>
    </row>
    <row r="28" spans="2:12">
      <c r="B28" s="87" t="str">
        <f>'Cap Table'!B32</f>
        <v>Common</v>
      </c>
      <c r="D28" s="146">
        <f ca="1">'Cap Table'!FL32</f>
        <v>0</v>
      </c>
      <c r="E28" s="146">
        <f ca="1">'Cap Table'!FM32</f>
        <v>0</v>
      </c>
      <c r="F28" s="146">
        <f ca="1">'Cap Table'!FN32</f>
        <v>0</v>
      </c>
      <c r="G28" s="147">
        <f t="shared" ref="G28:G32" ca="1" si="4">IFERROR(F28/F$25,0)</f>
        <v>0</v>
      </c>
      <c r="I28" s="146" t="str">
        <f>IF($C$36="na","",'Cap Table'!FQ32)</f>
        <v/>
      </c>
      <c r="J28" s="146" t="str">
        <f>IF($C$36="na","",'Cap Table'!FR32)</f>
        <v/>
      </c>
      <c r="K28" s="146" t="str">
        <f>IF($C$36="na","",'Cap Table'!FS32)</f>
        <v/>
      </c>
      <c r="L28" s="148" t="str">
        <f>IF($C$36="na","",IFERROR(K28/K$25,0))</f>
        <v/>
      </c>
    </row>
    <row r="29" spans="2:12">
      <c r="B29" s="87" t="str">
        <f>'Cap Table'!B33</f>
        <v>Preferred</v>
      </c>
      <c r="D29" s="146">
        <f ca="1">'Cap Table'!FL33</f>
        <v>0</v>
      </c>
      <c r="E29" s="146">
        <f ca="1">'Cap Table'!FM33</f>
        <v>0</v>
      </c>
      <c r="F29" s="146">
        <f ca="1">'Cap Table'!FN33</f>
        <v>0</v>
      </c>
      <c r="G29" s="147">
        <f t="shared" ca="1" si="4"/>
        <v>0</v>
      </c>
      <c r="I29" s="146" t="str">
        <f>IF($C$36="na","",'Cap Table'!FQ33)</f>
        <v/>
      </c>
      <c r="J29" s="146" t="str">
        <f>IF($C$36="na","",'Cap Table'!FR33)</f>
        <v/>
      </c>
      <c r="K29" s="146" t="str">
        <f>IF($C$36="na","",'Cap Table'!FS33)</f>
        <v/>
      </c>
      <c r="L29" s="148" t="str">
        <f>IF($C$36="na","",IFERROR(K29/K$25,0))</f>
        <v/>
      </c>
    </row>
    <row r="30" spans="2:12">
      <c r="B30" s="87" t="str">
        <f>'Cap Table'!B34</f>
        <v>Options</v>
      </c>
      <c r="D30" s="146">
        <f ca="1">'Cap Table'!FL34</f>
        <v>0</v>
      </c>
      <c r="E30" s="146">
        <f ca="1">'Cap Table'!FM34</f>
        <v>0</v>
      </c>
      <c r="F30" s="146">
        <f ca="1">'Cap Table'!FN34</f>
        <v>0</v>
      </c>
      <c r="G30" s="147">
        <f t="shared" ca="1" si="4"/>
        <v>0</v>
      </c>
      <c r="I30" s="146" t="str">
        <f>IF($C$36="na","",'Cap Table'!FQ34)</f>
        <v/>
      </c>
      <c r="J30" s="146" t="str">
        <f>IF($C$36="na","",'Cap Table'!FR34)</f>
        <v/>
      </c>
      <c r="K30" s="146" t="str">
        <f>IF($C$36="na","",'Cap Table'!FS34)</f>
        <v/>
      </c>
      <c r="L30" s="148" t="str">
        <f>IF($C$36="na","",IFERROR(K30/K$25,0))</f>
        <v/>
      </c>
    </row>
    <row r="31" spans="2:12">
      <c r="B31" s="87" t="str">
        <f>'Cap Table'!B35</f>
        <v>na</v>
      </c>
      <c r="D31" s="146">
        <f ca="1">'Cap Table'!FL35</f>
        <v>0</v>
      </c>
      <c r="E31" s="146">
        <f ca="1">'Cap Table'!FM35</f>
        <v>0</v>
      </c>
      <c r="F31" s="146">
        <f ca="1">'Cap Table'!FN35</f>
        <v>0</v>
      </c>
      <c r="G31" s="147">
        <f t="shared" ca="1" si="4"/>
        <v>0</v>
      </c>
      <c r="I31" s="146" t="str">
        <f>IF($C$36="na","",'Cap Table'!FQ35)</f>
        <v/>
      </c>
      <c r="J31" s="146" t="str">
        <f>IF($C$36="na","",'Cap Table'!FR35)</f>
        <v/>
      </c>
      <c r="K31" s="146" t="str">
        <f>IF($C$36="na","",'Cap Table'!FS35)</f>
        <v/>
      </c>
      <c r="L31" s="148" t="str">
        <f>IF($C$36="na","",IFERROR(K31/K$25,0))</f>
        <v/>
      </c>
    </row>
    <row r="32" spans="2:12">
      <c r="B32" s="87" t="s">
        <v>20</v>
      </c>
      <c r="D32" s="89">
        <f ca="1">SUM(D28:D30)</f>
        <v>0</v>
      </c>
      <c r="E32" s="89">
        <f ca="1">SUM(E28:E30)</f>
        <v>0</v>
      </c>
      <c r="F32" s="89">
        <f ca="1">SUM(F28:F30)</f>
        <v>0</v>
      </c>
      <c r="G32" s="147">
        <f t="shared" ca="1" si="4"/>
        <v>0</v>
      </c>
      <c r="I32" s="146" t="str">
        <f>IF($C$36="na","",'Cap Table'!FQ36)</f>
        <v/>
      </c>
      <c r="J32" s="146" t="str">
        <f>IF($C$36="na","",'Cap Table'!FR36)</f>
        <v/>
      </c>
      <c r="K32" s="146" t="str">
        <f>IF($C$36="na","",'Cap Table'!FS36)</f>
        <v/>
      </c>
      <c r="L32" s="148" t="str">
        <f>IF($C$36="na","",IFERROR(K32/K$25,0))</f>
        <v/>
      </c>
    </row>
    <row r="33" spans="2:7">
      <c r="B33" s="87"/>
      <c r="F33" s="6"/>
      <c r="G33" s="41"/>
    </row>
    <row r="34" spans="2:7">
      <c r="B34" s="2" t="s">
        <v>294</v>
      </c>
      <c r="C34" s="153">
        <v>43223</v>
      </c>
    </row>
    <row r="35" spans="2:7">
      <c r="B35" s="2" t="s">
        <v>295</v>
      </c>
      <c r="C35" s="154" t="s">
        <v>25</v>
      </c>
    </row>
    <row r="36" spans="2:7">
      <c r="B36" s="2" t="s">
        <v>296</v>
      </c>
      <c r="C36" s="154" t="s">
        <v>27</v>
      </c>
    </row>
    <row r="39" spans="2:7">
      <c r="B39" s="33" t="s">
        <v>297</v>
      </c>
    </row>
    <row r="40" spans="2:7">
      <c r="B40" s="2" t="s">
        <v>309</v>
      </c>
    </row>
    <row r="41" spans="2:7">
      <c r="B41" s="2" t="s">
        <v>310</v>
      </c>
    </row>
    <row r="42" spans="2:7">
      <c r="B42" s="2" t="s">
        <v>305</v>
      </c>
    </row>
    <row r="43" spans="2:7">
      <c r="B43" s="2" t="s">
        <v>306</v>
      </c>
    </row>
    <row r="44" spans="2:7">
      <c r="B44" s="2" t="s">
        <v>307</v>
      </c>
    </row>
    <row r="45" spans="2:7">
      <c r="B45" s="2" t="s">
        <v>312</v>
      </c>
    </row>
    <row r="46" spans="2:7">
      <c r="B46" s="2" t="s">
        <v>308</v>
      </c>
    </row>
  </sheetData>
  <conditionalFormatting sqref="I10:L10">
    <cfRule type="expression" dxfId="9" priority="1">
      <formula>$C$36&lt;&gt;"na"</formula>
    </cfRule>
  </conditionalFormatting>
  <conditionalFormatting sqref="I25:L25">
    <cfRule type="expression" dxfId="8" priority="2">
      <formula>$C$36&lt;&gt;"na"</formula>
    </cfRule>
  </conditionalFormatting>
  <conditionalFormatting sqref="I8:L8">
    <cfRule type="expression" dxfId="7" priority="3">
      <formula>$C$36&lt;&gt;"na"</formula>
    </cfRule>
  </conditionalFormatting>
  <pageMargins left="0.75" right="0.75" top="1" bottom="1" header="0.5" footer="0.5"/>
  <pageSetup scale="52" orientation="landscape"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'Cap Table'!$B$6:$B$26</xm:f>
          </x14:formula1>
          <xm:sqref>B12:B19</xm:sqref>
        </x14:dataValidation>
        <x14:dataValidation type="list" allowBlank="1" showInputMessage="1" showErrorMessage="1" xr:uid="{00000000-0002-0000-0300-000001000000}">
          <x14:formula1>
            <xm:f>'Cap Table'!$B$48:$B$55</xm:f>
          </x14:formula1>
          <xm:sqref>C35:C36</xm:sqref>
        </x14:dataValidation>
      </x14:dataValidations>
    </ex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S252"/>
  <sheetViews>
    <sheetView showGridLines="0" workbookViewId="0">
      <pane xSplit="2" ySplit="5" topLeftCell="EX6" activePane="bottomRight" state="frozen"/>
      <selection activeCell="B47" sqref="B47"/>
      <selection pane="topRight" activeCell="B47" sqref="B47"/>
      <selection pane="bottomLeft" activeCell="B47" sqref="B47"/>
      <selection pane="bottomRight" activeCell="FN11" sqref="FN11"/>
    </sheetView>
  </sheetViews>
  <sheetFormatPr baseColWidth="10" defaultRowHeight="17" outlineLevelCol="1"/>
  <cols>
    <col min="1" max="1" width="4.83203125" style="149" customWidth="1"/>
    <col min="2" max="2" width="35.1640625" style="149" customWidth="1"/>
    <col min="3" max="4" width="14" style="149" customWidth="1"/>
    <col min="5" max="5" width="19.1640625" style="155" customWidth="1"/>
    <col min="6" max="6" width="7.83203125" style="155" customWidth="1"/>
    <col min="7" max="8" width="18.5" style="155" customWidth="1"/>
    <col min="9" max="12" width="19.1640625" style="155" customWidth="1"/>
    <col min="13" max="13" width="18.83203125" style="155" customWidth="1"/>
    <col min="14" max="17" width="19.1640625" style="155" customWidth="1"/>
    <col min="18" max="18" width="19.1640625" style="149" customWidth="1"/>
    <col min="19" max="22" width="19.1640625" style="149" customWidth="1" outlineLevel="1"/>
    <col min="23" max="23" width="21.1640625" style="149" customWidth="1" outlineLevel="1"/>
    <col min="24" max="25" width="19.1640625" style="149" customWidth="1" outlineLevel="1"/>
    <col min="26" max="37" width="19.1640625" style="149" customWidth="1"/>
    <col min="38" max="39" width="19.1640625" style="155" customWidth="1"/>
    <col min="40" max="40" width="19.1640625" style="149" customWidth="1"/>
    <col min="41" max="44" width="19.1640625" style="149" customWidth="1" outlineLevel="1"/>
    <col min="45" max="45" width="20.33203125" style="149" customWidth="1" outlineLevel="1"/>
    <col min="46" max="47" width="19.1640625" style="149" customWidth="1" outlineLevel="1"/>
    <col min="48" max="54" width="19.1640625" style="149" customWidth="1"/>
    <col min="55" max="55" width="21.5" style="149" customWidth="1"/>
    <col min="56" max="62" width="19.1640625" style="149" customWidth="1"/>
    <col min="63" max="66" width="19.1640625" style="149" customWidth="1" outlineLevel="1"/>
    <col min="67" max="67" width="21.5" style="149" customWidth="1" outlineLevel="1"/>
    <col min="68" max="69" width="19.1640625" style="149" customWidth="1" outlineLevel="1"/>
    <col min="70" max="84" width="19.1640625" style="149" customWidth="1"/>
    <col min="85" max="88" width="19.1640625" style="149" customWidth="1" outlineLevel="1"/>
    <col min="89" max="89" width="20.33203125" style="149" customWidth="1" outlineLevel="1"/>
    <col min="90" max="91" width="19.1640625" style="149" customWidth="1" outlineLevel="1"/>
    <col min="92" max="106" width="19.1640625" style="149" customWidth="1"/>
    <col min="107" max="110" width="19.1640625" style="149" customWidth="1" outlineLevel="1"/>
    <col min="111" max="111" width="20.1640625" style="149" customWidth="1" outlineLevel="1"/>
    <col min="112" max="113" width="19.1640625" style="149" customWidth="1" outlineLevel="1"/>
    <col min="114" max="128" width="19.1640625" style="149" customWidth="1"/>
    <col min="129" max="132" width="19.1640625" style="149" customWidth="1" outlineLevel="1"/>
    <col min="133" max="133" width="20.83203125" style="149" customWidth="1" outlineLevel="1"/>
    <col min="134" max="135" width="19.1640625" style="149" customWidth="1" outlineLevel="1"/>
    <col min="136" max="165" width="19.1640625" style="149" customWidth="1"/>
    <col min="166" max="166" width="15.83203125" style="149" customWidth="1"/>
    <col min="167" max="170" width="16.5" style="149" customWidth="1"/>
    <col min="171" max="171" width="10.83203125" style="149"/>
    <col min="172" max="175" width="16.6640625" style="149" customWidth="1"/>
    <col min="176" max="16384" width="10.83203125" style="149"/>
  </cols>
  <sheetData>
    <row r="1" spans="2:175" ht="18" thickBot="1"/>
    <row r="2" spans="2:175">
      <c r="B2" s="156"/>
      <c r="C2" s="82"/>
    </row>
    <row r="3" spans="2:175">
      <c r="B3" s="157" t="s">
        <v>427</v>
      </c>
      <c r="C3" s="82"/>
    </row>
    <row r="4" spans="2:175" ht="18" thickBot="1">
      <c r="B4" s="158"/>
      <c r="C4" s="82"/>
      <c r="D4" s="159"/>
      <c r="G4" s="292" t="str">
        <f>I60</f>
        <v>Founding</v>
      </c>
      <c r="H4" s="160"/>
      <c r="I4" s="161"/>
      <c r="J4" s="161"/>
      <c r="K4" s="161"/>
      <c r="L4" s="161"/>
      <c r="M4" s="161"/>
      <c r="N4" s="161"/>
      <c r="P4" s="162" t="str">
        <f>R60</f>
        <v>Seed</v>
      </c>
      <c r="Q4" s="163"/>
      <c r="R4" s="163"/>
      <c r="S4" s="163"/>
      <c r="T4" s="163"/>
      <c r="U4" s="163"/>
      <c r="V4" s="163"/>
      <c r="W4" s="163"/>
      <c r="X4" s="163"/>
      <c r="Y4" s="163"/>
      <c r="Z4" s="163"/>
      <c r="AA4" s="163"/>
      <c r="AB4" s="163"/>
      <c r="AC4" s="163"/>
      <c r="AD4" s="163"/>
      <c r="AE4" s="163"/>
      <c r="AF4" s="163"/>
      <c r="AG4" s="163"/>
      <c r="AH4" s="163"/>
      <c r="AI4" s="163"/>
      <c r="AJ4" s="163"/>
      <c r="AL4" s="162" t="str">
        <f>AN60</f>
        <v>A</v>
      </c>
      <c r="AM4" s="163"/>
      <c r="AN4" s="163"/>
      <c r="AO4" s="163"/>
      <c r="AP4" s="163"/>
      <c r="AQ4" s="163"/>
      <c r="AR4" s="163"/>
      <c r="AS4" s="163"/>
      <c r="AT4" s="163"/>
      <c r="AU4" s="163"/>
      <c r="AV4" s="163"/>
      <c r="AW4" s="163"/>
      <c r="AX4" s="163"/>
      <c r="AY4" s="163"/>
      <c r="AZ4" s="163"/>
      <c r="BA4" s="163"/>
      <c r="BB4" s="163"/>
      <c r="BC4" s="163"/>
      <c r="BD4" s="163"/>
      <c r="BE4" s="163"/>
      <c r="BF4" s="163"/>
      <c r="BH4" s="162" t="str">
        <f>BJ60</f>
        <v>B</v>
      </c>
      <c r="BI4" s="163"/>
      <c r="BJ4" s="163"/>
      <c r="BK4" s="163"/>
      <c r="BL4" s="163"/>
      <c r="BM4" s="163"/>
      <c r="BN4" s="163"/>
      <c r="BO4" s="163"/>
      <c r="BP4" s="163"/>
      <c r="BQ4" s="163"/>
      <c r="BR4" s="163"/>
      <c r="BS4" s="163"/>
      <c r="BT4" s="163"/>
      <c r="BU4" s="163"/>
      <c r="BV4" s="163"/>
      <c r="BW4" s="163"/>
      <c r="BX4" s="163"/>
      <c r="BY4" s="163"/>
      <c r="BZ4" s="163"/>
      <c r="CA4" s="163"/>
      <c r="CB4" s="163"/>
      <c r="CD4" s="162" t="str">
        <f>CF60</f>
        <v>C</v>
      </c>
      <c r="CE4" s="163"/>
      <c r="CF4" s="163"/>
      <c r="CG4" s="163"/>
      <c r="CH4" s="163"/>
      <c r="CI4" s="163"/>
      <c r="CJ4" s="163"/>
      <c r="CK4" s="163"/>
      <c r="CL4" s="163"/>
      <c r="CM4" s="163"/>
      <c r="CN4" s="163"/>
      <c r="CO4" s="163"/>
      <c r="CP4" s="163"/>
      <c r="CQ4" s="163"/>
      <c r="CR4" s="163"/>
      <c r="CS4" s="163"/>
      <c r="CT4" s="163"/>
      <c r="CU4" s="163"/>
      <c r="CV4" s="163"/>
      <c r="CW4" s="163"/>
      <c r="CX4" s="163"/>
      <c r="CZ4" s="162" t="str">
        <f>DB60</f>
        <v>D</v>
      </c>
      <c r="DA4" s="163"/>
      <c r="DB4" s="163"/>
      <c r="DC4" s="163"/>
      <c r="DD4" s="163"/>
      <c r="DE4" s="163"/>
      <c r="DF4" s="163"/>
      <c r="DG4" s="163"/>
      <c r="DH4" s="163"/>
      <c r="DI4" s="163"/>
      <c r="DJ4" s="163"/>
      <c r="DK4" s="163"/>
      <c r="DL4" s="163"/>
      <c r="DM4" s="163"/>
      <c r="DN4" s="163"/>
      <c r="DO4" s="163"/>
      <c r="DP4" s="163"/>
      <c r="DQ4" s="163"/>
      <c r="DR4" s="163"/>
      <c r="DS4" s="163"/>
      <c r="DT4" s="163"/>
      <c r="DV4" s="162" t="str">
        <f>DX60</f>
        <v>E</v>
      </c>
      <c r="DW4" s="163"/>
      <c r="DX4" s="163"/>
      <c r="DY4" s="163"/>
      <c r="DZ4" s="163"/>
      <c r="EA4" s="163"/>
      <c r="EB4" s="163"/>
      <c r="EC4" s="163"/>
      <c r="ED4" s="163"/>
      <c r="EE4" s="163"/>
      <c r="EF4" s="163"/>
      <c r="EG4" s="163"/>
      <c r="EH4" s="163"/>
      <c r="EI4" s="163"/>
      <c r="EJ4" s="163"/>
      <c r="EK4" s="163"/>
      <c r="EL4" s="163"/>
      <c r="EM4" s="163"/>
      <c r="EN4" s="163"/>
      <c r="EO4" s="163"/>
      <c r="EP4" s="163"/>
      <c r="ER4" s="162" t="s">
        <v>428</v>
      </c>
      <c r="ES4" s="163"/>
      <c r="ET4" s="163"/>
      <c r="EU4" s="163"/>
      <c r="EV4" s="163"/>
      <c r="EW4" s="163"/>
      <c r="EX4" s="163"/>
      <c r="EY4" s="163"/>
      <c r="EZ4" s="163"/>
      <c r="FA4" s="163"/>
      <c r="FB4" s="163"/>
      <c r="FC4" s="163"/>
      <c r="FD4" s="163"/>
      <c r="FE4" s="163"/>
      <c r="FF4" s="163"/>
      <c r="FG4" s="163"/>
      <c r="FH4" s="163"/>
      <c r="FI4" s="163"/>
      <c r="FK4" s="162" t="s">
        <v>429</v>
      </c>
      <c r="FL4" s="163" t="str">
        <f>Summary!C35</f>
        <v>Founding</v>
      </c>
      <c r="FM4" s="163"/>
      <c r="FN4" s="163"/>
      <c r="FP4" s="162" t="s">
        <v>429</v>
      </c>
      <c r="FQ4" s="163" t="str">
        <f>Summary!C36</f>
        <v>na</v>
      </c>
      <c r="FR4" s="163"/>
      <c r="FS4" s="163"/>
    </row>
    <row r="5" spans="2:175" s="165" customFormat="1" ht="51" customHeight="1">
      <c r="B5" s="142" t="str">
        <f>'Cap Table'!D62&amp;"holder [0]"</f>
        <v>Shareholder [0]</v>
      </c>
      <c r="C5" s="161" t="s">
        <v>420</v>
      </c>
      <c r="D5" s="164" t="s">
        <v>430</v>
      </c>
      <c r="E5" s="164" t="str">
        <f>'Cap Table'!B31&amp;" [36]"</f>
        <v>Share Class [36]</v>
      </c>
      <c r="F5" s="164"/>
      <c r="G5" s="164" t="s">
        <v>431</v>
      </c>
      <c r="H5" s="164" t="s">
        <v>432</v>
      </c>
      <c r="I5" s="164" t="str">
        <f>"# "&amp;'Cap Table'!$D62&amp;"s"</f>
        <v># Shares</v>
      </c>
      <c r="J5" s="164" t="s">
        <v>433</v>
      </c>
      <c r="K5" s="164" t="s">
        <v>434</v>
      </c>
      <c r="L5" s="27" t="s">
        <v>660</v>
      </c>
      <c r="M5" s="164" t="s">
        <v>435</v>
      </c>
      <c r="N5" s="164" t="str">
        <f>M5&amp;", % Ownership"</f>
        <v>Fully-Diluted Shares [1], % Ownership</v>
      </c>
      <c r="P5" s="164" t="s">
        <v>431</v>
      </c>
      <c r="Q5" s="164" t="s">
        <v>432</v>
      </c>
      <c r="R5" s="164" t="s">
        <v>437</v>
      </c>
      <c r="S5" s="164" t="s">
        <v>438</v>
      </c>
      <c r="T5" s="164" t="s">
        <v>439</v>
      </c>
      <c r="U5" s="164" t="s">
        <v>440</v>
      </c>
      <c r="V5" s="164" t="s">
        <v>441</v>
      </c>
      <c r="W5" s="164" t="s">
        <v>698</v>
      </c>
      <c r="X5" s="164" t="s">
        <v>442</v>
      </c>
      <c r="Y5" s="164" t="s">
        <v>443</v>
      </c>
      <c r="Z5" s="164" t="s">
        <v>444</v>
      </c>
      <c r="AA5" s="164" t="str">
        <f>"Price per "&amp;'Cap Table'!$D62</f>
        <v>Price per Share</v>
      </c>
      <c r="AB5" s="164" t="str">
        <f>"# "&amp;'Cap Table'!$D62&amp;"s"</f>
        <v># Shares</v>
      </c>
      <c r="AC5" s="164" t="s">
        <v>433</v>
      </c>
      <c r="AD5" s="164" t="str">
        <f>"Total # of "&amp;'Cap Table'!$D62&amp;"s"</f>
        <v>Total # of Shares</v>
      </c>
      <c r="AE5" s="164" t="s">
        <v>445</v>
      </c>
      <c r="AF5" s="164" t="s">
        <v>434</v>
      </c>
      <c r="AG5" s="27" t="s">
        <v>660</v>
      </c>
      <c r="AH5" s="164" t="s">
        <v>446</v>
      </c>
      <c r="AI5" s="164" t="s">
        <v>435</v>
      </c>
      <c r="AJ5" s="164" t="str">
        <f>AI5&amp;", % Ownership"</f>
        <v>Fully-Diluted Shares [1], % Ownership</v>
      </c>
      <c r="AL5" s="164" t="s">
        <v>431</v>
      </c>
      <c r="AM5" s="164" t="s">
        <v>432</v>
      </c>
      <c r="AN5" s="164" t="s">
        <v>437</v>
      </c>
      <c r="AO5" s="164" t="s">
        <v>438</v>
      </c>
      <c r="AP5" s="164" t="s">
        <v>439</v>
      </c>
      <c r="AQ5" s="164" t="s">
        <v>440</v>
      </c>
      <c r="AR5" s="164" t="s">
        <v>441</v>
      </c>
      <c r="AS5" s="164" t="s">
        <v>698</v>
      </c>
      <c r="AT5" s="164" t="s">
        <v>442</v>
      </c>
      <c r="AU5" s="164" t="s">
        <v>443</v>
      </c>
      <c r="AV5" s="164" t="s">
        <v>444</v>
      </c>
      <c r="AW5" s="164" t="str">
        <f>"Price per "&amp;'Cap Table'!$D62</f>
        <v>Price per Share</v>
      </c>
      <c r="AX5" s="164" t="str">
        <f>"# "&amp;'Cap Table'!$D62&amp;"s"</f>
        <v># Shares</v>
      </c>
      <c r="AY5" s="164" t="s">
        <v>433</v>
      </c>
      <c r="AZ5" s="164" t="str">
        <f>"Total # of "&amp;'Cap Table'!$D62&amp;"s"</f>
        <v>Total # of Shares</v>
      </c>
      <c r="BA5" s="164" t="s">
        <v>445</v>
      </c>
      <c r="BB5" s="164" t="s">
        <v>434</v>
      </c>
      <c r="BC5" s="164" t="str">
        <f>BB5&amp;", % Ownership"</f>
        <v>Issued and Outstanding, % Ownership</v>
      </c>
      <c r="BD5" s="164" t="s">
        <v>446</v>
      </c>
      <c r="BE5" s="164" t="s">
        <v>435</v>
      </c>
      <c r="BF5" s="164" t="str">
        <f>BE5&amp;", % Ownership"</f>
        <v>Fully-Diluted Shares [1], % Ownership</v>
      </c>
      <c r="BH5" s="164" t="s">
        <v>431</v>
      </c>
      <c r="BI5" s="164" t="s">
        <v>432</v>
      </c>
      <c r="BJ5" s="164" t="s">
        <v>437</v>
      </c>
      <c r="BK5" s="164" t="s">
        <v>438</v>
      </c>
      <c r="BL5" s="164" t="s">
        <v>439</v>
      </c>
      <c r="BM5" s="164" t="s">
        <v>440</v>
      </c>
      <c r="BN5" s="164" t="s">
        <v>441</v>
      </c>
      <c r="BO5" s="164" t="s">
        <v>698</v>
      </c>
      <c r="BP5" s="164" t="s">
        <v>442</v>
      </c>
      <c r="BQ5" s="164" t="s">
        <v>443</v>
      </c>
      <c r="BR5" s="164" t="s">
        <v>444</v>
      </c>
      <c r="BS5" s="164" t="str">
        <f>"Price per "&amp;'Cap Table'!$D62</f>
        <v>Price per Share</v>
      </c>
      <c r="BT5" s="164" t="str">
        <f>"# "&amp;'Cap Table'!$D62&amp;"s"</f>
        <v># Shares</v>
      </c>
      <c r="BU5" s="164" t="s">
        <v>433</v>
      </c>
      <c r="BV5" s="164" t="str">
        <f>"Total # of "&amp;'Cap Table'!$D62&amp;"s"</f>
        <v>Total # of Shares</v>
      </c>
      <c r="BW5" s="164" t="s">
        <v>445</v>
      </c>
      <c r="BX5" s="164" t="s">
        <v>434</v>
      </c>
      <c r="BY5" s="164" t="str">
        <f>BX5&amp;", % Ownership"</f>
        <v>Issued and Outstanding, % Ownership</v>
      </c>
      <c r="BZ5" s="164" t="s">
        <v>446</v>
      </c>
      <c r="CA5" s="164" t="s">
        <v>435</v>
      </c>
      <c r="CB5" s="164" t="str">
        <f>CA5&amp;", % Ownership"</f>
        <v>Fully-Diluted Shares [1], % Ownership</v>
      </c>
      <c r="CD5" s="164" t="s">
        <v>431</v>
      </c>
      <c r="CE5" s="164" t="s">
        <v>432</v>
      </c>
      <c r="CF5" s="164" t="s">
        <v>437</v>
      </c>
      <c r="CG5" s="164" t="s">
        <v>438</v>
      </c>
      <c r="CH5" s="164" t="s">
        <v>439</v>
      </c>
      <c r="CI5" s="164" t="s">
        <v>440</v>
      </c>
      <c r="CJ5" s="164" t="s">
        <v>441</v>
      </c>
      <c r="CK5" s="164" t="s">
        <v>698</v>
      </c>
      <c r="CL5" s="164" t="s">
        <v>442</v>
      </c>
      <c r="CM5" s="164" t="s">
        <v>443</v>
      </c>
      <c r="CN5" s="164" t="s">
        <v>444</v>
      </c>
      <c r="CO5" s="164" t="str">
        <f>"Price per "&amp;'Cap Table'!$D62</f>
        <v>Price per Share</v>
      </c>
      <c r="CP5" s="164" t="str">
        <f>"# "&amp;'Cap Table'!$D62&amp;"s"</f>
        <v># Shares</v>
      </c>
      <c r="CQ5" s="164" t="s">
        <v>433</v>
      </c>
      <c r="CR5" s="164" t="str">
        <f>"Total # of "&amp;'Cap Table'!$D62&amp;"s"</f>
        <v>Total # of Shares</v>
      </c>
      <c r="CS5" s="164" t="s">
        <v>445</v>
      </c>
      <c r="CT5" s="164" t="s">
        <v>434</v>
      </c>
      <c r="CU5" s="164" t="str">
        <f>CT5&amp;", % Ownership"</f>
        <v>Issued and Outstanding, % Ownership</v>
      </c>
      <c r="CV5" s="164" t="s">
        <v>446</v>
      </c>
      <c r="CW5" s="164" t="s">
        <v>435</v>
      </c>
      <c r="CX5" s="164" t="str">
        <f>CW5&amp;", % Ownership"</f>
        <v>Fully-Diluted Shares [1], % Ownership</v>
      </c>
      <c r="CZ5" s="164" t="s">
        <v>431</v>
      </c>
      <c r="DA5" s="164" t="s">
        <v>432</v>
      </c>
      <c r="DB5" s="164" t="s">
        <v>437</v>
      </c>
      <c r="DC5" s="164" t="s">
        <v>438</v>
      </c>
      <c r="DD5" s="164" t="s">
        <v>439</v>
      </c>
      <c r="DE5" s="164" t="s">
        <v>440</v>
      </c>
      <c r="DF5" s="164" t="s">
        <v>441</v>
      </c>
      <c r="DG5" s="164" t="s">
        <v>698</v>
      </c>
      <c r="DH5" s="164" t="s">
        <v>442</v>
      </c>
      <c r="DI5" s="164" t="s">
        <v>443</v>
      </c>
      <c r="DJ5" s="164" t="s">
        <v>444</v>
      </c>
      <c r="DK5" s="164" t="str">
        <f>"Price per "&amp;'Cap Table'!$D62</f>
        <v>Price per Share</v>
      </c>
      <c r="DL5" s="164" t="str">
        <f>"# "&amp;'Cap Table'!$D62&amp;"s"</f>
        <v># Shares</v>
      </c>
      <c r="DM5" s="164" t="s">
        <v>433</v>
      </c>
      <c r="DN5" s="164" t="str">
        <f>"Total # of "&amp;'Cap Table'!$D62&amp;"s"</f>
        <v>Total # of Shares</v>
      </c>
      <c r="DO5" s="164" t="s">
        <v>445</v>
      </c>
      <c r="DP5" s="164" t="s">
        <v>434</v>
      </c>
      <c r="DQ5" s="164" t="str">
        <f>DP5&amp;", % Ownership"</f>
        <v>Issued and Outstanding, % Ownership</v>
      </c>
      <c r="DR5" s="164" t="s">
        <v>446</v>
      </c>
      <c r="DS5" s="164" t="s">
        <v>435</v>
      </c>
      <c r="DT5" s="164" t="str">
        <f>DS5&amp;", % Ownership"</f>
        <v>Fully-Diluted Shares [1], % Ownership</v>
      </c>
      <c r="DV5" s="164" t="s">
        <v>431</v>
      </c>
      <c r="DW5" s="164" t="s">
        <v>432</v>
      </c>
      <c r="DX5" s="164" t="s">
        <v>437</v>
      </c>
      <c r="DY5" s="164" t="s">
        <v>438</v>
      </c>
      <c r="DZ5" s="164" t="s">
        <v>439</v>
      </c>
      <c r="EA5" s="164" t="s">
        <v>440</v>
      </c>
      <c r="EB5" s="164" t="s">
        <v>441</v>
      </c>
      <c r="EC5" s="164" t="s">
        <v>698</v>
      </c>
      <c r="ED5" s="164" t="s">
        <v>442</v>
      </c>
      <c r="EE5" s="164" t="s">
        <v>443</v>
      </c>
      <c r="EF5" s="164" t="s">
        <v>444</v>
      </c>
      <c r="EG5" s="164" t="str">
        <f>"Price per "&amp;'Cap Table'!$D62</f>
        <v>Price per Share</v>
      </c>
      <c r="EH5" s="164" t="str">
        <f>"# "&amp;'Cap Table'!$D62&amp;"s"</f>
        <v># Shares</v>
      </c>
      <c r="EI5" s="164" t="s">
        <v>433</v>
      </c>
      <c r="EJ5" s="164" t="str">
        <f>"Total # of "&amp;'Cap Table'!$D62&amp;"s"</f>
        <v>Total # of Shares</v>
      </c>
      <c r="EK5" s="164" t="s">
        <v>445</v>
      </c>
      <c r="EL5" s="164" t="s">
        <v>434</v>
      </c>
      <c r="EM5" s="164" t="str">
        <f>EL5&amp;", % Ownership"</f>
        <v>Issued and Outstanding, % Ownership</v>
      </c>
      <c r="EN5" s="164" t="s">
        <v>446</v>
      </c>
      <c r="EO5" s="164" t="s">
        <v>435</v>
      </c>
      <c r="EP5" s="164" t="str">
        <f>EO5&amp;", % Ownership"</f>
        <v>Fully-Diluted Shares [1], % Ownership</v>
      </c>
      <c r="ER5" s="164" t="s">
        <v>437</v>
      </c>
      <c r="ES5" s="164" t="s">
        <v>438</v>
      </c>
      <c r="ET5" s="164" t="s">
        <v>439</v>
      </c>
      <c r="EU5" s="164" t="s">
        <v>440</v>
      </c>
      <c r="EV5" s="164" t="s">
        <v>441</v>
      </c>
      <c r="EW5" s="164" t="s">
        <v>442</v>
      </c>
      <c r="EX5" s="164" t="s">
        <v>443</v>
      </c>
      <c r="EY5" s="164" t="s">
        <v>444</v>
      </c>
      <c r="EZ5" s="164" t="str">
        <f>"Price per "&amp;'Cap Table'!$D62&amp;", Average"</f>
        <v>Price per Share, Average</v>
      </c>
      <c r="FA5" s="164" t="str">
        <f>"# "&amp;'Cap Table'!$D62&amp;"s"</f>
        <v># Shares</v>
      </c>
      <c r="FB5" s="164" t="s">
        <v>433</v>
      </c>
      <c r="FC5" s="164" t="str">
        <f>"Total # of "&amp;'Cap Table'!$D62&amp;"s"</f>
        <v>Total # of Shares</v>
      </c>
      <c r="FD5" s="164" t="s">
        <v>445</v>
      </c>
      <c r="FE5" s="164" t="s">
        <v>434</v>
      </c>
      <c r="FF5" s="164" t="str">
        <f>FE5&amp;", % Ownership"</f>
        <v>Issued and Outstanding, % Ownership</v>
      </c>
      <c r="FG5" s="164" t="s">
        <v>446</v>
      </c>
      <c r="FH5" s="164" t="s">
        <v>435</v>
      </c>
      <c r="FI5" s="164" t="str">
        <f>FH5&amp;", % Ownership"</f>
        <v>Fully-Diluted Shares [1], % Ownership</v>
      </c>
      <c r="FK5" s="166" t="str">
        <f t="shared" ref="FK5:FK28" si="0">E5</f>
        <v>Share Class [36]</v>
      </c>
      <c r="FL5" s="164" t="str">
        <f>"Total # of "&amp;'Cap Table'!$D62&amp;"s"</f>
        <v>Total # of Shares</v>
      </c>
      <c r="FM5" s="164" t="s">
        <v>445</v>
      </c>
      <c r="FN5" s="164" t="s">
        <v>435</v>
      </c>
      <c r="FP5" s="166" t="str">
        <f>FK5</f>
        <v>Share Class [36]</v>
      </c>
      <c r="FQ5" s="164" t="str">
        <f>FL5</f>
        <v>Total # of Shares</v>
      </c>
      <c r="FR5" s="164" t="str">
        <f>FM5</f>
        <v>Total # Options</v>
      </c>
      <c r="FS5" s="164" t="s">
        <v>435</v>
      </c>
    </row>
    <row r="6" spans="2:175">
      <c r="B6" s="145" t="s">
        <v>1</v>
      </c>
      <c r="D6" s="167" t="s">
        <v>25</v>
      </c>
      <c r="E6" s="167" t="str">
        <f>B$32</f>
        <v>Common</v>
      </c>
      <c r="G6" s="168">
        <f t="shared" ref="G6:G28" ca="1" si="1">I$61</f>
        <v>43820</v>
      </c>
      <c r="H6" s="289" t="str">
        <f t="shared" ref="H6:H28" si="2">B$39</f>
        <v>Equity</v>
      </c>
      <c r="I6" s="169">
        <v>0</v>
      </c>
      <c r="J6" s="170">
        <v>0</v>
      </c>
      <c r="K6" s="170">
        <f>J6+I6</f>
        <v>0</v>
      </c>
      <c r="L6" s="147">
        <f t="shared" ref="L6:L28" si="3">IFERROR(K6/K$29,0)</f>
        <v>0</v>
      </c>
      <c r="M6" s="170">
        <f>K6</f>
        <v>0</v>
      </c>
      <c r="N6" s="147">
        <f t="shared" ref="N6:N28" si="4">IFERROR(M6/M$29,0)</f>
        <v>0</v>
      </c>
      <c r="O6" s="147"/>
      <c r="P6" s="168">
        <f t="shared" ref="P6:P26" ca="1" si="5">IF(S6=0,R$61,G6)</f>
        <v>44186</v>
      </c>
      <c r="Q6" s="289" t="str">
        <f t="shared" ref="Q6:Q28" si="6">H6</f>
        <v>Equity</v>
      </c>
      <c r="R6" s="169">
        <v>0</v>
      </c>
      <c r="S6" s="169">
        <v>0</v>
      </c>
      <c r="T6" s="171">
        <v>0</v>
      </c>
      <c r="U6" s="169">
        <v>0</v>
      </c>
      <c r="V6" s="172">
        <v>0</v>
      </c>
      <c r="W6" s="293">
        <f t="shared" ref="W6:W28" si="7">IFERROR(IF(Q6=$B$42,R6/U6,0),0)</f>
        <v>0</v>
      </c>
      <c r="X6" s="170">
        <f ca="1">FV(V6/12,DATEDIF(P6,'Cap Table'!R$61,"m"),0,-S6)</f>
        <v>0</v>
      </c>
      <c r="Y6" s="170">
        <f t="shared" ref="Y6:Y26" ca="1" si="8">IFERROR(X6/(1-T6),0)</f>
        <v>0</v>
      </c>
      <c r="Z6" s="146">
        <f t="shared" ref="Z6:Z28" ca="1" si="9">X6+R6</f>
        <v>0</v>
      </c>
      <c r="AA6" s="149">
        <f ca="1">IF(AND('Cap Table'!R$63=0,X6&gt;0),U6/'Cap Table'!R$62,IFERROR(IF(U6=0,'Cap Table'!R$63*(1-T6),MIN('Cap Table'!R$63*(1-T6),U6/'Cap Table'!R$62)),0))</f>
        <v>0</v>
      </c>
      <c r="AB6" s="170">
        <f ca="1">IFERROR(Z6/AA6,0)</f>
        <v>0</v>
      </c>
      <c r="AC6" s="170">
        <v>0</v>
      </c>
      <c r="AD6" s="146">
        <f t="shared" ref="AD6:AD28" ca="1" si="10">AB6+I6</f>
        <v>0</v>
      </c>
      <c r="AE6" s="146">
        <f t="shared" ref="AE6:AE28" si="11">AC6+J6</f>
        <v>0</v>
      </c>
      <c r="AF6" s="146">
        <f ca="1">AE6+AD6</f>
        <v>0</v>
      </c>
      <c r="AG6" s="147">
        <f t="shared" ref="AG6:AG28" ca="1" si="12">IFERROR(AF6/AF$29,0)</f>
        <v>0</v>
      </c>
      <c r="AH6" s="146">
        <f ca="1">AF6*'Cap Table'!R$63</f>
        <v>0</v>
      </c>
      <c r="AI6" s="146">
        <f ca="1">IFERROR(IF(OR(Q6='Cap Table'!$B$40,Q6='Cap Table'!$B$41,Q6='Cap Table'!$B$42,Q6='Cap Table'!$B$43),IF(SUM(S6)&lt;SUM(R6),(FV(V6/12,DATEDIF(P6,'Cap Table'!R$61,"m"),0,-R6))/(U6/'Cap Table'!$R$62)/IF(Q6=$B$42,(1-W$29),1),AF6),AF6),0)</f>
        <v>0</v>
      </c>
      <c r="AJ6" s="147">
        <f t="shared" ref="AJ6:AJ28" ca="1" si="13">IFERROR(AI6/AI$29,0)</f>
        <v>0</v>
      </c>
      <c r="AL6" s="168">
        <f t="shared" ref="AL6:AL26" ca="1" si="14">IF(AO6=0,AN$61,P6)</f>
        <v>44551</v>
      </c>
      <c r="AM6" s="168" t="str">
        <f t="shared" ref="AM6:AM26" si="15">Q6</f>
        <v>Equity</v>
      </c>
      <c r="AN6" s="169">
        <v>0</v>
      </c>
      <c r="AO6" s="169">
        <f>IF('Cap Table'!AN$80&lt;&gt;"na",IF(OR(Q6='Cap Table'!$B$40,Q6='Cap Table'!$B$41,Q6='Cap Table'!$B$42),R6-S6,0),0)</f>
        <v>0</v>
      </c>
      <c r="AP6" s="171">
        <f t="shared" ref="AP6:AP26" si="16">IF(AO6=$R6,T6,0)</f>
        <v>0</v>
      </c>
      <c r="AQ6" s="169">
        <f t="shared" ref="AQ6:AQ26" si="17">IF(AO6=$R6,U6,0)</f>
        <v>0</v>
      </c>
      <c r="AR6" s="172">
        <f t="shared" ref="AR6:AR26" si="18">IF(AO6=$R6,V6,0)</f>
        <v>0</v>
      </c>
      <c r="AS6" s="293">
        <f t="shared" ref="AS6:AS28" si="19">IFERROR(IF(AM6=$B$42,AN6/AQ6,0),0)</f>
        <v>0</v>
      </c>
      <c r="AT6" s="170">
        <f ca="1">FV(AR6/12,DATEDIF(AL6,'Cap Table'!AN$61,"m"),0,-AO6)</f>
        <v>0</v>
      </c>
      <c r="AU6" s="170">
        <f ca="1">IF('Cap Table'!AN$81="no",IFERROR(AT6/(1-AP6),0),IFERROR(AT6/(1-(MAX(AP6,IF(AQ6=0,0,('Cap Table'!AN$63-AQ6/'Cap Table'!AN$62)/'Cap Table'!AN$63)))),0))</f>
        <v>0</v>
      </c>
      <c r="AV6" s="146">
        <f t="shared" ref="AV6:AV28" ca="1" si="20">AT6+AN6</f>
        <v>0</v>
      </c>
      <c r="AW6" s="149">
        <f ca="1">IF(AND('Cap Table'!AN$63=0,AT6&gt;0),AQ6/IF(AM6=$B$42,AI$56,'Cap Table'!AN$62),IFERROR(IF(AQ6=0,'Cap Table'!AN$63*(1-AP6),MIN('Cap Table'!AN$63*(1-AP6),AQ6/IF(AM6=$B$42,AI$56,'Cap Table'!AN$62))),0))</f>
        <v>0</v>
      </c>
      <c r="AX6" s="170">
        <f ca="1">IFERROR(AV6/AW6,0)</f>
        <v>0</v>
      </c>
      <c r="AY6" s="170">
        <v>0</v>
      </c>
      <c r="AZ6" s="146">
        <f t="shared" ref="AZ6:AZ28" ca="1" si="21">AX6+AD6</f>
        <v>0</v>
      </c>
      <c r="BA6" s="146">
        <f t="shared" ref="BA6:BA28" si="22">AY6+AE6</f>
        <v>0</v>
      </c>
      <c r="BB6" s="146">
        <f ca="1">BA6+AZ6</f>
        <v>0</v>
      </c>
      <c r="BC6" s="147">
        <f t="shared" ref="BC6:BC28" ca="1" si="23">IFERROR(BB6/BB$29,0)</f>
        <v>0</v>
      </c>
      <c r="BD6" s="146">
        <f ca="1">BB6*'Cap Table'!AN$63</f>
        <v>0</v>
      </c>
      <c r="BE6" s="173">
        <f ca="1">IFERROR(IF(OR(AM6='Cap Table'!$B$40,AM6='Cap Table'!$B$41,AM6='Cap Table'!$B$42,AM6='Cap Table'!$B$43),IF(SUM(AO6,S6)&lt;SUM(AN6,R6),FV(MAX(AR6,V6)/12,DATEDIF(AL6,'Cap Table'!$AN$61,"m"),0,-MAX(AN6,R6))/(MAX(AQ6,U6)/'Cap Table'!$AN$62)/IF(AM6=$B$42,(1-MAX(W27,AS$29)),1),BB6),BB6),0)</f>
        <v>0</v>
      </c>
      <c r="BF6" s="147">
        <f t="shared" ref="BF6:BF28" ca="1" si="24">IFERROR(BE6/BE$29,0)</f>
        <v>0</v>
      </c>
      <c r="BH6" s="168">
        <f t="shared" ref="BH6:BH26" ca="1" si="25">IF(BK6=0,BJ$61,AL6)</f>
        <v>44916</v>
      </c>
      <c r="BI6" s="168" t="str">
        <f>AM6</f>
        <v>Equity</v>
      </c>
      <c r="BJ6" s="169">
        <v>0</v>
      </c>
      <c r="BK6" s="169">
        <f>IF('Cap Table'!BJ$80&lt;&gt;"na",IF(OR(AM6='Cap Table'!$B$40,AM6='Cap Table'!$B$41,AM6='Cap Table'!$B$42),AN6-AO6,0),0)</f>
        <v>0</v>
      </c>
      <c r="BL6" s="171">
        <f t="shared" ref="BL6:BL26" si="26">IF(BK6=$R6,AP6,0)</f>
        <v>0</v>
      </c>
      <c r="BM6" s="169">
        <f t="shared" ref="BM6:BM26" si="27">IF(BK6=$R6,AQ6,0)</f>
        <v>0</v>
      </c>
      <c r="BN6" s="172">
        <f t="shared" ref="BN6:BN26" si="28">IF(BK6=$R6,AR6,0)</f>
        <v>0</v>
      </c>
      <c r="BO6" s="293">
        <f t="shared" ref="BO6:BO28" si="29">IFERROR(IF(BI6=$B$42,BJ6/BM6,0),0)</f>
        <v>0</v>
      </c>
      <c r="BP6" s="170">
        <f ca="1">FV(BN6/12,DATEDIF(BH6,'Cap Table'!BJ$61,"m"),0,-BK6)</f>
        <v>0</v>
      </c>
      <c r="BQ6" s="170">
        <f ca="1">IF('Cap Table'!BJ$81="no",IFERROR(BP6/(1-BL6),0),IFERROR(BP6/(1-(MAX(BL6,IF(BM6=0,0,('Cap Table'!BJ$63-BM6/'Cap Table'!BJ$62)/'Cap Table'!BJ$63)))),0))</f>
        <v>0</v>
      </c>
      <c r="BR6" s="146">
        <f t="shared" ref="BR6:BR28" ca="1" si="30">BP6+BJ6</f>
        <v>0</v>
      </c>
      <c r="BS6" s="149">
        <f ca="1">IF(AND('Cap Table'!BJ$63=0,BP6&gt;0),BM6/IF(BI6=$B$42,BE$56,'Cap Table'!BJ$62),IFERROR(IF(BM6=0,'Cap Table'!BJ$63*(1-BL6),MIN('Cap Table'!BJ$63*(1-BL6),BM6/IF(BI6=$B$42,BE$56,'Cap Table'!BJ$62))),0))</f>
        <v>0</v>
      </c>
      <c r="BT6" s="170">
        <f ca="1">IFERROR(BR6/BS6,0)</f>
        <v>0</v>
      </c>
      <c r="BU6" s="170">
        <v>0</v>
      </c>
      <c r="BV6" s="146">
        <f t="shared" ref="BV6:BV28" ca="1" si="31">BT6+AZ6</f>
        <v>0</v>
      </c>
      <c r="BW6" s="146">
        <f t="shared" ref="BW6:BW28" si="32">BU6+BA6</f>
        <v>0</v>
      </c>
      <c r="BX6" s="146">
        <f ca="1">BW6+BV6</f>
        <v>0</v>
      </c>
      <c r="BY6" s="147">
        <f t="shared" ref="BY6:BY28" ca="1" si="33">IFERROR(BX6/BX$29,0)</f>
        <v>0</v>
      </c>
      <c r="BZ6" s="146">
        <f ca="1">BX6*'Cap Table'!BJ$63</f>
        <v>0</v>
      </c>
      <c r="CA6" s="173">
        <f ca="1">IFERROR(IF(OR(BI6='Cap Table'!$B$40,BI6='Cap Table'!$B$41,BI6='Cap Table'!$B$42,BI6='Cap Table'!$B$43),IF(SUM(BK6,AO6,S6)&lt;SUM(BJ6,AN6,R6),FV(MAX(BN6,AR6,V6)/12,DATEDIF(BH6,'Cap Table'!$BJ$61,"m"),0,-MAX(BJ6,AN6,R6))/(MAX(BM6,AQ6,U6)/'Cap Table'!$BJ$62)/IF(BI6=$B$42,(1-MAX(BO$29,AS$29,W$29)),1),BX6),BX6),0)</f>
        <v>0</v>
      </c>
      <c r="CB6" s="147">
        <f t="shared" ref="CB6:CB28" ca="1" si="34">IFERROR(CA6/CA$29,0)</f>
        <v>0</v>
      </c>
      <c r="CD6" s="168">
        <f t="shared" ref="CD6:CD26" ca="1" si="35">IF(CG6=0,CF$61,BH6)</f>
        <v>45281</v>
      </c>
      <c r="CE6" s="168" t="str">
        <f>BI6</f>
        <v>Equity</v>
      </c>
      <c r="CF6" s="169">
        <v>0</v>
      </c>
      <c r="CG6" s="169">
        <f>IF('Cap Table'!CF$80&lt;&gt;"na",IF(OR(BI6='Cap Table'!$B$40,BI6='Cap Table'!$B$41,BI6='Cap Table'!$B$42),BJ6-BK6,0),0)</f>
        <v>0</v>
      </c>
      <c r="CH6" s="171">
        <f t="shared" ref="CH6:CH26" si="36">IF(CG6=$R6,BL6,0)</f>
        <v>0</v>
      </c>
      <c r="CI6" s="169">
        <f t="shared" ref="CI6:CI26" si="37">IF(CG6=$R6,BM6,0)</f>
        <v>0</v>
      </c>
      <c r="CJ6" s="172">
        <f t="shared" ref="CJ6:CJ26" si="38">IF(CG6=$R6,BN6,0)</f>
        <v>0</v>
      </c>
      <c r="CK6" s="293">
        <f t="shared" ref="CK6:CK28" si="39">IFERROR(IF(CE6=$B$42,CF6/CI6,0),0)</f>
        <v>0</v>
      </c>
      <c r="CL6" s="170">
        <f ca="1">FV(CJ6/12,DATEDIF(CD6,'Cap Table'!CF$61,"m"),0,-CG6)</f>
        <v>0</v>
      </c>
      <c r="CM6" s="170">
        <f ca="1">IF('Cap Table'!CF$81="no",IFERROR(CL6/(1-CH6),0),IFERROR(CL6/(1-(MAX(CH6,IF(CI6=0,0,('Cap Table'!CF$63-CI6/'Cap Table'!CF$62)/'Cap Table'!CF$63)))),0))</f>
        <v>0</v>
      </c>
      <c r="CN6" s="146">
        <f t="shared" ref="CN6:CN28" ca="1" si="40">CL6+CF6</f>
        <v>0</v>
      </c>
      <c r="CO6" s="149">
        <f ca="1">IF(AND('Cap Table'!CF$63=0,CL6&gt;0),CI6/IF(CE6=$B$42,CA$56,'Cap Table'!CF$62),IFERROR(IF(CI6=0,'Cap Table'!CF$63*(1-CH6),MIN('Cap Table'!CF$63*(1-CH6),CI6/IF(CE6=$B$42,CA$56,'Cap Table'!CF$62))),0))</f>
        <v>0</v>
      </c>
      <c r="CP6" s="170">
        <f ca="1">IFERROR(CN6/CO6,0)</f>
        <v>0</v>
      </c>
      <c r="CQ6" s="170">
        <v>0</v>
      </c>
      <c r="CR6" s="146">
        <f t="shared" ref="CR6:CR28" ca="1" si="41">CP6+BV6</f>
        <v>0</v>
      </c>
      <c r="CS6" s="146">
        <f t="shared" ref="CS6:CS28" si="42">CQ6+BW6</f>
        <v>0</v>
      </c>
      <c r="CT6" s="146">
        <f ca="1">CS6+CR6</f>
        <v>0</v>
      </c>
      <c r="CU6" s="147">
        <f t="shared" ref="CU6:CU28" ca="1" si="43">IFERROR(CT6/CT$29,0)</f>
        <v>0</v>
      </c>
      <c r="CV6" s="146">
        <f ca="1">CT6*'Cap Table'!CF$63</f>
        <v>0</v>
      </c>
      <c r="CW6" s="173">
        <f ca="1">IFERROR(IF(OR(CE6='Cap Table'!$B$40,CE6='Cap Table'!$B$41,CE6='Cap Table'!$B$42,CE6='Cap Table'!$B$43),IF(SUM(CG6,BK6,AO6,S6)&lt;SUM(CF6,BJ6,AN6,R6),FV(MAX(CJ6,BN6,AR6,V6)/12,DATEDIF(CD6,'Cap Table'!$CF$61,"m"),0,-MAX(CF6,BJ6,AN6,R6))/(MAX(CI6,BM6,AQ6,U6)/'Cap Table'!$CF$62)/IF(CE6=$B$42,(1-MAX(CK$29,BO$29,AS$29,W$29)),1),CT6),CT6),0)</f>
        <v>0</v>
      </c>
      <c r="CX6" s="147">
        <f t="shared" ref="CX6:CX28" ca="1" si="44">IFERROR(CW6/CW$29,0)</f>
        <v>0</v>
      </c>
      <c r="CZ6" s="168">
        <f t="shared" ref="CZ6:CZ26" ca="1" si="45">IF(DC6=0,DB$61,CD6)</f>
        <v>45647</v>
      </c>
      <c r="DA6" s="168" t="str">
        <f>CE6</f>
        <v>Equity</v>
      </c>
      <c r="DB6" s="169">
        <v>0</v>
      </c>
      <c r="DC6" s="169">
        <f>IF('Cap Table'!DB$80&lt;&gt;"na",IF(OR(CE6='Cap Table'!$B$40,CE6='Cap Table'!$B$41,CE6='Cap Table'!$B$42),CF6-CG6,0),0)</f>
        <v>0</v>
      </c>
      <c r="DD6" s="171">
        <f t="shared" ref="DD6:DD26" si="46">IF(DC6=$R6,CH6,0)</f>
        <v>0</v>
      </c>
      <c r="DE6" s="169">
        <f t="shared" ref="DE6:DE26" si="47">IF(DC6=$R6,CI6,0)</f>
        <v>0</v>
      </c>
      <c r="DF6" s="172">
        <f t="shared" ref="DF6:DF26" si="48">IF(DC6=$R6,CJ6,0)</f>
        <v>0</v>
      </c>
      <c r="DG6" s="293">
        <f t="shared" ref="DG6:DG28" si="49">IFERROR(IF(DA6=$B$42,DB6/DE6,0),0)</f>
        <v>0</v>
      </c>
      <c r="DH6" s="170">
        <f ca="1">FV(DF6/12,DATEDIF(CZ6,'Cap Table'!DB$61,"m"),0,-DC6)</f>
        <v>0</v>
      </c>
      <c r="DI6" s="170">
        <f ca="1">IF('Cap Table'!DB$81="no",IFERROR(DH6/(1-DD6),0),IFERROR(DH6/(1-(MAX(DD6,IF(DE6=0,0,('Cap Table'!DB$63-DE6/'Cap Table'!DB$62)/'Cap Table'!DB$63)))),0))</f>
        <v>0</v>
      </c>
      <c r="DJ6" s="146">
        <f t="shared" ref="DJ6:DJ28" ca="1" si="50">DH6+DB6</f>
        <v>0</v>
      </c>
      <c r="DK6" s="149">
        <f ca="1">IF(AND('Cap Table'!DB$63=0,DH6&gt;0),DE6/'Cap Table'!DB$62,IFERROR(IF(DE6=0,'Cap Table'!DB$63*(1-DD6),MIN('Cap Table'!DB$63*(1-DD6),DE6/'Cap Table'!DB$62)),0))</f>
        <v>0</v>
      </c>
      <c r="DL6" s="170">
        <f ca="1">IFERROR(DJ6/DK6,0)</f>
        <v>0</v>
      </c>
      <c r="DM6" s="170">
        <v>0</v>
      </c>
      <c r="DN6" s="146">
        <f t="shared" ref="DN6:DN28" ca="1" si="51">DL6+CR6</f>
        <v>0</v>
      </c>
      <c r="DO6" s="146">
        <f t="shared" ref="DO6:DO28" si="52">DM6+CS6</f>
        <v>0</v>
      </c>
      <c r="DP6" s="146">
        <f ca="1">DO6+DN6</f>
        <v>0</v>
      </c>
      <c r="DQ6" s="147">
        <f t="shared" ref="DQ6:DQ28" ca="1" si="53">IFERROR(DP6/DP$29,0)</f>
        <v>0</v>
      </c>
      <c r="DR6" s="146">
        <f ca="1">DP6*'Cap Table'!DB$63</f>
        <v>0</v>
      </c>
      <c r="DS6" s="173">
        <f ca="1">IFERROR(IF(OR(DA6='Cap Table'!$B$40,DA6='Cap Table'!$B$41,DA6='Cap Table'!$B$42,DA6='Cap Table'!$B$43),IF(SUM(DC6,CG6,BK6,AO6,S6,)&lt;SUM(DB6,CF6,BJ6,AN6,R6),FV(MAX(DF6,CJ6,BN6,AR6,V6)/12,DATEDIF(CZ6,'Cap Table'!$DB$61,"m"),0,-MAX(DB6,CF6,BJ6,AN6,R6))/(MAX(DE6,CI6,BM6,AQ6,U6,)/'Cap Table'!$DB$62)/IF(DA6=$B$42,(1-MAX(DG$29,CK$29,BO$29,AS$29,W$29)),1),DP6),DP6),0)</f>
        <v>0</v>
      </c>
      <c r="DT6" s="147">
        <f t="shared" ref="DT6:DT28" ca="1" si="54">IFERROR(DS6/DS$29,0)</f>
        <v>0</v>
      </c>
      <c r="DV6" s="168">
        <f t="shared" ref="DV6:DV26" ca="1" si="55">IF(DY6=0,DX$61,CZ6)</f>
        <v>46012</v>
      </c>
      <c r="DW6" s="168" t="str">
        <f>DA6</f>
        <v>Equity</v>
      </c>
      <c r="DX6" s="169">
        <v>0</v>
      </c>
      <c r="DY6" s="169">
        <f>IF('Cap Table'!DX$80&lt;&gt;"na",IF(OR(DA6='Cap Table'!$B$40,DA6='Cap Table'!$B$41,DA6='Cap Table'!$B$42),DB6-DC6,0),0)</f>
        <v>0</v>
      </c>
      <c r="DZ6" s="171">
        <f t="shared" ref="DZ6:DZ8" si="56">IF(DY6=$R6,DD6,0)</f>
        <v>0</v>
      </c>
      <c r="EA6" s="169">
        <f t="shared" ref="EA6:EA8" si="57">IF(DY6=$R6,DE6,0)</f>
        <v>0</v>
      </c>
      <c r="EB6" s="172">
        <f t="shared" ref="EB6:EB8" si="58">IF(DY6=$R6,DF6,0)</f>
        <v>0</v>
      </c>
      <c r="EC6" s="293">
        <f t="shared" ref="EC6:EC28" si="59">IFERROR(IF(DW6=$B$42,DX6/EA6,0),0)</f>
        <v>0</v>
      </c>
      <c r="ED6" s="170">
        <f ca="1">FV(EB6/12,DATEDIF(DV6,'Cap Table'!DX$61,"m"),0,-DY6)</f>
        <v>0</v>
      </c>
      <c r="EE6" s="170">
        <f ca="1">IF('Cap Table'!DX$81="no",IFERROR(ED6/(1-DZ6),0),IFERROR(ED6/(1-(MAX(DZ6,IF(EA6=0,0,('Cap Table'!DX$63-EA6/'Cap Table'!DX$62)/'Cap Table'!DX$63)))),0))</f>
        <v>0</v>
      </c>
      <c r="EF6" s="146">
        <f t="shared" ref="EF6:EF28" ca="1" si="60">ED6+DX6</f>
        <v>0</v>
      </c>
      <c r="EG6" s="149">
        <f ca="1">IF(AND('Cap Table'!DX$63=0,ED6&gt;0),EA6/IF(DA6=$B$42,DS$56,'Cap Table'!DX$62),IFERROR(IF(EA6=0,'Cap Table'!DX$63*(1-DZ6),MIN('Cap Table'!DX$63*(1-DZ6),EA6/IF(DA6=$B$42,DS$56,'Cap Table'!DX$62))),0))</f>
        <v>0</v>
      </c>
      <c r="EH6" s="170">
        <f ca="1">IFERROR(EF6/EG6,0)</f>
        <v>0</v>
      </c>
      <c r="EI6" s="170">
        <v>0</v>
      </c>
      <c r="EJ6" s="146">
        <f ca="1">EH6+DN6</f>
        <v>0</v>
      </c>
      <c r="EK6" s="146">
        <f t="shared" ref="EK6:EK26" si="61">EI6+DO6</f>
        <v>0</v>
      </c>
      <c r="EL6" s="146">
        <f ca="1">EK6+EJ6</f>
        <v>0</v>
      </c>
      <c r="EM6" s="147">
        <f t="shared" ref="EM6:EM28" ca="1" si="62">IFERROR(EL6/EL$29,0)</f>
        <v>0</v>
      </c>
      <c r="EN6" s="146">
        <f ca="1">EL6*'Cap Table'!DX$63</f>
        <v>0</v>
      </c>
      <c r="EO6" s="173">
        <f ca="1">IFERROR(IF(OR(DW6='Cap Table'!$B$40,DW6='Cap Table'!$B$41,DW6='Cap Table'!$B$42,DW6='Cap Table'!$B$43),IF(SUM(DY6,DC6,CG6,BK6,AO6,S6)&lt;SUM(DX6,DB6,CF6,BJ6,AN6,R6),FV(MAX(EB6,DF6,CJ6,BN6,AR6,V6)/12,DATEDIF(DV6,'Cap Table'!DX$61,"m"),0,-MAX(DX6,DB6,CF6,BJ6,AN6,R6))/(MAX(EA6,DE6,CI6,BM6,AQ6,U6)/'Cap Table'!$DX$62)/IF(DW6=$B$42,(1-MAX(EC$29,DG$29,CK$29,BO$29,AS$29,W$29)),1),EL6),EL6),0)</f>
        <v>0</v>
      </c>
      <c r="EP6" s="147">
        <f t="shared" ref="EP6:EP28" ca="1" si="63">IFERROR(EO6/EO$29,0)</f>
        <v>0</v>
      </c>
      <c r="ER6" s="146">
        <f t="shared" ref="ER6:ER28" si="64">DX6+DB6+CF6+BJ6+AN6+R6</f>
        <v>0</v>
      </c>
      <c r="ES6" s="146">
        <f t="shared" ref="ES6:ES28" si="65">DY6+DC6+CG6+BK6+AO6+S6</f>
        <v>0</v>
      </c>
      <c r="ET6" s="174" t="s">
        <v>27</v>
      </c>
      <c r="EU6" s="174" t="s">
        <v>27</v>
      </c>
      <c r="EV6" s="174" t="s">
        <v>27</v>
      </c>
      <c r="EW6" s="146">
        <f t="shared" ref="EW6:EW28" ca="1" si="66">ED6+DH6+CL6+BP6+AT6+X6</f>
        <v>0</v>
      </c>
      <c r="EX6" s="146">
        <f t="shared" ref="EX6:EX28" ca="1" si="67">EE6+DI6+CM6+BQ6+AU6+Y6</f>
        <v>0</v>
      </c>
      <c r="EY6" s="146">
        <f t="shared" ref="EY6:EY28" ca="1" si="68">EF6+DJ6+CN6+BR6+AV6+Z6</f>
        <v>0</v>
      </c>
      <c r="EZ6" s="146">
        <f ca="1">IFERROR(EY6/FE6,0)</f>
        <v>0</v>
      </c>
      <c r="FA6" s="146">
        <f t="shared" ref="FA6:FA28" ca="1" si="69">EH6+DL6+CP6+BT6+AX6+AB6</f>
        <v>0</v>
      </c>
      <c r="FB6" s="146">
        <f t="shared" ref="FB6:FB28" si="70">EI6+DM6+CQ6+BU6+AY6+AC6</f>
        <v>0</v>
      </c>
      <c r="FC6" s="146">
        <f ca="1">EJ6</f>
        <v>0</v>
      </c>
      <c r="FD6" s="146">
        <f>EK6</f>
        <v>0</v>
      </c>
      <c r="FE6" s="146">
        <f ca="1">EL6</f>
        <v>0</v>
      </c>
      <c r="FF6" s="147">
        <f t="shared" ref="FF6:FF29" ca="1" si="71">IFERROR(FE6/FE$29,0)</f>
        <v>0</v>
      </c>
      <c r="FG6" s="146">
        <f ca="1">EN6</f>
        <v>0</v>
      </c>
      <c r="FH6" s="146">
        <f ca="1">EO6</f>
        <v>0</v>
      </c>
      <c r="FI6" s="147">
        <f t="shared" ref="FI6:FI29" ca="1" si="72">IFERROR(FH6/FH$29,0)</f>
        <v>0</v>
      </c>
      <c r="FK6" s="149" t="str">
        <f t="shared" si="0"/>
        <v>Common</v>
      </c>
      <c r="FL6" s="146">
        <f t="shared" ref="FL6:FL28" ca="1" si="73">OFFSET($G6,0,IF($FL$4=$G$4,1,13)+MATCH($FL$4,$G$4:$FI$4,0))</f>
        <v>0</v>
      </c>
      <c r="FM6" s="146">
        <f t="shared" ref="FM6:FM28" ca="1" si="74">OFFSET($G6,0,IF($FL$4=$G$4,2,14)+MATCH($FL$4,$G$4:$FI$4,0))</f>
        <v>0</v>
      </c>
      <c r="FN6" s="146">
        <f t="shared" ref="FN6:FN28" ca="1" si="75">OFFSET($G6,0,IF($FL$4=$G$4,5,18)+MATCH($FL$4,$G$4:$FI$4,0))</f>
        <v>0</v>
      </c>
      <c r="FP6" s="146" t="str">
        <f t="shared" ref="FP6:FP28" si="76">E6</f>
        <v>Common</v>
      </c>
      <c r="FQ6" s="174" t="str">
        <f t="shared" ref="FQ6:FQ28" ca="1" si="77">IFERROR(OFFSET($G6,0,IF($FQ$4=$G$4,1,13)+MATCH($FQ$4,$G$4:$FI$4,0)),"na")</f>
        <v>na</v>
      </c>
      <c r="FR6" s="174" t="str">
        <f t="shared" ref="FR6:FR28" ca="1" si="78">IFERROR(OFFSET($G6,0,IF($FQ$4=$G$4,1,14)+MATCH($FQ$4,$G$4:$FI$4,0)),"na")</f>
        <v>na</v>
      </c>
      <c r="FS6" s="174" t="str">
        <f t="shared" ref="FS6:FS28" ca="1" si="79">IFERROR(OFFSET($G6,0,IF($FQ$4=$G$4,5,18)+MATCH($FQ$4,$G$4:$FI$4,0)),"na")</f>
        <v>na</v>
      </c>
    </row>
    <row r="7" spans="2:175">
      <c r="B7" s="145" t="s">
        <v>59</v>
      </c>
      <c r="D7" s="167" t="s">
        <v>25</v>
      </c>
      <c r="E7" s="167" t="str">
        <f t="shared" ref="E7:E26" si="80">B$32</f>
        <v>Common</v>
      </c>
      <c r="G7" s="168">
        <f t="shared" ca="1" si="1"/>
        <v>43820</v>
      </c>
      <c r="H7" s="289" t="str">
        <f t="shared" si="2"/>
        <v>Equity</v>
      </c>
      <c r="I7" s="169">
        <v>0</v>
      </c>
      <c r="J7" s="170">
        <v>0</v>
      </c>
      <c r="K7" s="170">
        <f t="shared" ref="K7:K28" si="81">J7+I7</f>
        <v>0</v>
      </c>
      <c r="L7" s="147">
        <f t="shared" si="3"/>
        <v>0</v>
      </c>
      <c r="M7" s="170">
        <f t="shared" ref="M7:M28" si="82">K7</f>
        <v>0</v>
      </c>
      <c r="N7" s="147">
        <f t="shared" si="4"/>
        <v>0</v>
      </c>
      <c r="O7" s="147"/>
      <c r="P7" s="168">
        <f t="shared" ca="1" si="5"/>
        <v>44186</v>
      </c>
      <c r="Q7" s="289" t="str">
        <f t="shared" si="6"/>
        <v>Equity</v>
      </c>
      <c r="R7" s="169">
        <v>0</v>
      </c>
      <c r="S7" s="169">
        <v>0</v>
      </c>
      <c r="T7" s="171">
        <v>0</v>
      </c>
      <c r="U7" s="145">
        <v>0</v>
      </c>
      <c r="V7" s="172">
        <v>0</v>
      </c>
      <c r="W7" s="293">
        <f t="shared" si="7"/>
        <v>0</v>
      </c>
      <c r="X7" s="170">
        <f ca="1">FV(V7/12,DATEDIF(P7,'Cap Table'!R$61,"m"),0,-S7)</f>
        <v>0</v>
      </c>
      <c r="Y7" s="170">
        <f t="shared" ca="1" si="8"/>
        <v>0</v>
      </c>
      <c r="Z7" s="146">
        <f t="shared" ca="1" si="9"/>
        <v>0</v>
      </c>
      <c r="AA7" s="149">
        <f ca="1">IF(AND('Cap Table'!R$63=0,X7&gt;0),U7/'Cap Table'!R$62,IFERROR(IF(U7=0,'Cap Table'!R$63*(1-T7),MIN('Cap Table'!R$63*(1-T7),U7/'Cap Table'!R$62)),0))</f>
        <v>0</v>
      </c>
      <c r="AB7" s="170">
        <f t="shared" ref="AB7:AB28" ca="1" si="83">IFERROR(Z7/AA7,0)</f>
        <v>0</v>
      </c>
      <c r="AC7" s="170">
        <v>0</v>
      </c>
      <c r="AD7" s="146">
        <f t="shared" ca="1" si="10"/>
        <v>0</v>
      </c>
      <c r="AE7" s="146">
        <f t="shared" si="11"/>
        <v>0</v>
      </c>
      <c r="AF7" s="146">
        <f t="shared" ref="AF7:AF28" ca="1" si="84">AE7+AD7</f>
        <v>0</v>
      </c>
      <c r="AG7" s="147">
        <f t="shared" ca="1" si="12"/>
        <v>0</v>
      </c>
      <c r="AH7" s="146">
        <f ca="1">AF7*'Cap Table'!R$63</f>
        <v>0</v>
      </c>
      <c r="AI7" s="146">
        <f ca="1">IFERROR(IF(OR(Q7='Cap Table'!$B$40,Q7='Cap Table'!$B$41,Q7='Cap Table'!$B$42,Q7='Cap Table'!$B$43),IF(SUM(S7)&lt;SUM(R7),(FV(V7/12,DATEDIF(P7,'Cap Table'!R$61,"m"),0,-R7))/(U7/'Cap Table'!$R$62)/IF(Q7=$B$42,(1-W$29),1),AF7),AF7),0)</f>
        <v>0</v>
      </c>
      <c r="AJ7" s="147">
        <f t="shared" ca="1" si="13"/>
        <v>0</v>
      </c>
      <c r="AL7" s="168">
        <f t="shared" ca="1" si="14"/>
        <v>44551</v>
      </c>
      <c r="AM7" s="168" t="str">
        <f t="shared" si="15"/>
        <v>Equity</v>
      </c>
      <c r="AN7" s="169">
        <v>0</v>
      </c>
      <c r="AO7" s="169">
        <f>IF('Cap Table'!AN$80&lt;&gt;"na",IF(OR(Q7='Cap Table'!$B$40,Q7='Cap Table'!$B$41,Q7='Cap Table'!$B$42),R7-S7,0),0)</f>
        <v>0</v>
      </c>
      <c r="AP7" s="171">
        <f t="shared" si="16"/>
        <v>0</v>
      </c>
      <c r="AQ7" s="169">
        <f t="shared" si="17"/>
        <v>0</v>
      </c>
      <c r="AR7" s="172">
        <f t="shared" si="18"/>
        <v>0</v>
      </c>
      <c r="AS7" s="293">
        <f t="shared" si="19"/>
        <v>0</v>
      </c>
      <c r="AT7" s="170">
        <f ca="1">FV(AR7/12,DATEDIF(AL7,'Cap Table'!AN$61,"m"),0,-AO7)</f>
        <v>0</v>
      </c>
      <c r="AU7" s="170">
        <f ca="1">IF('Cap Table'!AN$81="no",IFERROR(AT7/(1-AP7),0),IFERROR(AT7/(1-(MAX(AP7,IF(AQ7=0,0,('Cap Table'!AN$63-AQ7/'Cap Table'!AN$62)/'Cap Table'!AN$63)))),0))</f>
        <v>0</v>
      </c>
      <c r="AV7" s="146">
        <f t="shared" ca="1" si="20"/>
        <v>0</v>
      </c>
      <c r="AW7" s="149">
        <f ca="1">IF(AND('Cap Table'!AN$63=0,AT7&gt;0),AQ7/IF(AM7=$B$42,AI$56,'Cap Table'!AN$62),IFERROR(IF(AQ7=0,'Cap Table'!AN$63*(1-AP7),MIN('Cap Table'!AN$63*(1-AP7),AQ7/IF(AM7=$B$42,AI$56,'Cap Table'!AN$62))),0))</f>
        <v>0</v>
      </c>
      <c r="AX7" s="170">
        <f t="shared" ref="AX7:AX28" ca="1" si="85">IFERROR(AV7/AW7,0)</f>
        <v>0</v>
      </c>
      <c r="AY7" s="170">
        <v>0</v>
      </c>
      <c r="AZ7" s="146">
        <f t="shared" ca="1" si="21"/>
        <v>0</v>
      </c>
      <c r="BA7" s="146">
        <f t="shared" si="22"/>
        <v>0</v>
      </c>
      <c r="BB7" s="146">
        <f t="shared" ref="BB7:BB28" ca="1" si="86">BA7+AZ7</f>
        <v>0</v>
      </c>
      <c r="BC7" s="147">
        <f t="shared" ca="1" si="23"/>
        <v>0</v>
      </c>
      <c r="BD7" s="146">
        <f ca="1">BB7*'Cap Table'!AN$63</f>
        <v>0</v>
      </c>
      <c r="BE7" s="173">
        <f ca="1">IFERROR(IF(OR(AM7='Cap Table'!$B$40,AM7='Cap Table'!$B$41,AM7='Cap Table'!$B$42,AM7='Cap Table'!$B$43),IF(SUM(AO7,S7)&lt;SUM(AN7,R7),FV(MAX(AR7,V7)/12,DATEDIF(AL7,'Cap Table'!$AN$61,"m"),0,-MAX(AN7,R7))/(MAX(AQ7,U7)/'Cap Table'!$AN$62)/IF(AM7=$B$42,(1-MAX(W28,AS$29)),1),BB7),BB7),0)</f>
        <v>0</v>
      </c>
      <c r="BF7" s="147">
        <f t="shared" ca="1" si="24"/>
        <v>0</v>
      </c>
      <c r="BH7" s="168">
        <f t="shared" ca="1" si="25"/>
        <v>44916</v>
      </c>
      <c r="BI7" s="168" t="str">
        <f t="shared" ref="BI7:BI26" si="87">AM7</f>
        <v>Equity</v>
      </c>
      <c r="BJ7" s="169">
        <v>0</v>
      </c>
      <c r="BK7" s="169">
        <f>IF('Cap Table'!BJ$80&lt;&gt;"na",IF(OR(AM7='Cap Table'!$B$40,AM7='Cap Table'!$B$41,AM7='Cap Table'!$B$42),AN7-AO7,0),0)</f>
        <v>0</v>
      </c>
      <c r="BL7" s="171">
        <f t="shared" si="26"/>
        <v>0</v>
      </c>
      <c r="BM7" s="169">
        <f t="shared" si="27"/>
        <v>0</v>
      </c>
      <c r="BN7" s="172">
        <f t="shared" si="28"/>
        <v>0</v>
      </c>
      <c r="BO7" s="293">
        <f t="shared" si="29"/>
        <v>0</v>
      </c>
      <c r="BP7" s="170">
        <f ca="1">FV(BN7/12,DATEDIF(BH7,'Cap Table'!BJ$61,"m"),0,-BK7)</f>
        <v>0</v>
      </c>
      <c r="BQ7" s="170">
        <f ca="1">IF('Cap Table'!BJ$81="no",IFERROR(BP7/(1-BL7),0),IFERROR(BP7/(1-(MAX(BL7,IF(BM7=0,0,('Cap Table'!BJ$63-BM7/'Cap Table'!BJ$62)/'Cap Table'!BJ$63)))),0))</f>
        <v>0</v>
      </c>
      <c r="BR7" s="146">
        <f t="shared" ca="1" si="30"/>
        <v>0</v>
      </c>
      <c r="BS7" s="149">
        <f ca="1">IF(AND('Cap Table'!BJ$63=0,BP7&gt;0),BM7/IF(BI7=$B$42,BE$56,'Cap Table'!BJ$62),IFERROR(IF(BM7=0,'Cap Table'!BJ$63*(1-BL7),MIN('Cap Table'!BJ$63*(1-BL7),BM7/IF(BI7=$B$42,BE$56,'Cap Table'!BJ$62))),0))</f>
        <v>0</v>
      </c>
      <c r="BT7" s="170">
        <f t="shared" ref="BT7:BT28" ca="1" si="88">IFERROR(BR7/BS7,0)</f>
        <v>0</v>
      </c>
      <c r="BU7" s="170">
        <v>0</v>
      </c>
      <c r="BV7" s="146">
        <f t="shared" ca="1" si="31"/>
        <v>0</v>
      </c>
      <c r="BW7" s="146">
        <f t="shared" si="32"/>
        <v>0</v>
      </c>
      <c r="BX7" s="146">
        <f t="shared" ref="BX7:BX28" ca="1" si="89">BW7+BV7</f>
        <v>0</v>
      </c>
      <c r="BY7" s="147">
        <f t="shared" ca="1" si="33"/>
        <v>0</v>
      </c>
      <c r="BZ7" s="146">
        <f ca="1">BX7*'Cap Table'!BJ$63</f>
        <v>0</v>
      </c>
      <c r="CA7" s="173">
        <f ca="1">IFERROR(IF(OR(BI7='Cap Table'!$B$40,BI7='Cap Table'!$B$41,BI7='Cap Table'!$B$42,BI7='Cap Table'!$B$43),IF(SUM(BK7,AO7,S7)&lt;SUM(BJ7,AN7,R7),FV(MAX(BN7,AR7,V7)/12,DATEDIF(BH7,'Cap Table'!$BJ$61,"m"),0,-MAX(BJ7,AN7,R7))/(MAX(BM7,AQ7,U7)/'Cap Table'!$BJ$62)/IF(BI7=$B$42,(1-MAX(BO$29,AS$29,W$29)),1),BX7),BX7),0)</f>
        <v>0</v>
      </c>
      <c r="CB7" s="147">
        <f t="shared" ca="1" si="34"/>
        <v>0</v>
      </c>
      <c r="CD7" s="168">
        <f t="shared" ca="1" si="35"/>
        <v>45281</v>
      </c>
      <c r="CE7" s="168" t="str">
        <f t="shared" ref="CE7:CE26" si="90">BI7</f>
        <v>Equity</v>
      </c>
      <c r="CF7" s="169">
        <v>0</v>
      </c>
      <c r="CG7" s="169">
        <f>IF('Cap Table'!CF$80&lt;&gt;"na",IF(OR(BI7='Cap Table'!$B$40,BI7='Cap Table'!$B$41,BI7='Cap Table'!$B$42),BJ7-BK7,0),0)</f>
        <v>0</v>
      </c>
      <c r="CH7" s="171">
        <f t="shared" si="36"/>
        <v>0</v>
      </c>
      <c r="CI7" s="169">
        <f t="shared" si="37"/>
        <v>0</v>
      </c>
      <c r="CJ7" s="172">
        <f t="shared" si="38"/>
        <v>0</v>
      </c>
      <c r="CK7" s="293">
        <f t="shared" si="39"/>
        <v>0</v>
      </c>
      <c r="CL7" s="170">
        <f ca="1">FV(CJ7/12,DATEDIF(CD7,'Cap Table'!CF$61,"m"),0,-CG7)</f>
        <v>0</v>
      </c>
      <c r="CM7" s="170">
        <f ca="1">IF('Cap Table'!CF$81="no",IFERROR(CL7/(1-CH7),0),IFERROR(CL7/(1-(MAX(CH7,IF(CI7=0,0,('Cap Table'!CF$63-CI7/'Cap Table'!CF$62)/'Cap Table'!CF$63)))),0))</f>
        <v>0</v>
      </c>
      <c r="CN7" s="146">
        <f t="shared" ca="1" si="40"/>
        <v>0</v>
      </c>
      <c r="CO7" s="149">
        <f ca="1">IF(AND('Cap Table'!CF$63=0,CL7&gt;0),CI7/IF(CE7=$B$42,CA$56,'Cap Table'!CF$62),IFERROR(IF(CI7=0,'Cap Table'!CF$63*(1-CH7),MIN('Cap Table'!CF$63*(1-CH7),CI7/IF(CE7=$B$42,CA$56,'Cap Table'!CF$62))),0))</f>
        <v>0</v>
      </c>
      <c r="CP7" s="170">
        <f t="shared" ref="CP7:CP28" ca="1" si="91">IFERROR(CN7/CO7,0)</f>
        <v>0</v>
      </c>
      <c r="CQ7" s="170">
        <v>0</v>
      </c>
      <c r="CR7" s="146">
        <f t="shared" ca="1" si="41"/>
        <v>0</v>
      </c>
      <c r="CS7" s="146">
        <f t="shared" si="42"/>
        <v>0</v>
      </c>
      <c r="CT7" s="146">
        <f t="shared" ref="CT7:CT28" ca="1" si="92">CS7+CR7</f>
        <v>0</v>
      </c>
      <c r="CU7" s="147">
        <f t="shared" ca="1" si="43"/>
        <v>0</v>
      </c>
      <c r="CV7" s="146">
        <f ca="1">CT7*'Cap Table'!CF$63</f>
        <v>0</v>
      </c>
      <c r="CW7" s="173">
        <f ca="1">IFERROR(IF(OR(CE7='Cap Table'!$B$40,CE7='Cap Table'!$B$41,CE7='Cap Table'!$B$42,CE7='Cap Table'!$B$43),IF(SUM(CG7,BK7,AO7,S7)&lt;SUM(CF7,BJ7,AN7,R7),FV(MAX(CJ7,BN7,AR7,V7)/12,DATEDIF(CD7,'Cap Table'!$CF$61,"m"),0,-MAX(CF7,BJ7,AN7,R7))/(MAX(CI7,BM7,AQ7,U7)/'Cap Table'!$CF$62)/IF(CE7=$B$42,(1-MAX(CK$29,BO$29,AS$29,W$29)),1),CT7),CT7),0)</f>
        <v>0</v>
      </c>
      <c r="CX7" s="147">
        <f t="shared" ca="1" si="44"/>
        <v>0</v>
      </c>
      <c r="CZ7" s="168">
        <f t="shared" ca="1" si="45"/>
        <v>45647</v>
      </c>
      <c r="DA7" s="168" t="str">
        <f t="shared" ref="DA7:DA26" si="93">CE7</f>
        <v>Equity</v>
      </c>
      <c r="DB7" s="169">
        <v>0</v>
      </c>
      <c r="DC7" s="169">
        <f>IF('Cap Table'!DB$80&lt;&gt;"na",IF(OR(CE7='Cap Table'!$B$40,CE7='Cap Table'!$B$41,CE7='Cap Table'!$B$42),CF7-CG7,0),0)</f>
        <v>0</v>
      </c>
      <c r="DD7" s="171">
        <f t="shared" si="46"/>
        <v>0</v>
      </c>
      <c r="DE7" s="169">
        <f t="shared" si="47"/>
        <v>0</v>
      </c>
      <c r="DF7" s="172">
        <f t="shared" si="48"/>
        <v>0</v>
      </c>
      <c r="DG7" s="293">
        <f t="shared" si="49"/>
        <v>0</v>
      </c>
      <c r="DH7" s="170">
        <f ca="1">FV(DF7/12,DATEDIF(CZ7,'Cap Table'!DB$61,"m"),0,-DC7)</f>
        <v>0</v>
      </c>
      <c r="DI7" s="170">
        <f ca="1">IF('Cap Table'!DB$81="no",IFERROR(DH7/(1-DD7),0),IFERROR(DH7/(1-(MAX(DD7,IF(DE7=0,0,('Cap Table'!DB$63-DE7/'Cap Table'!DB$62)/'Cap Table'!DB$63)))),0))</f>
        <v>0</v>
      </c>
      <c r="DJ7" s="146">
        <f t="shared" ca="1" si="50"/>
        <v>0</v>
      </c>
      <c r="DK7" s="149">
        <f ca="1">IF(AND('Cap Table'!DB$63=0,DH7&gt;0),DE7/'Cap Table'!DB$62,IFERROR(IF(DE7=0,'Cap Table'!DB$63*(1-DD7),MIN('Cap Table'!DB$63*(1-DD7),DE7/'Cap Table'!DB$62)),0))</f>
        <v>0</v>
      </c>
      <c r="DL7" s="170">
        <f t="shared" ref="DL7:DL28" ca="1" si="94">IFERROR(DJ7/DK7,0)</f>
        <v>0</v>
      </c>
      <c r="DM7" s="170">
        <v>0</v>
      </c>
      <c r="DN7" s="146">
        <f t="shared" ca="1" si="51"/>
        <v>0</v>
      </c>
      <c r="DO7" s="146">
        <f t="shared" si="52"/>
        <v>0</v>
      </c>
      <c r="DP7" s="146">
        <f t="shared" ref="DP7:DP28" ca="1" si="95">DO7+DN7</f>
        <v>0</v>
      </c>
      <c r="DQ7" s="147">
        <f t="shared" ca="1" si="53"/>
        <v>0</v>
      </c>
      <c r="DR7" s="146">
        <f ca="1">DP7*'Cap Table'!DB$63</f>
        <v>0</v>
      </c>
      <c r="DS7" s="173">
        <f ca="1">IFERROR(IF(OR(DA7='Cap Table'!$B$40,DA7='Cap Table'!$B$41,DA7='Cap Table'!$B$42,DA7='Cap Table'!$B$43),IF(SUM(DC7,CG7,BK7,AO7,S7,)&lt;SUM(DB7,CF7,BJ7,AN7,R7),FV(MAX(DF7,CJ7,BN7,AR7,V7)/12,DATEDIF(CZ7,'Cap Table'!$DB$61,"m"),0,-MAX(DB7,CF7,BJ7,AN7,R7))/(MAX(DE7,CI7,BM7,AQ7,U7,)/'Cap Table'!$DB$62)/IF(DA7=$B$42,(1-MAX(DG$29,CK$29,BO$29,AS$29,W$29)),1),DP7),DP7),0)</f>
        <v>0</v>
      </c>
      <c r="DT7" s="147">
        <f t="shared" ca="1" si="54"/>
        <v>0</v>
      </c>
      <c r="DV7" s="168">
        <f t="shared" ca="1" si="55"/>
        <v>46012</v>
      </c>
      <c r="DW7" s="168" t="str">
        <f t="shared" ref="DW7:DW26" si="96">DA7</f>
        <v>Equity</v>
      </c>
      <c r="DX7" s="169">
        <v>0</v>
      </c>
      <c r="DY7" s="169">
        <f>IF('Cap Table'!DX$80&lt;&gt;"na",IF(OR(DA7='Cap Table'!$B$40,DA7='Cap Table'!$B$41,DA7='Cap Table'!$B$42),DB7-DC7,0),0)</f>
        <v>0</v>
      </c>
      <c r="DZ7" s="171">
        <f t="shared" si="56"/>
        <v>0</v>
      </c>
      <c r="EA7" s="169">
        <f t="shared" si="57"/>
        <v>0</v>
      </c>
      <c r="EB7" s="172">
        <f t="shared" si="58"/>
        <v>0</v>
      </c>
      <c r="EC7" s="293">
        <f t="shared" si="59"/>
        <v>0</v>
      </c>
      <c r="ED7" s="170">
        <f ca="1">FV(EB7/12,DATEDIF(DV7,'Cap Table'!DX$61,"m"),0,-DY7)</f>
        <v>0</v>
      </c>
      <c r="EE7" s="170">
        <f ca="1">IF('Cap Table'!DX$81="no",IFERROR(ED7/(1-DZ7),0),IFERROR(ED7/(1-(MAX(DZ7,IF(EA7=0,0,('Cap Table'!DX$63-EA7/'Cap Table'!DX$62)/'Cap Table'!DX$63)))),0))</f>
        <v>0</v>
      </c>
      <c r="EF7" s="146">
        <f t="shared" ca="1" si="60"/>
        <v>0</v>
      </c>
      <c r="EG7" s="149">
        <f ca="1">IF(AND('Cap Table'!DX$63=0,ED7&gt;0),EA7/IF(DA7=$B$42,DS$56,'Cap Table'!DX$62),IFERROR(IF(EA7=0,'Cap Table'!DX$63*(1-DZ7),MIN('Cap Table'!DX$63*(1-DZ7),EA7/IF(DA7=$B$42,DS$56,'Cap Table'!DX$62))),0))</f>
        <v>0</v>
      </c>
      <c r="EH7" s="170">
        <f t="shared" ref="EH7:EH28" ca="1" si="97">IFERROR(EF7/EG7,0)</f>
        <v>0</v>
      </c>
      <c r="EI7" s="170">
        <v>0</v>
      </c>
      <c r="EJ7" s="146">
        <f t="shared" ref="EJ7:EJ28" ca="1" si="98">EH7+DN7</f>
        <v>0</v>
      </c>
      <c r="EK7" s="146">
        <f t="shared" si="61"/>
        <v>0</v>
      </c>
      <c r="EL7" s="146">
        <f t="shared" ref="EL7:EL28" ca="1" si="99">EK7+EJ7</f>
        <v>0</v>
      </c>
      <c r="EM7" s="147">
        <f t="shared" ca="1" si="62"/>
        <v>0</v>
      </c>
      <c r="EN7" s="146">
        <f ca="1">EL7*'Cap Table'!DX$63</f>
        <v>0</v>
      </c>
      <c r="EO7" s="173">
        <f ca="1">IFERROR(IF(OR(DW7='Cap Table'!$B$40,DW7='Cap Table'!$B$41,DW7='Cap Table'!$B$42,DW7='Cap Table'!$B$43),IF(SUM(DY7,DC7,CG7,BK7,AO7,S7)&lt;SUM(DX7,DB7,CF7,BJ7,AN7,R7),FV(MAX(EB7,DF7,CJ7,BN7,AR7,V7)/12,DATEDIF(DV7,'Cap Table'!DX$61,"m"),0,-MAX(DX7,DB7,CF7,BJ7,AN7,R7))/(MAX(EA7,DE7,CI7,BM7,AQ7,U7)/'Cap Table'!$DX$62)/IF(DW7=$B$42,(1-MAX(EC$29,DG$29,CK$29,BO$29,AS$29,W$29)),1),EL7),EL7),0)</f>
        <v>0</v>
      </c>
      <c r="EP7" s="147">
        <f t="shared" ca="1" si="63"/>
        <v>0</v>
      </c>
      <c r="ER7" s="146">
        <f t="shared" si="64"/>
        <v>0</v>
      </c>
      <c r="ES7" s="146">
        <f t="shared" si="65"/>
        <v>0</v>
      </c>
      <c r="ET7" s="174" t="s">
        <v>27</v>
      </c>
      <c r="EU7" s="174" t="s">
        <v>27</v>
      </c>
      <c r="EV7" s="174" t="s">
        <v>27</v>
      </c>
      <c r="EW7" s="146">
        <f t="shared" ca="1" si="66"/>
        <v>0</v>
      </c>
      <c r="EX7" s="146">
        <f t="shared" ca="1" si="67"/>
        <v>0</v>
      </c>
      <c r="EY7" s="146">
        <f t="shared" ca="1" si="68"/>
        <v>0</v>
      </c>
      <c r="EZ7" s="146">
        <f ca="1">IFERROR(EY7/FE7,0)</f>
        <v>0</v>
      </c>
      <c r="FA7" s="146">
        <f t="shared" ca="1" si="69"/>
        <v>0</v>
      </c>
      <c r="FB7" s="146">
        <f t="shared" si="70"/>
        <v>0</v>
      </c>
      <c r="FC7" s="146">
        <f t="shared" ref="FC7:FE28" ca="1" si="100">EJ7</f>
        <v>0</v>
      </c>
      <c r="FD7" s="146">
        <f t="shared" si="100"/>
        <v>0</v>
      </c>
      <c r="FE7" s="146">
        <f t="shared" ca="1" si="100"/>
        <v>0</v>
      </c>
      <c r="FF7" s="147">
        <f t="shared" ca="1" si="71"/>
        <v>0</v>
      </c>
      <c r="FG7" s="146">
        <f t="shared" ref="FG7:FH28" ca="1" si="101">EN7</f>
        <v>0</v>
      </c>
      <c r="FH7" s="146">
        <f t="shared" ca="1" si="101"/>
        <v>0</v>
      </c>
      <c r="FI7" s="147">
        <f t="shared" ca="1" si="72"/>
        <v>0</v>
      </c>
      <c r="FK7" s="149" t="str">
        <f t="shared" si="0"/>
        <v>Common</v>
      </c>
      <c r="FL7" s="146">
        <f t="shared" ca="1" si="73"/>
        <v>0</v>
      </c>
      <c r="FM7" s="146">
        <f t="shared" ca="1" si="74"/>
        <v>0</v>
      </c>
      <c r="FN7" s="146">
        <f t="shared" ca="1" si="75"/>
        <v>0</v>
      </c>
      <c r="FP7" s="146" t="str">
        <f t="shared" si="76"/>
        <v>Common</v>
      </c>
      <c r="FQ7" s="174" t="str">
        <f t="shared" ca="1" si="77"/>
        <v>na</v>
      </c>
      <c r="FR7" s="174" t="str">
        <f t="shared" ca="1" si="78"/>
        <v>na</v>
      </c>
      <c r="FS7" s="174" t="str">
        <f t="shared" ca="1" si="79"/>
        <v>na</v>
      </c>
    </row>
    <row r="8" spans="2:175">
      <c r="B8" s="145" t="s">
        <v>26</v>
      </c>
      <c r="D8" s="167" t="s">
        <v>26</v>
      </c>
      <c r="E8" s="167" t="str">
        <f t="shared" si="80"/>
        <v>Common</v>
      </c>
      <c r="G8" s="168">
        <f t="shared" ca="1" si="1"/>
        <v>43820</v>
      </c>
      <c r="H8" s="289" t="str">
        <f t="shared" si="2"/>
        <v>Equity</v>
      </c>
      <c r="I8" s="169">
        <v>0</v>
      </c>
      <c r="J8" s="170">
        <v>0</v>
      </c>
      <c r="K8" s="170">
        <f t="shared" si="81"/>
        <v>0</v>
      </c>
      <c r="L8" s="147">
        <f t="shared" si="3"/>
        <v>0</v>
      </c>
      <c r="M8" s="170">
        <f t="shared" si="82"/>
        <v>0</v>
      </c>
      <c r="N8" s="147">
        <f t="shared" si="4"/>
        <v>0</v>
      </c>
      <c r="O8" s="147"/>
      <c r="P8" s="168">
        <f t="shared" ca="1" si="5"/>
        <v>44186</v>
      </c>
      <c r="Q8" s="289" t="str">
        <f t="shared" si="6"/>
        <v>Equity</v>
      </c>
      <c r="R8" s="169">
        <v>0</v>
      </c>
      <c r="S8" s="169">
        <v>0</v>
      </c>
      <c r="T8" s="171">
        <v>0</v>
      </c>
      <c r="U8" s="145">
        <v>0</v>
      </c>
      <c r="V8" s="172">
        <v>0</v>
      </c>
      <c r="W8" s="293">
        <f t="shared" si="7"/>
        <v>0</v>
      </c>
      <c r="X8" s="170">
        <f ca="1">FV(V8/12,DATEDIF(P8,'Cap Table'!R$61,"m"),0,-S8)</f>
        <v>0</v>
      </c>
      <c r="Y8" s="170">
        <f t="shared" ca="1" si="8"/>
        <v>0</v>
      </c>
      <c r="Z8" s="146">
        <f t="shared" ca="1" si="9"/>
        <v>0</v>
      </c>
      <c r="AA8" s="149">
        <f ca="1">IF(AND('Cap Table'!R$63=0,X8&gt;0),U8/'Cap Table'!R$62,IFERROR(IF(U8=0,'Cap Table'!R$63*(1-T8),MIN('Cap Table'!R$63*(1-T8),U8/'Cap Table'!R$62)),0))</f>
        <v>0</v>
      </c>
      <c r="AB8" s="170">
        <f t="shared" ca="1" si="83"/>
        <v>0</v>
      </c>
      <c r="AC8" s="170">
        <v>0</v>
      </c>
      <c r="AD8" s="146">
        <f t="shared" ca="1" si="10"/>
        <v>0</v>
      </c>
      <c r="AE8" s="146">
        <f t="shared" si="11"/>
        <v>0</v>
      </c>
      <c r="AF8" s="146">
        <f t="shared" ca="1" si="84"/>
        <v>0</v>
      </c>
      <c r="AG8" s="147">
        <f t="shared" ca="1" si="12"/>
        <v>0</v>
      </c>
      <c r="AH8" s="146">
        <f ca="1">AF8*'Cap Table'!R$63</f>
        <v>0</v>
      </c>
      <c r="AI8" s="146">
        <f ca="1">IFERROR(IF(OR(Q8='Cap Table'!$B$40,Q8='Cap Table'!$B$41,Q8='Cap Table'!$B$42,Q8='Cap Table'!$B$43),IF(SUM(S8)&lt;SUM(R8),(FV(V8/12,DATEDIF(P8,'Cap Table'!R$61,"m"),0,-R8))/(U8/'Cap Table'!$R$62)/IF(Q8=$B$42,(1-W$29),1),AF8),AF8),0)</f>
        <v>0</v>
      </c>
      <c r="AJ8" s="147">
        <f t="shared" ca="1" si="13"/>
        <v>0</v>
      </c>
      <c r="AL8" s="168">
        <f t="shared" ca="1" si="14"/>
        <v>44551</v>
      </c>
      <c r="AM8" s="168" t="str">
        <f t="shared" si="15"/>
        <v>Equity</v>
      </c>
      <c r="AN8" s="169">
        <v>0</v>
      </c>
      <c r="AO8" s="169">
        <f>IF('Cap Table'!AN$80&lt;&gt;"na",IF(OR(Q8='Cap Table'!$B$40,Q8='Cap Table'!$B$41,Q8='Cap Table'!$B$42),R8-S8,0),0)</f>
        <v>0</v>
      </c>
      <c r="AP8" s="171">
        <f t="shared" si="16"/>
        <v>0</v>
      </c>
      <c r="AQ8" s="169">
        <f t="shared" si="17"/>
        <v>0</v>
      </c>
      <c r="AR8" s="172">
        <f t="shared" si="18"/>
        <v>0</v>
      </c>
      <c r="AS8" s="293">
        <f t="shared" si="19"/>
        <v>0</v>
      </c>
      <c r="AT8" s="170">
        <f ca="1">FV(AR8/12,DATEDIF(AL8,'Cap Table'!AN$61,"m"),0,-AO8)</f>
        <v>0</v>
      </c>
      <c r="AU8" s="170">
        <f ca="1">IF('Cap Table'!AN$81="no",IFERROR(AT8/(1-AP8),0),IFERROR(AT8/(1-(MAX(AP8,IF(AQ8=0,0,('Cap Table'!AN$63-AQ8/'Cap Table'!AN$62)/'Cap Table'!AN$63)))),0))</f>
        <v>0</v>
      </c>
      <c r="AV8" s="146">
        <f t="shared" ca="1" si="20"/>
        <v>0</v>
      </c>
      <c r="AW8" s="149">
        <f ca="1">IF(AND('Cap Table'!AN$63=0,AT8&gt;0),AQ8/IF(AM8=$B$42,AI$56,'Cap Table'!AN$62),IFERROR(IF(AQ8=0,'Cap Table'!AN$63*(1-AP8),MIN('Cap Table'!AN$63*(1-AP8),AQ8/IF(AM8=$B$42,AI$56,'Cap Table'!AN$62))),0))</f>
        <v>0</v>
      </c>
      <c r="AX8" s="170">
        <f t="shared" ca="1" si="85"/>
        <v>0</v>
      </c>
      <c r="AY8" s="170">
        <v>0</v>
      </c>
      <c r="AZ8" s="146">
        <f t="shared" ca="1" si="21"/>
        <v>0</v>
      </c>
      <c r="BA8" s="146">
        <f t="shared" si="22"/>
        <v>0</v>
      </c>
      <c r="BB8" s="146">
        <f t="shared" ca="1" si="86"/>
        <v>0</v>
      </c>
      <c r="BC8" s="147">
        <f t="shared" ca="1" si="23"/>
        <v>0</v>
      </c>
      <c r="BD8" s="146">
        <f ca="1">BB8*'Cap Table'!AN$63</f>
        <v>0</v>
      </c>
      <c r="BE8" s="173">
        <f ca="1">IFERROR(IF(OR(AM8='Cap Table'!$B$40,AM8='Cap Table'!$B$41,AM8='Cap Table'!$B$42,AM8='Cap Table'!$B$43),IF(SUM(AO8,S8)&lt;SUM(AN8,R8),FV(MAX(AR8,V8)/12,DATEDIF(AL8,'Cap Table'!$AN$61,"m"),0,-MAX(AN8,R8))/(MAX(AQ8,U8)/'Cap Table'!$AN$62)/IF(AM8=$B$42,(1-MAX(W29,AS$29)),1),BB8),BB8),0)</f>
        <v>0</v>
      </c>
      <c r="BF8" s="147">
        <f t="shared" ca="1" si="24"/>
        <v>0</v>
      </c>
      <c r="BH8" s="168">
        <f t="shared" ca="1" si="25"/>
        <v>44916</v>
      </c>
      <c r="BI8" s="168" t="str">
        <f t="shared" si="87"/>
        <v>Equity</v>
      </c>
      <c r="BJ8" s="169">
        <v>0</v>
      </c>
      <c r="BK8" s="169">
        <f>IF('Cap Table'!BJ$80&lt;&gt;"na",IF(OR(AM8='Cap Table'!$B$40,AM8='Cap Table'!$B$41,AM8='Cap Table'!$B$42),AN8-AO8,0),0)</f>
        <v>0</v>
      </c>
      <c r="BL8" s="171">
        <f t="shared" si="26"/>
        <v>0</v>
      </c>
      <c r="BM8" s="169">
        <f t="shared" si="27"/>
        <v>0</v>
      </c>
      <c r="BN8" s="172">
        <f t="shared" si="28"/>
        <v>0</v>
      </c>
      <c r="BO8" s="293">
        <f t="shared" si="29"/>
        <v>0</v>
      </c>
      <c r="BP8" s="170">
        <f ca="1">FV(BN8/12,DATEDIF(BH8,'Cap Table'!BJ$61,"m"),0,-BK8)</f>
        <v>0</v>
      </c>
      <c r="BQ8" s="170">
        <f ca="1">IF('Cap Table'!BJ$81="no",IFERROR(BP8/(1-BL8),0),IFERROR(BP8/(1-(MAX(BL8,IF(BM8=0,0,('Cap Table'!BJ$63-BM8/'Cap Table'!BJ$62)/'Cap Table'!BJ$63)))),0))</f>
        <v>0</v>
      </c>
      <c r="BR8" s="146">
        <f t="shared" ca="1" si="30"/>
        <v>0</v>
      </c>
      <c r="BS8" s="149">
        <f ca="1">IF(AND('Cap Table'!BJ$63=0,BP8&gt;0),BM8/IF(BI8=$B$42,BE$56,'Cap Table'!BJ$62),IFERROR(IF(BM8=0,'Cap Table'!BJ$63*(1-BL8),MIN('Cap Table'!BJ$63*(1-BL8),BM8/IF(BI8=$B$42,BE$56,'Cap Table'!BJ$62))),0))</f>
        <v>0</v>
      </c>
      <c r="BT8" s="170">
        <f t="shared" ca="1" si="88"/>
        <v>0</v>
      </c>
      <c r="BU8" s="170">
        <v>0</v>
      </c>
      <c r="BV8" s="146">
        <f t="shared" ca="1" si="31"/>
        <v>0</v>
      </c>
      <c r="BW8" s="146">
        <f t="shared" si="32"/>
        <v>0</v>
      </c>
      <c r="BX8" s="146">
        <f t="shared" ca="1" si="89"/>
        <v>0</v>
      </c>
      <c r="BY8" s="147">
        <f t="shared" ca="1" si="33"/>
        <v>0</v>
      </c>
      <c r="BZ8" s="146">
        <f ca="1">BX8*'Cap Table'!BJ$63</f>
        <v>0</v>
      </c>
      <c r="CA8" s="173">
        <f ca="1">IFERROR(IF(OR(BI8='Cap Table'!$B$40,BI8='Cap Table'!$B$41,BI8='Cap Table'!$B$42,BI8='Cap Table'!$B$43),IF(SUM(BK8,AO8,S8)&lt;SUM(BJ8,AN8,R8),FV(MAX(BN8,AR8,V8)/12,DATEDIF(BH8,'Cap Table'!$BJ$61,"m"),0,-MAX(BJ8,AN8,R8))/(MAX(BM8,AQ8,U8)/'Cap Table'!$BJ$62)/IF(BI8=$B$42,(1-MAX(BO$29,AS$29,W$29)),1),BX8),BX8),0)</f>
        <v>0</v>
      </c>
      <c r="CB8" s="147">
        <f t="shared" ca="1" si="34"/>
        <v>0</v>
      </c>
      <c r="CD8" s="168">
        <f t="shared" ca="1" si="35"/>
        <v>45281</v>
      </c>
      <c r="CE8" s="168" t="str">
        <f t="shared" si="90"/>
        <v>Equity</v>
      </c>
      <c r="CF8" s="169">
        <v>0</v>
      </c>
      <c r="CG8" s="169">
        <f>IF('Cap Table'!CF$80&lt;&gt;"na",IF(OR(BI8='Cap Table'!$B$40,BI8='Cap Table'!$B$41,BI8='Cap Table'!$B$42),BJ8-BK8,0),0)</f>
        <v>0</v>
      </c>
      <c r="CH8" s="171">
        <f t="shared" si="36"/>
        <v>0</v>
      </c>
      <c r="CI8" s="169">
        <f t="shared" si="37"/>
        <v>0</v>
      </c>
      <c r="CJ8" s="172">
        <f t="shared" si="38"/>
        <v>0</v>
      </c>
      <c r="CK8" s="293">
        <f t="shared" si="39"/>
        <v>0</v>
      </c>
      <c r="CL8" s="170">
        <f ca="1">FV(CJ8/12,DATEDIF(CD8,'Cap Table'!CF$61,"m"),0,-CG8)</f>
        <v>0</v>
      </c>
      <c r="CM8" s="170">
        <f ca="1">IF('Cap Table'!CF$81="no",IFERROR(CL8/(1-CH8),0),IFERROR(CL8/(1-(MAX(CH8,IF(CI8=0,0,('Cap Table'!CF$63-CI8/'Cap Table'!CF$62)/'Cap Table'!CF$63)))),0))</f>
        <v>0</v>
      </c>
      <c r="CN8" s="146">
        <f t="shared" ca="1" si="40"/>
        <v>0</v>
      </c>
      <c r="CO8" s="149">
        <f ca="1">IF(AND('Cap Table'!CF$63=0,CL8&gt;0),CI8/IF(CE8=$B$42,CA$56,'Cap Table'!CF$62),IFERROR(IF(CI8=0,'Cap Table'!CF$63*(1-CH8),MIN('Cap Table'!CF$63*(1-CH8),CI8/IF(CE8=$B$42,CA$56,'Cap Table'!CF$62))),0))</f>
        <v>0</v>
      </c>
      <c r="CP8" s="170">
        <f t="shared" ca="1" si="91"/>
        <v>0</v>
      </c>
      <c r="CQ8" s="170">
        <v>0</v>
      </c>
      <c r="CR8" s="146">
        <f t="shared" ca="1" si="41"/>
        <v>0</v>
      </c>
      <c r="CS8" s="146">
        <f t="shared" si="42"/>
        <v>0</v>
      </c>
      <c r="CT8" s="146">
        <f t="shared" ca="1" si="92"/>
        <v>0</v>
      </c>
      <c r="CU8" s="147">
        <f t="shared" ca="1" si="43"/>
        <v>0</v>
      </c>
      <c r="CV8" s="146">
        <f ca="1">CT8*'Cap Table'!CF$63</f>
        <v>0</v>
      </c>
      <c r="CW8" s="173">
        <f ca="1">IFERROR(IF(OR(CE8='Cap Table'!$B$40,CE8='Cap Table'!$B$41,CE8='Cap Table'!$B$42,CE8='Cap Table'!$B$43),IF(SUM(CG8,BK8,AO8,S8)&lt;SUM(CF8,BJ8,AN8,R8),FV(MAX(CJ8,BN8,AR8,V8)/12,DATEDIF(CD8,'Cap Table'!$CF$61,"m"),0,-MAX(CF8,BJ8,AN8,R8))/(MAX(CI8,BM8,AQ8,U8)/'Cap Table'!$CF$62)/IF(CE8=$B$42,(1-MAX(CK$29,BO$29,AS$29,W$29)),1),CT8),CT8),0)</f>
        <v>0</v>
      </c>
      <c r="CX8" s="147">
        <f t="shared" ca="1" si="44"/>
        <v>0</v>
      </c>
      <c r="CZ8" s="168">
        <f t="shared" ca="1" si="45"/>
        <v>45647</v>
      </c>
      <c r="DA8" s="168" t="str">
        <f t="shared" si="93"/>
        <v>Equity</v>
      </c>
      <c r="DB8" s="169">
        <v>0</v>
      </c>
      <c r="DC8" s="169">
        <f>IF('Cap Table'!DB$80&lt;&gt;"na",IF(OR(CE8='Cap Table'!$B$40,CE8='Cap Table'!$B$41,CE8='Cap Table'!$B$42),CF8-CG8,0),0)</f>
        <v>0</v>
      </c>
      <c r="DD8" s="171">
        <f t="shared" si="46"/>
        <v>0</v>
      </c>
      <c r="DE8" s="169">
        <f t="shared" si="47"/>
        <v>0</v>
      </c>
      <c r="DF8" s="172">
        <f t="shared" si="48"/>
        <v>0</v>
      </c>
      <c r="DG8" s="293">
        <f t="shared" si="49"/>
        <v>0</v>
      </c>
      <c r="DH8" s="170">
        <f ca="1">FV(DF8/12,DATEDIF(CZ8,'Cap Table'!DB$61,"m"),0,-DC8)</f>
        <v>0</v>
      </c>
      <c r="DI8" s="170">
        <f ca="1">IF('Cap Table'!DB$81="no",IFERROR(DH8/(1-DD8),0),IFERROR(DH8/(1-(MAX(DD8,IF(DE8=0,0,('Cap Table'!DB$63-DE8/'Cap Table'!DB$62)/'Cap Table'!DB$63)))),0))</f>
        <v>0</v>
      </c>
      <c r="DJ8" s="146">
        <f t="shared" ca="1" si="50"/>
        <v>0</v>
      </c>
      <c r="DK8" s="149">
        <f ca="1">IF(AND('Cap Table'!DB$63=0,DH8&gt;0),DE8/'Cap Table'!DB$62,IFERROR(IF(DE8=0,'Cap Table'!DB$63*(1-DD8),MIN('Cap Table'!DB$63*(1-DD8),DE8/'Cap Table'!DB$62)),0))</f>
        <v>0</v>
      </c>
      <c r="DL8" s="170">
        <f t="shared" ca="1" si="94"/>
        <v>0</v>
      </c>
      <c r="DM8" s="170">
        <v>0</v>
      </c>
      <c r="DN8" s="146">
        <f t="shared" ca="1" si="51"/>
        <v>0</v>
      </c>
      <c r="DO8" s="146">
        <f t="shared" si="52"/>
        <v>0</v>
      </c>
      <c r="DP8" s="146">
        <f t="shared" ca="1" si="95"/>
        <v>0</v>
      </c>
      <c r="DQ8" s="147">
        <f t="shared" ca="1" si="53"/>
        <v>0</v>
      </c>
      <c r="DR8" s="146">
        <f ca="1">DP8*'Cap Table'!DB$63</f>
        <v>0</v>
      </c>
      <c r="DS8" s="173">
        <f ca="1">IFERROR(IF(OR(DA8='Cap Table'!$B$40,DA8='Cap Table'!$B$41,DA8='Cap Table'!$B$42,DA8='Cap Table'!$B$43),IF(SUM(DC8,CG8,BK8,AO8,S8,)&lt;SUM(DB8,CF8,BJ8,AN8,R8),FV(MAX(DF8,CJ8,BN8,AR8,V8)/12,DATEDIF(CZ8,'Cap Table'!$DB$61,"m"),0,-MAX(DB8,CF8,BJ8,AN8,R8))/(MAX(DE8,CI8,BM8,AQ8,U8,)/'Cap Table'!$DB$62)/IF(DA8=$B$42,(1-MAX(DG$29,CK$29,BO$29,AS$29,W$29)),1),DP8),DP8),0)</f>
        <v>0</v>
      </c>
      <c r="DT8" s="147">
        <f t="shared" ca="1" si="54"/>
        <v>0</v>
      </c>
      <c r="DV8" s="168">
        <f t="shared" ca="1" si="55"/>
        <v>46012</v>
      </c>
      <c r="DW8" s="168" t="str">
        <f t="shared" si="96"/>
        <v>Equity</v>
      </c>
      <c r="DX8" s="169">
        <v>0</v>
      </c>
      <c r="DY8" s="169">
        <f>IF('Cap Table'!DX$80&lt;&gt;"na",IF(OR(DA8='Cap Table'!$B$40,DA8='Cap Table'!$B$41,DA8='Cap Table'!$B$42),DB8-DC8,0),0)</f>
        <v>0</v>
      </c>
      <c r="DZ8" s="171">
        <f t="shared" si="56"/>
        <v>0</v>
      </c>
      <c r="EA8" s="169">
        <f t="shared" si="57"/>
        <v>0</v>
      </c>
      <c r="EB8" s="172">
        <f t="shared" si="58"/>
        <v>0</v>
      </c>
      <c r="EC8" s="293">
        <f t="shared" si="59"/>
        <v>0</v>
      </c>
      <c r="ED8" s="170">
        <f ca="1">FV(EB8/12,DATEDIF(DV8,'Cap Table'!DX$61,"m"),0,-DY8)</f>
        <v>0</v>
      </c>
      <c r="EE8" s="170">
        <f ca="1">IF('Cap Table'!DX$81="no",IFERROR(ED8/(1-DZ8),0),IFERROR(ED8/(1-(MAX(DZ8,IF(EA8=0,0,('Cap Table'!DX$63-EA8/'Cap Table'!DX$62)/'Cap Table'!DX$63)))),0))</f>
        <v>0</v>
      </c>
      <c r="EF8" s="146">
        <f t="shared" ca="1" si="60"/>
        <v>0</v>
      </c>
      <c r="EG8" s="149">
        <f ca="1">IF(AND('Cap Table'!DX$63=0,ED8&gt;0),EA8/IF(DA8=$B$42,DS$56,'Cap Table'!DX$62),IFERROR(IF(EA8=0,'Cap Table'!DX$63*(1-DZ8),MIN('Cap Table'!DX$63*(1-DZ8),EA8/IF(DA8=$B$42,DS$56,'Cap Table'!DX$62))),0))</f>
        <v>0</v>
      </c>
      <c r="EH8" s="170">
        <f t="shared" ca="1" si="97"/>
        <v>0</v>
      </c>
      <c r="EI8" s="170">
        <v>0</v>
      </c>
      <c r="EJ8" s="146">
        <f t="shared" ca="1" si="98"/>
        <v>0</v>
      </c>
      <c r="EK8" s="146">
        <f t="shared" si="61"/>
        <v>0</v>
      </c>
      <c r="EL8" s="146">
        <f t="shared" ca="1" si="99"/>
        <v>0</v>
      </c>
      <c r="EM8" s="147">
        <f t="shared" ca="1" si="62"/>
        <v>0</v>
      </c>
      <c r="EN8" s="146">
        <f ca="1">EL8*'Cap Table'!DX$63</f>
        <v>0</v>
      </c>
      <c r="EO8" s="173">
        <f ca="1">IFERROR(IF(OR(DW8='Cap Table'!$B$40,DW8='Cap Table'!$B$41,DW8='Cap Table'!$B$42,DW8='Cap Table'!$B$43),IF(SUM(DY8,DC8,CG8,BK8,AO8,S8)&lt;SUM(DX8,DB8,CF8,BJ8,AN8,R8),FV(MAX(EB8,DF8,CJ8,BN8,AR8,V8)/12,DATEDIF(DV8,'Cap Table'!DX$61,"m"),0,-MAX(DX8,DB8,CF8,BJ8,AN8,R8))/(MAX(EA8,DE8,CI8,BM8,AQ8,U8)/'Cap Table'!$DX$62)/IF(DW8=$B$42,(1-MAX(EC$29,DG$29,CK$29,BO$29,AS$29,W$29)),1),EL8),EL8),0)</f>
        <v>0</v>
      </c>
      <c r="EP8" s="147">
        <f t="shared" ca="1" si="63"/>
        <v>0</v>
      </c>
      <c r="ER8" s="146">
        <f t="shared" si="64"/>
        <v>0</v>
      </c>
      <c r="ES8" s="146">
        <f t="shared" si="65"/>
        <v>0</v>
      </c>
      <c r="ET8" s="174" t="s">
        <v>27</v>
      </c>
      <c r="EU8" s="174" t="s">
        <v>27</v>
      </c>
      <c r="EV8" s="174" t="s">
        <v>27</v>
      </c>
      <c r="EW8" s="146">
        <f t="shared" ca="1" si="66"/>
        <v>0</v>
      </c>
      <c r="EX8" s="146">
        <f t="shared" ca="1" si="67"/>
        <v>0</v>
      </c>
      <c r="EY8" s="146">
        <f t="shared" ca="1" si="68"/>
        <v>0</v>
      </c>
      <c r="EZ8" s="146">
        <f ca="1">IFERROR(EY8/FE8,0)</f>
        <v>0</v>
      </c>
      <c r="FA8" s="146">
        <f t="shared" ca="1" si="69"/>
        <v>0</v>
      </c>
      <c r="FB8" s="146">
        <f t="shared" si="70"/>
        <v>0</v>
      </c>
      <c r="FC8" s="146">
        <f t="shared" ca="1" si="100"/>
        <v>0</v>
      </c>
      <c r="FD8" s="146">
        <f t="shared" si="100"/>
        <v>0</v>
      </c>
      <c r="FE8" s="146">
        <f t="shared" ca="1" si="100"/>
        <v>0</v>
      </c>
      <c r="FF8" s="147">
        <f t="shared" ca="1" si="71"/>
        <v>0</v>
      </c>
      <c r="FG8" s="146">
        <f t="shared" ca="1" si="101"/>
        <v>0</v>
      </c>
      <c r="FH8" s="146">
        <f t="shared" ca="1" si="101"/>
        <v>0</v>
      </c>
      <c r="FI8" s="147">
        <f t="shared" ca="1" si="72"/>
        <v>0</v>
      </c>
      <c r="FK8" s="149" t="str">
        <f t="shared" si="0"/>
        <v>Common</v>
      </c>
      <c r="FL8" s="146">
        <f t="shared" ca="1" si="73"/>
        <v>0</v>
      </c>
      <c r="FM8" s="146">
        <f t="shared" ca="1" si="74"/>
        <v>0</v>
      </c>
      <c r="FN8" s="146">
        <f t="shared" ca="1" si="75"/>
        <v>0</v>
      </c>
      <c r="FP8" s="146" t="str">
        <f t="shared" si="76"/>
        <v>Common</v>
      </c>
      <c r="FQ8" s="174" t="str">
        <f t="shared" ca="1" si="77"/>
        <v>na</v>
      </c>
      <c r="FR8" s="174" t="str">
        <f t="shared" ca="1" si="78"/>
        <v>na</v>
      </c>
      <c r="FS8" s="174" t="str">
        <f t="shared" ca="1" si="79"/>
        <v>na</v>
      </c>
    </row>
    <row r="9" spans="2:175">
      <c r="B9" s="145" t="s">
        <v>27</v>
      </c>
      <c r="D9" s="167" t="s">
        <v>33</v>
      </c>
      <c r="E9" s="167" t="str">
        <f t="shared" si="80"/>
        <v>Common</v>
      </c>
      <c r="G9" s="168">
        <f t="shared" ca="1" si="1"/>
        <v>43820</v>
      </c>
      <c r="H9" s="289" t="str">
        <f t="shared" si="2"/>
        <v>Equity</v>
      </c>
      <c r="I9" s="169">
        <v>0</v>
      </c>
      <c r="J9" s="170">
        <v>0</v>
      </c>
      <c r="K9" s="170">
        <f t="shared" si="81"/>
        <v>0</v>
      </c>
      <c r="L9" s="147">
        <f t="shared" si="3"/>
        <v>0</v>
      </c>
      <c r="M9" s="170">
        <f t="shared" si="82"/>
        <v>0</v>
      </c>
      <c r="N9" s="147">
        <f t="shared" si="4"/>
        <v>0</v>
      </c>
      <c r="O9" s="147"/>
      <c r="P9" s="168">
        <f t="shared" ca="1" si="5"/>
        <v>44186</v>
      </c>
      <c r="Q9" s="289" t="str">
        <f t="shared" si="6"/>
        <v>Equity</v>
      </c>
      <c r="R9" s="169">
        <v>0</v>
      </c>
      <c r="S9" s="169">
        <v>0</v>
      </c>
      <c r="T9" s="171">
        <v>0</v>
      </c>
      <c r="U9" s="145">
        <v>0</v>
      </c>
      <c r="V9" s="172">
        <v>0</v>
      </c>
      <c r="W9" s="293">
        <f t="shared" si="7"/>
        <v>0</v>
      </c>
      <c r="X9" s="170">
        <f ca="1">FV(V9/12,DATEDIF(P9,'Cap Table'!R$61,"m"),0,-S9)</f>
        <v>0</v>
      </c>
      <c r="Y9" s="170">
        <f t="shared" ca="1" si="8"/>
        <v>0</v>
      </c>
      <c r="Z9" s="146">
        <f t="shared" ca="1" si="9"/>
        <v>0</v>
      </c>
      <c r="AA9" s="149">
        <f ca="1">IF(AND('Cap Table'!R$63=0,X9&gt;0),U9/'Cap Table'!R$62,IFERROR(IF(U9=0,'Cap Table'!R$63*(1-T9),MIN('Cap Table'!R$63*(1-T9),U9/'Cap Table'!R$62)),0))</f>
        <v>0</v>
      </c>
      <c r="AB9" s="170">
        <f t="shared" ca="1" si="83"/>
        <v>0</v>
      </c>
      <c r="AC9" s="170">
        <v>0</v>
      </c>
      <c r="AD9" s="146">
        <f t="shared" ca="1" si="10"/>
        <v>0</v>
      </c>
      <c r="AE9" s="146">
        <f t="shared" si="11"/>
        <v>0</v>
      </c>
      <c r="AF9" s="146">
        <f t="shared" ca="1" si="84"/>
        <v>0</v>
      </c>
      <c r="AG9" s="147">
        <f t="shared" ca="1" si="12"/>
        <v>0</v>
      </c>
      <c r="AH9" s="146">
        <f ca="1">AF9*'Cap Table'!R$63</f>
        <v>0</v>
      </c>
      <c r="AI9" s="146">
        <f ca="1">IFERROR(IF(OR(Q9='Cap Table'!$B$40,Q9='Cap Table'!$B$41,Q9='Cap Table'!$B$42,Q9='Cap Table'!$B$43),IF(SUM(S9)&lt;SUM(R9),(FV(V9/12,DATEDIF(P9,'Cap Table'!R$61,"m"),0,-R9))/(U9/'Cap Table'!$R$62)/IF(Q9=$B$42,(1-W$29),1),AF9),AF9),0)</f>
        <v>0</v>
      </c>
      <c r="AJ9" s="147">
        <f t="shared" ca="1" si="13"/>
        <v>0</v>
      </c>
      <c r="AL9" s="168">
        <f t="shared" ca="1" si="14"/>
        <v>44551</v>
      </c>
      <c r="AM9" s="168" t="str">
        <f t="shared" si="15"/>
        <v>Equity</v>
      </c>
      <c r="AN9" s="169">
        <v>0</v>
      </c>
      <c r="AO9" s="169">
        <f>IF('Cap Table'!AN$80&lt;&gt;"na",IF(OR(Q9='Cap Table'!$B$40,Q9='Cap Table'!$B$41,Q9='Cap Table'!$B$42),R9-S9,0),0)</f>
        <v>0</v>
      </c>
      <c r="AP9" s="171">
        <f t="shared" si="16"/>
        <v>0</v>
      </c>
      <c r="AQ9" s="169">
        <f t="shared" si="17"/>
        <v>0</v>
      </c>
      <c r="AR9" s="172">
        <f t="shared" si="18"/>
        <v>0</v>
      </c>
      <c r="AS9" s="293">
        <f t="shared" si="19"/>
        <v>0</v>
      </c>
      <c r="AT9" s="170">
        <f ca="1">FV(AR9/12,DATEDIF(AL9,'Cap Table'!AN$61,"m"),0,-AO9)</f>
        <v>0</v>
      </c>
      <c r="AU9" s="170">
        <f ca="1">IF('Cap Table'!AN$81="no",IFERROR(AT9/(1-AP9),0),IFERROR(AT9/(1-(MAX(AP9,IF(AQ9=0,0,('Cap Table'!AN$63-AQ9/'Cap Table'!AN$62)/'Cap Table'!AN$63)))),0))</f>
        <v>0</v>
      </c>
      <c r="AV9" s="146">
        <f t="shared" ca="1" si="20"/>
        <v>0</v>
      </c>
      <c r="AW9" s="149">
        <f ca="1">IF(AND('Cap Table'!AN$63=0,AT9&gt;0),AQ9/IF(AM9=$B$42,AI$56,'Cap Table'!AN$62),IFERROR(IF(AQ9=0,'Cap Table'!AN$63*(1-AP9),MIN('Cap Table'!AN$63*(1-AP9),AQ9/IF(AM9=$B$42,AI$56,'Cap Table'!AN$62))),0))</f>
        <v>0</v>
      </c>
      <c r="AX9" s="170">
        <f t="shared" ca="1" si="85"/>
        <v>0</v>
      </c>
      <c r="AY9" s="170">
        <v>0</v>
      </c>
      <c r="AZ9" s="146">
        <f t="shared" ca="1" si="21"/>
        <v>0</v>
      </c>
      <c r="BA9" s="146">
        <f t="shared" si="22"/>
        <v>0</v>
      </c>
      <c r="BB9" s="146">
        <f t="shared" ca="1" si="86"/>
        <v>0</v>
      </c>
      <c r="BC9" s="147">
        <f t="shared" ca="1" si="23"/>
        <v>0</v>
      </c>
      <c r="BD9" s="146">
        <f ca="1">BB9*'Cap Table'!AN$63</f>
        <v>0</v>
      </c>
      <c r="BE9" s="173">
        <f ca="1">IFERROR(IF(OR(AM9='Cap Table'!$B$40,AM9='Cap Table'!$B$41,AM9='Cap Table'!$B$42,AM9='Cap Table'!$B$43),IF(SUM(AO9,S9)&lt;SUM(AN9,R9),FV(MAX(AR9,V9)/12,DATEDIF(AL9,'Cap Table'!$AN$61,"m"),0,-MAX(AN9,R9))/(MAX(AQ9,U9)/'Cap Table'!$AN$62)/IF(AM9=$B$42,(1-MAX(W30,AS$29)),1),BB9),BB9),0)</f>
        <v>0</v>
      </c>
      <c r="BF9" s="147">
        <f t="shared" ca="1" si="24"/>
        <v>0</v>
      </c>
      <c r="BH9" s="168">
        <f t="shared" ca="1" si="25"/>
        <v>44916</v>
      </c>
      <c r="BI9" s="168" t="str">
        <f t="shared" si="87"/>
        <v>Equity</v>
      </c>
      <c r="BJ9" s="169">
        <v>0</v>
      </c>
      <c r="BK9" s="169">
        <f>IF('Cap Table'!BJ$80&lt;&gt;"na",IF(OR(AM9='Cap Table'!$B$40,AM9='Cap Table'!$B$41,AM9='Cap Table'!$B$42),AN9-AO9,0),0)</f>
        <v>0</v>
      </c>
      <c r="BL9" s="171">
        <f t="shared" si="26"/>
        <v>0</v>
      </c>
      <c r="BM9" s="169">
        <f t="shared" si="27"/>
        <v>0</v>
      </c>
      <c r="BN9" s="172">
        <f t="shared" si="28"/>
        <v>0</v>
      </c>
      <c r="BO9" s="293">
        <f t="shared" si="29"/>
        <v>0</v>
      </c>
      <c r="BP9" s="170">
        <f ca="1">FV(BN9/12,DATEDIF(BH9,'Cap Table'!BJ$61,"m"),0,-BK9)</f>
        <v>0</v>
      </c>
      <c r="BQ9" s="170">
        <f ca="1">IF('Cap Table'!BJ$81="no",IFERROR(BP9/(1-BL9),0),IFERROR(BP9/(1-(MAX(BL9,IF(BM9=0,0,('Cap Table'!BJ$63-BM9/'Cap Table'!BJ$62)/'Cap Table'!BJ$63)))),0))</f>
        <v>0</v>
      </c>
      <c r="BR9" s="146">
        <f t="shared" ca="1" si="30"/>
        <v>0</v>
      </c>
      <c r="BS9" s="149">
        <f ca="1">IF(AND('Cap Table'!BJ$63=0,BP9&gt;0),BM9/IF(BI9=$B$42,BE$56,'Cap Table'!BJ$62),IFERROR(IF(BM9=0,'Cap Table'!BJ$63*(1-BL9),MIN('Cap Table'!BJ$63*(1-BL9),BM9/IF(BI9=$B$42,BE$56,'Cap Table'!BJ$62))),0))</f>
        <v>0</v>
      </c>
      <c r="BT9" s="170">
        <f t="shared" ca="1" si="88"/>
        <v>0</v>
      </c>
      <c r="BU9" s="170">
        <v>0</v>
      </c>
      <c r="BV9" s="146">
        <f t="shared" ca="1" si="31"/>
        <v>0</v>
      </c>
      <c r="BW9" s="146">
        <f t="shared" si="32"/>
        <v>0</v>
      </c>
      <c r="BX9" s="146">
        <f t="shared" ca="1" si="89"/>
        <v>0</v>
      </c>
      <c r="BY9" s="147">
        <f t="shared" ca="1" si="33"/>
        <v>0</v>
      </c>
      <c r="BZ9" s="146">
        <f ca="1">BX9*'Cap Table'!BJ$63</f>
        <v>0</v>
      </c>
      <c r="CA9" s="173">
        <f ca="1">IFERROR(IF(OR(BI9='Cap Table'!$B$40,BI9='Cap Table'!$B$41,BI9='Cap Table'!$B$42,BI9='Cap Table'!$B$43),IF(SUM(BK9,AO9,S9)&lt;SUM(BJ9,AN9,R9),FV(MAX(BN9,AR9,V9)/12,DATEDIF(BH9,'Cap Table'!$BJ$61,"m"),0,-MAX(BJ9,AN9,R9))/(MAX(BM9,AQ9,U9)/'Cap Table'!$BJ$62)/IF(BI9=$B$42,(1-MAX(BO$29,AS$29,W$29)),1),BX9),BX9),0)</f>
        <v>0</v>
      </c>
      <c r="CB9" s="147">
        <f t="shared" ca="1" si="34"/>
        <v>0</v>
      </c>
      <c r="CD9" s="168">
        <f t="shared" ca="1" si="35"/>
        <v>45281</v>
      </c>
      <c r="CE9" s="168" t="str">
        <f t="shared" si="90"/>
        <v>Equity</v>
      </c>
      <c r="CF9" s="169">
        <v>0</v>
      </c>
      <c r="CG9" s="169">
        <f>IF('Cap Table'!CF$80&lt;&gt;"na",IF(OR(BI9='Cap Table'!$B$40,BI9='Cap Table'!$B$41,BI9='Cap Table'!$B$42),BJ9-BK9,0),0)</f>
        <v>0</v>
      </c>
      <c r="CH9" s="171">
        <f t="shared" si="36"/>
        <v>0</v>
      </c>
      <c r="CI9" s="169">
        <f t="shared" si="37"/>
        <v>0</v>
      </c>
      <c r="CJ9" s="172">
        <f t="shared" si="38"/>
        <v>0</v>
      </c>
      <c r="CK9" s="293">
        <f t="shared" si="39"/>
        <v>0</v>
      </c>
      <c r="CL9" s="170">
        <f ca="1">FV(CJ9/12,DATEDIF(CD9,'Cap Table'!CF$61,"m"),0,-CG9)</f>
        <v>0</v>
      </c>
      <c r="CM9" s="170">
        <f ca="1">IF('Cap Table'!CF$81="no",IFERROR(CL9/(1-CH9),0),IFERROR(CL9/(1-(MAX(CH9,IF(CI9=0,0,('Cap Table'!CF$63-CI9/'Cap Table'!CF$62)/'Cap Table'!CF$63)))),0))</f>
        <v>0</v>
      </c>
      <c r="CN9" s="146">
        <f t="shared" ca="1" si="40"/>
        <v>0</v>
      </c>
      <c r="CO9" s="149">
        <f ca="1">IF(AND('Cap Table'!CF$63=0,CL9&gt;0),CI9/IF(CE9=$B$42,CA$56,'Cap Table'!CF$62),IFERROR(IF(CI9=0,'Cap Table'!CF$63*(1-CH9),MIN('Cap Table'!CF$63*(1-CH9),CI9/IF(CE9=$B$42,CA$56,'Cap Table'!CF$62))),0))</f>
        <v>0</v>
      </c>
      <c r="CP9" s="170">
        <f t="shared" ca="1" si="91"/>
        <v>0</v>
      </c>
      <c r="CQ9" s="170">
        <v>0</v>
      </c>
      <c r="CR9" s="146">
        <f t="shared" ca="1" si="41"/>
        <v>0</v>
      </c>
      <c r="CS9" s="146">
        <f t="shared" si="42"/>
        <v>0</v>
      </c>
      <c r="CT9" s="146">
        <f t="shared" ca="1" si="92"/>
        <v>0</v>
      </c>
      <c r="CU9" s="147">
        <f t="shared" ca="1" si="43"/>
        <v>0</v>
      </c>
      <c r="CV9" s="146">
        <f ca="1">CT9*'Cap Table'!CF$63</f>
        <v>0</v>
      </c>
      <c r="CW9" s="173">
        <f ca="1">IFERROR(IF(OR(CE9='Cap Table'!$B$40,CE9='Cap Table'!$B$41,CE9='Cap Table'!$B$42,CE9='Cap Table'!$B$43),IF(SUM(CG9,BK9,AO9,S9)&lt;SUM(CF9,BJ9,AN9,R9),FV(MAX(CJ9,BN9,AR9,V9)/12,DATEDIF(CD9,'Cap Table'!$CF$61,"m"),0,-MAX(CF9,BJ9,AN9,R9))/(MAX(CI9,BM9,AQ9,U9)/'Cap Table'!$CF$62)/IF(CE9=$B$42,(1-MAX(CK$29,BO$29,AS$29,W$29)),1),CT9),CT9),0)</f>
        <v>0</v>
      </c>
      <c r="CX9" s="147">
        <f t="shared" ca="1" si="44"/>
        <v>0</v>
      </c>
      <c r="CZ9" s="168">
        <f t="shared" ca="1" si="45"/>
        <v>45647</v>
      </c>
      <c r="DA9" s="168" t="str">
        <f t="shared" si="93"/>
        <v>Equity</v>
      </c>
      <c r="DB9" s="169">
        <v>0</v>
      </c>
      <c r="DC9" s="169">
        <f>IF('Cap Table'!DB$80&lt;&gt;"na",IF(OR(CE9='Cap Table'!$B$40,CE9='Cap Table'!$B$41,CE9='Cap Table'!$B$42),CF9-CG9,0),0)</f>
        <v>0</v>
      </c>
      <c r="DD9" s="171">
        <f t="shared" si="46"/>
        <v>0</v>
      </c>
      <c r="DE9" s="169">
        <f t="shared" si="47"/>
        <v>0</v>
      </c>
      <c r="DF9" s="172">
        <f t="shared" si="48"/>
        <v>0</v>
      </c>
      <c r="DG9" s="293">
        <f t="shared" si="49"/>
        <v>0</v>
      </c>
      <c r="DH9" s="170">
        <f ca="1">FV(DF9/12,DATEDIF(CZ9,'Cap Table'!DB$61,"m"),0,-DC9)</f>
        <v>0</v>
      </c>
      <c r="DI9" s="170">
        <f ca="1">IF('Cap Table'!DB$81="no",IFERROR(DH9/(1-DD9),0),IFERROR(DH9/(1-(MAX(DD9,IF(DE9=0,0,('Cap Table'!DB$63-DE9/'Cap Table'!DB$62)/'Cap Table'!DB$63)))),0))</f>
        <v>0</v>
      </c>
      <c r="DJ9" s="146">
        <f t="shared" ca="1" si="50"/>
        <v>0</v>
      </c>
      <c r="DK9" s="149">
        <f ca="1">IF(AND('Cap Table'!DB$63=0,DH9&gt;0),DE9/'Cap Table'!DB$62,IFERROR(IF(DE9=0,'Cap Table'!DB$63*(1-DD9),MIN('Cap Table'!DB$63*(1-DD9),DE9/'Cap Table'!DB$62)),0))</f>
        <v>0</v>
      </c>
      <c r="DL9" s="170">
        <f t="shared" ca="1" si="94"/>
        <v>0</v>
      </c>
      <c r="DM9" s="170">
        <v>0</v>
      </c>
      <c r="DN9" s="146">
        <f t="shared" ca="1" si="51"/>
        <v>0</v>
      </c>
      <c r="DO9" s="146">
        <f t="shared" si="52"/>
        <v>0</v>
      </c>
      <c r="DP9" s="146">
        <f t="shared" ca="1" si="95"/>
        <v>0</v>
      </c>
      <c r="DQ9" s="147">
        <f t="shared" ca="1" si="53"/>
        <v>0</v>
      </c>
      <c r="DR9" s="146">
        <f ca="1">DP9*'Cap Table'!DB$63</f>
        <v>0</v>
      </c>
      <c r="DS9" s="173">
        <f ca="1">IFERROR(IF(OR(DA9='Cap Table'!$B$40,DA9='Cap Table'!$B$41,DA9='Cap Table'!$B$42,DA9='Cap Table'!$B$43),IF(SUM(DC9,CG9,BK9,AO9,S9,)&lt;SUM(DB9,CF9,BJ9,AN9,R9),FV(MAX(DF9,CJ9,BN9,AR9,V9)/12,DATEDIF(CZ9,'Cap Table'!$DB$61,"m"),0,-MAX(DB9,CF9,BJ9,AN9,R9))/(MAX(DE9,CI9,BM9,AQ9,U9,)/'Cap Table'!$DB$62)/IF(DA9=$B$42,(1-MAX(DG$29,CK$29,BO$29,AS$29,W$29)),1),DP9),DP9),0)</f>
        <v>0</v>
      </c>
      <c r="DT9" s="147">
        <f t="shared" ca="1" si="54"/>
        <v>0</v>
      </c>
      <c r="DV9" s="168">
        <f t="shared" ca="1" si="55"/>
        <v>46012</v>
      </c>
      <c r="DW9" s="168" t="str">
        <f t="shared" si="96"/>
        <v>Equity</v>
      </c>
      <c r="DX9" s="169">
        <v>0</v>
      </c>
      <c r="DY9" s="169">
        <f>IF('Cap Table'!DX$80&lt;&gt;"na",IF(OR(DA9='Cap Table'!$B$40,DA9='Cap Table'!$B$41,DA9='Cap Table'!$B$42),DB9-DC9,0),0)</f>
        <v>0</v>
      </c>
      <c r="DZ9" s="171">
        <f t="shared" ref="DZ9:DZ26" si="102">IF(DY9=$R9,DD9,0)</f>
        <v>0</v>
      </c>
      <c r="EA9" s="169">
        <f t="shared" ref="EA9:EA26" si="103">IF(DY9=$R9,DE9,0)</f>
        <v>0</v>
      </c>
      <c r="EB9" s="172">
        <f t="shared" ref="EB9:EB26" si="104">IF(DY9=$R9,DF9,0)</f>
        <v>0</v>
      </c>
      <c r="EC9" s="293">
        <f t="shared" si="59"/>
        <v>0</v>
      </c>
      <c r="ED9" s="170">
        <f ca="1">FV(EB9/12,DATEDIF(DV9,'Cap Table'!DX$61,"m"),0,-DY9)</f>
        <v>0</v>
      </c>
      <c r="EE9" s="170">
        <f ca="1">IF('Cap Table'!DX$81="no",IFERROR(ED9/(1-DZ9),0),IFERROR(ED9/(1-(MAX(DZ9,IF(EA9=0,0,('Cap Table'!DX$63-EA9/'Cap Table'!DX$62)/'Cap Table'!DX$63)))),0))</f>
        <v>0</v>
      </c>
      <c r="EF9" s="146">
        <f t="shared" ca="1" si="60"/>
        <v>0</v>
      </c>
      <c r="EG9" s="149">
        <f ca="1">IF(AND('Cap Table'!DX$63=0,ED9&gt;0),EA9/IF(DA9=$B$42,DS$56,'Cap Table'!DX$62),IFERROR(IF(EA9=0,'Cap Table'!DX$63*(1-DZ9),MIN('Cap Table'!DX$63*(1-DZ9),EA9/IF(DA9=$B$42,DS$56,'Cap Table'!DX$62))),0))</f>
        <v>0</v>
      </c>
      <c r="EH9" s="170">
        <f t="shared" ca="1" si="97"/>
        <v>0</v>
      </c>
      <c r="EI9" s="170">
        <v>0</v>
      </c>
      <c r="EJ9" s="146">
        <f t="shared" ca="1" si="98"/>
        <v>0</v>
      </c>
      <c r="EK9" s="146">
        <f t="shared" si="61"/>
        <v>0</v>
      </c>
      <c r="EL9" s="146">
        <f t="shared" ca="1" si="99"/>
        <v>0</v>
      </c>
      <c r="EM9" s="147">
        <f t="shared" ca="1" si="62"/>
        <v>0</v>
      </c>
      <c r="EN9" s="146">
        <f ca="1">EL9*'Cap Table'!DX$63</f>
        <v>0</v>
      </c>
      <c r="EO9" s="173">
        <f ca="1">IFERROR(IF(OR(DW9='Cap Table'!$B$40,DW9='Cap Table'!$B$41,DW9='Cap Table'!$B$42,DW9='Cap Table'!$B$43),IF(SUM(DY9,DC9,CG9,BK9,AO9,S9)&lt;SUM(DX9,DB9,CF9,BJ9,AN9,R9),FV(MAX(EB9,DF9,CJ9,BN9,AR9,V9)/12,DATEDIF(DV9,'Cap Table'!DX$61,"m"),0,-MAX(DX9,DB9,CF9,BJ9,AN9,R9))/(MAX(EA9,DE9,CI9,BM9,AQ9,U9)/'Cap Table'!$DX$62)/IF(DW9=$B$42,(1-MAX(EC$29,DG$29,CK$29,BO$29,AS$29,W$29)),1),EL9),EL9),0)</f>
        <v>0</v>
      </c>
      <c r="EP9" s="147">
        <f t="shared" ca="1" si="63"/>
        <v>0</v>
      </c>
      <c r="ER9" s="146">
        <f t="shared" si="64"/>
        <v>0</v>
      </c>
      <c r="ES9" s="146">
        <f t="shared" si="65"/>
        <v>0</v>
      </c>
      <c r="ET9" s="174" t="s">
        <v>27</v>
      </c>
      <c r="EU9" s="174" t="s">
        <v>27</v>
      </c>
      <c r="EV9" s="174" t="s">
        <v>27</v>
      </c>
      <c r="EW9" s="146">
        <f t="shared" ca="1" si="66"/>
        <v>0</v>
      </c>
      <c r="EX9" s="146">
        <f t="shared" ca="1" si="67"/>
        <v>0</v>
      </c>
      <c r="EY9" s="146">
        <f t="shared" ca="1" si="68"/>
        <v>0</v>
      </c>
      <c r="EZ9" s="149">
        <f ca="1">IFERROR(EY9/FE9,0)</f>
        <v>0</v>
      </c>
      <c r="FA9" s="146">
        <f t="shared" ca="1" si="69"/>
        <v>0</v>
      </c>
      <c r="FB9" s="146">
        <f t="shared" si="70"/>
        <v>0</v>
      </c>
      <c r="FC9" s="146">
        <f t="shared" ca="1" si="100"/>
        <v>0</v>
      </c>
      <c r="FD9" s="146">
        <f t="shared" si="100"/>
        <v>0</v>
      </c>
      <c r="FE9" s="146">
        <f t="shared" ca="1" si="100"/>
        <v>0</v>
      </c>
      <c r="FF9" s="147">
        <f t="shared" ca="1" si="71"/>
        <v>0</v>
      </c>
      <c r="FG9" s="146">
        <f t="shared" ca="1" si="101"/>
        <v>0</v>
      </c>
      <c r="FH9" s="146">
        <f t="shared" ca="1" si="101"/>
        <v>0</v>
      </c>
      <c r="FI9" s="147">
        <f t="shared" ca="1" si="72"/>
        <v>0</v>
      </c>
      <c r="FK9" s="149" t="str">
        <f t="shared" si="0"/>
        <v>Common</v>
      </c>
      <c r="FL9" s="146">
        <f t="shared" ca="1" si="73"/>
        <v>0</v>
      </c>
      <c r="FM9" s="146">
        <f t="shared" ca="1" si="74"/>
        <v>0</v>
      </c>
      <c r="FN9" s="146">
        <f t="shared" ca="1" si="75"/>
        <v>0</v>
      </c>
      <c r="FP9" s="146" t="str">
        <f t="shared" si="76"/>
        <v>Common</v>
      </c>
      <c r="FQ9" s="174" t="str">
        <f t="shared" ca="1" si="77"/>
        <v>na</v>
      </c>
      <c r="FR9" s="174" t="str">
        <f t="shared" ca="1" si="78"/>
        <v>na</v>
      </c>
      <c r="FS9" s="174" t="str">
        <f t="shared" ca="1" si="79"/>
        <v>na</v>
      </c>
    </row>
    <row r="10" spans="2:175">
      <c r="B10" s="145" t="s">
        <v>27</v>
      </c>
      <c r="D10" s="167" t="s">
        <v>27</v>
      </c>
      <c r="E10" s="167" t="str">
        <f t="shared" si="80"/>
        <v>Common</v>
      </c>
      <c r="G10" s="168">
        <f t="shared" ca="1" si="1"/>
        <v>43820</v>
      </c>
      <c r="H10" s="289" t="str">
        <f t="shared" si="2"/>
        <v>Equity</v>
      </c>
      <c r="I10" s="169">
        <v>0</v>
      </c>
      <c r="J10" s="170">
        <v>0</v>
      </c>
      <c r="K10" s="170">
        <f t="shared" si="81"/>
        <v>0</v>
      </c>
      <c r="L10" s="147">
        <f t="shared" si="3"/>
        <v>0</v>
      </c>
      <c r="M10" s="170">
        <f t="shared" si="82"/>
        <v>0</v>
      </c>
      <c r="N10" s="147">
        <f t="shared" si="4"/>
        <v>0</v>
      </c>
      <c r="O10" s="147"/>
      <c r="P10" s="168">
        <f t="shared" ca="1" si="5"/>
        <v>44186</v>
      </c>
      <c r="Q10" s="289" t="str">
        <f t="shared" si="6"/>
        <v>Equity</v>
      </c>
      <c r="R10" s="169">
        <v>0</v>
      </c>
      <c r="S10" s="169">
        <v>0</v>
      </c>
      <c r="T10" s="171">
        <v>0</v>
      </c>
      <c r="U10" s="145">
        <v>0</v>
      </c>
      <c r="V10" s="172">
        <v>0</v>
      </c>
      <c r="W10" s="293">
        <f t="shared" si="7"/>
        <v>0</v>
      </c>
      <c r="X10" s="170">
        <f ca="1">FV(V10/12,DATEDIF(P10,'Cap Table'!R$61,"m"),0,-S10)</f>
        <v>0</v>
      </c>
      <c r="Y10" s="170">
        <f t="shared" ca="1" si="8"/>
        <v>0</v>
      </c>
      <c r="Z10" s="146">
        <f t="shared" ca="1" si="9"/>
        <v>0</v>
      </c>
      <c r="AA10" s="149">
        <f ca="1">IF(AND('Cap Table'!R$63=0,X10&gt;0),U10/'Cap Table'!R$62,IFERROR(IF(U10=0,'Cap Table'!R$63*(1-T10),MIN('Cap Table'!R$63*(1-T10),U10/'Cap Table'!R$62)),0))</f>
        <v>0</v>
      </c>
      <c r="AB10" s="170">
        <f t="shared" ca="1" si="83"/>
        <v>0</v>
      </c>
      <c r="AC10" s="170">
        <v>0</v>
      </c>
      <c r="AD10" s="146">
        <f t="shared" ca="1" si="10"/>
        <v>0</v>
      </c>
      <c r="AE10" s="146">
        <f t="shared" si="11"/>
        <v>0</v>
      </c>
      <c r="AF10" s="146">
        <f t="shared" ca="1" si="84"/>
        <v>0</v>
      </c>
      <c r="AG10" s="147">
        <f t="shared" ca="1" si="12"/>
        <v>0</v>
      </c>
      <c r="AH10" s="146">
        <f ca="1">AF10*'Cap Table'!R$63</f>
        <v>0</v>
      </c>
      <c r="AI10" s="146">
        <f ca="1">IFERROR(IF(OR(Q10='Cap Table'!$B$40,Q10='Cap Table'!$B$41,Q10='Cap Table'!$B$42,Q10='Cap Table'!$B$43),IF(SUM(S10)&lt;SUM(R10),(FV(V10/12,DATEDIF(P10,'Cap Table'!R$61,"m"),0,-R10))/(U10/'Cap Table'!$R$62)/IF(Q10=$B$42,(1-W$29),1),AF10),AF10),0)</f>
        <v>0</v>
      </c>
      <c r="AJ10" s="147">
        <f t="shared" ca="1" si="13"/>
        <v>0</v>
      </c>
      <c r="AL10" s="168">
        <f t="shared" ca="1" si="14"/>
        <v>44551</v>
      </c>
      <c r="AM10" s="168" t="str">
        <f t="shared" si="15"/>
        <v>Equity</v>
      </c>
      <c r="AN10" s="169">
        <v>0</v>
      </c>
      <c r="AO10" s="169">
        <f>IF('Cap Table'!AN$80&lt;&gt;"na",IF(OR(Q10='Cap Table'!$B$40,Q10='Cap Table'!$B$41,Q10='Cap Table'!$B$42),R10-S10,0),0)</f>
        <v>0</v>
      </c>
      <c r="AP10" s="171">
        <f t="shared" si="16"/>
        <v>0</v>
      </c>
      <c r="AQ10" s="169">
        <f t="shared" si="17"/>
        <v>0</v>
      </c>
      <c r="AR10" s="172">
        <f t="shared" si="18"/>
        <v>0</v>
      </c>
      <c r="AS10" s="293">
        <f t="shared" si="19"/>
        <v>0</v>
      </c>
      <c r="AT10" s="170">
        <f ca="1">FV(AR10/12,DATEDIF(AL10,'Cap Table'!AN$61,"m"),0,-AO10)</f>
        <v>0</v>
      </c>
      <c r="AU10" s="170">
        <f ca="1">IF('Cap Table'!AN$81="no",IFERROR(AT10/(1-AP10),0),IFERROR(AT10/(1-(MAX(AP10,IF(AQ10=0,0,('Cap Table'!AN$63-AQ10/'Cap Table'!AN$62)/'Cap Table'!AN$63)))),0))</f>
        <v>0</v>
      </c>
      <c r="AV10" s="146">
        <f t="shared" ca="1" si="20"/>
        <v>0</v>
      </c>
      <c r="AW10" s="149">
        <f ca="1">IF(AND('Cap Table'!AN$63=0,AT10&gt;0),AQ10/IF(AM10=$B$42,AI$56,'Cap Table'!AN$62),IFERROR(IF(AQ10=0,'Cap Table'!AN$63*(1-AP10),MIN('Cap Table'!AN$63*(1-AP10),AQ10/IF(AM10=$B$42,AI$56,'Cap Table'!AN$62))),0))</f>
        <v>0</v>
      </c>
      <c r="AX10" s="170">
        <f t="shared" ca="1" si="85"/>
        <v>0</v>
      </c>
      <c r="AY10" s="170">
        <v>0</v>
      </c>
      <c r="AZ10" s="146">
        <f t="shared" ca="1" si="21"/>
        <v>0</v>
      </c>
      <c r="BA10" s="146">
        <f t="shared" si="22"/>
        <v>0</v>
      </c>
      <c r="BB10" s="146">
        <f t="shared" ca="1" si="86"/>
        <v>0</v>
      </c>
      <c r="BC10" s="147">
        <f t="shared" ca="1" si="23"/>
        <v>0</v>
      </c>
      <c r="BD10" s="146">
        <f ca="1">BB10*'Cap Table'!AN$63</f>
        <v>0</v>
      </c>
      <c r="BE10" s="173">
        <f ca="1">IFERROR(IF(OR(AM10='Cap Table'!$B$40,AM10='Cap Table'!$B$41,AM10='Cap Table'!$B$42,AM10='Cap Table'!$B$43),IF(SUM(AO10,S10)&lt;SUM(AN10,R10),FV(MAX(AR10,V10)/12,DATEDIF(AL10,'Cap Table'!$AN$61,"m"),0,-MAX(AN10,R10))/(MAX(AQ10,U10)/'Cap Table'!$AN$62)/IF(AM10=$B$42,(1-MAX(W31,AS$29)),1),BB10),BB10),0)</f>
        <v>0</v>
      </c>
      <c r="BF10" s="147">
        <f t="shared" ca="1" si="24"/>
        <v>0</v>
      </c>
      <c r="BH10" s="168">
        <f t="shared" ca="1" si="25"/>
        <v>44916</v>
      </c>
      <c r="BI10" s="168" t="str">
        <f t="shared" si="87"/>
        <v>Equity</v>
      </c>
      <c r="BJ10" s="169">
        <v>0</v>
      </c>
      <c r="BK10" s="169">
        <f>IF('Cap Table'!BJ$80&lt;&gt;"na",IF(OR(AM10='Cap Table'!$B$40,AM10='Cap Table'!$B$41,AM10='Cap Table'!$B$42),AN10-AO10,0),0)</f>
        <v>0</v>
      </c>
      <c r="BL10" s="171">
        <f t="shared" si="26"/>
        <v>0</v>
      </c>
      <c r="BM10" s="169">
        <f t="shared" si="27"/>
        <v>0</v>
      </c>
      <c r="BN10" s="172">
        <f t="shared" si="28"/>
        <v>0</v>
      </c>
      <c r="BO10" s="293">
        <f t="shared" si="29"/>
        <v>0</v>
      </c>
      <c r="BP10" s="170">
        <f ca="1">FV(BN10/12,DATEDIF(BH10,'Cap Table'!BJ$61,"m"),0,-BK10)</f>
        <v>0</v>
      </c>
      <c r="BQ10" s="170">
        <f ca="1">IF('Cap Table'!BJ$81="no",IFERROR(BP10/(1-BL10),0),IFERROR(BP10/(1-(MAX(BL10,IF(BM10=0,0,('Cap Table'!BJ$63-BM10/'Cap Table'!BJ$62)/'Cap Table'!BJ$63)))),0))</f>
        <v>0</v>
      </c>
      <c r="BR10" s="146">
        <f t="shared" ca="1" si="30"/>
        <v>0</v>
      </c>
      <c r="BS10" s="149">
        <f ca="1">IF(AND('Cap Table'!BJ$63=0,BP10&gt;0),BM10/IF(BI10=$B$42,BE$56,'Cap Table'!BJ$62),IFERROR(IF(BM10=0,'Cap Table'!BJ$63*(1-BL10),MIN('Cap Table'!BJ$63*(1-BL10),BM10/IF(BI10=$B$42,BE$56,'Cap Table'!BJ$62))),0))</f>
        <v>0</v>
      </c>
      <c r="BT10" s="170">
        <f t="shared" ca="1" si="88"/>
        <v>0</v>
      </c>
      <c r="BU10" s="170">
        <v>0</v>
      </c>
      <c r="BV10" s="146">
        <f t="shared" ca="1" si="31"/>
        <v>0</v>
      </c>
      <c r="BW10" s="146">
        <f t="shared" si="32"/>
        <v>0</v>
      </c>
      <c r="BX10" s="146">
        <f t="shared" ca="1" si="89"/>
        <v>0</v>
      </c>
      <c r="BY10" s="147">
        <f t="shared" ca="1" si="33"/>
        <v>0</v>
      </c>
      <c r="BZ10" s="146">
        <f ca="1">BX10*'Cap Table'!BJ$63</f>
        <v>0</v>
      </c>
      <c r="CA10" s="173">
        <f ca="1">IFERROR(IF(OR(BI10='Cap Table'!$B$40,BI10='Cap Table'!$B$41,BI10='Cap Table'!$B$42,BI10='Cap Table'!$B$43),IF(SUM(BK10,AO10,S10)&lt;SUM(BJ10,AN10,R10),FV(MAX(BN10,AR10,V10)/12,DATEDIF(BH10,'Cap Table'!$BJ$61,"m"),0,-MAX(BJ10,AN10,R10))/(MAX(BM10,AQ10,U10)/'Cap Table'!$BJ$62)/IF(BI10=$B$42,(1-MAX(BO$29,AS$29,W$29)),1),BX10),BX10),0)</f>
        <v>0</v>
      </c>
      <c r="CB10" s="147">
        <f t="shared" ca="1" si="34"/>
        <v>0</v>
      </c>
      <c r="CD10" s="168">
        <f t="shared" ca="1" si="35"/>
        <v>45281</v>
      </c>
      <c r="CE10" s="168" t="str">
        <f t="shared" si="90"/>
        <v>Equity</v>
      </c>
      <c r="CF10" s="169">
        <v>0</v>
      </c>
      <c r="CG10" s="169">
        <f>IF('Cap Table'!CF$80&lt;&gt;"na",IF(OR(BI10='Cap Table'!$B$40,BI10='Cap Table'!$B$41,BI10='Cap Table'!$B$42),BJ10-BK10,0),0)</f>
        <v>0</v>
      </c>
      <c r="CH10" s="171">
        <f t="shared" si="36"/>
        <v>0</v>
      </c>
      <c r="CI10" s="169">
        <f t="shared" si="37"/>
        <v>0</v>
      </c>
      <c r="CJ10" s="172">
        <f t="shared" si="38"/>
        <v>0</v>
      </c>
      <c r="CK10" s="293">
        <f t="shared" si="39"/>
        <v>0</v>
      </c>
      <c r="CL10" s="170">
        <f ca="1">FV(CJ10/12,DATEDIF(CD10,'Cap Table'!CF$61,"m"),0,-CG10)</f>
        <v>0</v>
      </c>
      <c r="CM10" s="170">
        <f ca="1">IF('Cap Table'!CF$81="no",IFERROR(CL10/(1-CH10),0),IFERROR(CL10/(1-(MAX(CH10,IF(CI10=0,0,('Cap Table'!CF$63-CI10/'Cap Table'!CF$62)/'Cap Table'!CF$63)))),0))</f>
        <v>0</v>
      </c>
      <c r="CN10" s="146">
        <f t="shared" ca="1" si="40"/>
        <v>0</v>
      </c>
      <c r="CO10" s="149">
        <f ca="1">IF(AND('Cap Table'!CF$63=0,CL10&gt;0),CI10/IF(CE10=$B$42,CA$56,'Cap Table'!CF$62),IFERROR(IF(CI10=0,'Cap Table'!CF$63*(1-CH10),MIN('Cap Table'!CF$63*(1-CH10),CI10/IF(CE10=$B$42,CA$56,'Cap Table'!CF$62))),0))</f>
        <v>0</v>
      </c>
      <c r="CP10" s="170">
        <f t="shared" ca="1" si="91"/>
        <v>0</v>
      </c>
      <c r="CQ10" s="170">
        <v>0</v>
      </c>
      <c r="CR10" s="146">
        <f t="shared" ca="1" si="41"/>
        <v>0</v>
      </c>
      <c r="CS10" s="146">
        <f t="shared" si="42"/>
        <v>0</v>
      </c>
      <c r="CT10" s="146">
        <f t="shared" ca="1" si="92"/>
        <v>0</v>
      </c>
      <c r="CU10" s="147">
        <f t="shared" ca="1" si="43"/>
        <v>0</v>
      </c>
      <c r="CV10" s="146">
        <f ca="1">CT10*'Cap Table'!CF$63</f>
        <v>0</v>
      </c>
      <c r="CW10" s="173">
        <f ca="1">IFERROR(IF(OR(CE10='Cap Table'!$B$40,CE10='Cap Table'!$B$41,CE10='Cap Table'!$B$42,CE10='Cap Table'!$B$43),IF(SUM(CG10,BK10,AO10,S10)&lt;SUM(CF10,BJ10,AN10,R10),FV(MAX(CJ10,BN10,AR10,V10)/12,DATEDIF(CD10,'Cap Table'!$CF$61,"m"),0,-MAX(CF10,BJ10,AN10,R10))/(MAX(CI10,BM10,AQ10,U10)/'Cap Table'!$CF$62)/IF(CE10=$B$42,(1-MAX(CK$29,BO$29,AS$29,W$29)),1),CT10),CT10),0)</f>
        <v>0</v>
      </c>
      <c r="CX10" s="147">
        <f t="shared" ca="1" si="44"/>
        <v>0</v>
      </c>
      <c r="CZ10" s="168">
        <f t="shared" ca="1" si="45"/>
        <v>45647</v>
      </c>
      <c r="DA10" s="168" t="str">
        <f t="shared" si="93"/>
        <v>Equity</v>
      </c>
      <c r="DB10" s="169">
        <v>0</v>
      </c>
      <c r="DC10" s="169">
        <f>IF('Cap Table'!DB$80&lt;&gt;"na",IF(OR(CE10='Cap Table'!$B$40,CE10='Cap Table'!$B$41,CE10='Cap Table'!$B$42),CF10-CG10,0),0)</f>
        <v>0</v>
      </c>
      <c r="DD10" s="171">
        <f t="shared" si="46"/>
        <v>0</v>
      </c>
      <c r="DE10" s="169">
        <f t="shared" si="47"/>
        <v>0</v>
      </c>
      <c r="DF10" s="172">
        <f t="shared" si="48"/>
        <v>0</v>
      </c>
      <c r="DG10" s="293">
        <f t="shared" si="49"/>
        <v>0</v>
      </c>
      <c r="DH10" s="170">
        <f ca="1">FV(DF10/12,DATEDIF(CZ10,'Cap Table'!DB$61,"m"),0,-DC10)</f>
        <v>0</v>
      </c>
      <c r="DI10" s="170">
        <f ca="1">IF('Cap Table'!DB$81="no",IFERROR(DH10/(1-DD10),0),IFERROR(DH10/(1-(MAX(DD10,IF(DE10=0,0,('Cap Table'!DB$63-DE10/'Cap Table'!DB$62)/'Cap Table'!DB$63)))),0))</f>
        <v>0</v>
      </c>
      <c r="DJ10" s="146">
        <f t="shared" ca="1" si="50"/>
        <v>0</v>
      </c>
      <c r="DK10" s="149">
        <f ca="1">IF(AND('Cap Table'!DB$63=0,DH10&gt;0),DE10/'Cap Table'!DB$62,IFERROR(IF(DE10=0,'Cap Table'!DB$63*(1-DD10),MIN('Cap Table'!DB$63*(1-DD10),DE10/'Cap Table'!DB$62)),0))</f>
        <v>0</v>
      </c>
      <c r="DL10" s="170">
        <f t="shared" ca="1" si="94"/>
        <v>0</v>
      </c>
      <c r="DM10" s="170">
        <v>0</v>
      </c>
      <c r="DN10" s="146">
        <f t="shared" ca="1" si="51"/>
        <v>0</v>
      </c>
      <c r="DO10" s="146">
        <f t="shared" si="52"/>
        <v>0</v>
      </c>
      <c r="DP10" s="146">
        <f t="shared" ca="1" si="95"/>
        <v>0</v>
      </c>
      <c r="DQ10" s="147">
        <f t="shared" ca="1" si="53"/>
        <v>0</v>
      </c>
      <c r="DR10" s="146">
        <f ca="1">DP10*'Cap Table'!DB$63</f>
        <v>0</v>
      </c>
      <c r="DS10" s="173">
        <f ca="1">IFERROR(IF(OR(DA10='Cap Table'!$B$40,DA10='Cap Table'!$B$41,DA10='Cap Table'!$B$42,DA10='Cap Table'!$B$43),IF(SUM(DC10,CG10,BK10,AO10,S10,)&lt;SUM(DB10,CF10,BJ10,AN10,R10),FV(MAX(DF10,CJ10,BN10,AR10,V10)/12,DATEDIF(CZ10,'Cap Table'!$DB$61,"m"),0,-MAX(DB10,CF10,BJ10,AN10,R10))/(MAX(DE10,CI10,BM10,AQ10,U10,)/'Cap Table'!$DB$62)/IF(DA10=$B$42,(1-MAX(DG$29,CK$29,BO$29,AS$29,W$29)),1),DP10),DP10),0)</f>
        <v>0</v>
      </c>
      <c r="DT10" s="147">
        <f t="shared" ca="1" si="54"/>
        <v>0</v>
      </c>
      <c r="DV10" s="168">
        <f t="shared" ca="1" si="55"/>
        <v>46012</v>
      </c>
      <c r="DW10" s="168" t="str">
        <f t="shared" si="96"/>
        <v>Equity</v>
      </c>
      <c r="DX10" s="169">
        <v>0</v>
      </c>
      <c r="DY10" s="169">
        <f>IF('Cap Table'!DX$80&lt;&gt;"na",IF(OR(DA10='Cap Table'!$B$40,DA10='Cap Table'!$B$41,DA10='Cap Table'!$B$42),DB10-DC10,0),0)</f>
        <v>0</v>
      </c>
      <c r="DZ10" s="171">
        <f t="shared" si="102"/>
        <v>0</v>
      </c>
      <c r="EA10" s="169">
        <f t="shared" si="103"/>
        <v>0</v>
      </c>
      <c r="EB10" s="172">
        <f t="shared" si="104"/>
        <v>0</v>
      </c>
      <c r="EC10" s="293">
        <f t="shared" si="59"/>
        <v>0</v>
      </c>
      <c r="ED10" s="170">
        <f ca="1">FV(EB10/12,DATEDIF(DV10,'Cap Table'!DX$61,"m"),0,-DY10)</f>
        <v>0</v>
      </c>
      <c r="EE10" s="170">
        <f ca="1">IF('Cap Table'!DX$81="no",IFERROR(ED10/(1-DZ10),0),IFERROR(ED10/(1-(MAX(DZ10,IF(EA10=0,0,('Cap Table'!DX$63-EA10/'Cap Table'!DX$62)/'Cap Table'!DX$63)))),0))</f>
        <v>0</v>
      </c>
      <c r="EF10" s="146">
        <f t="shared" ca="1" si="60"/>
        <v>0</v>
      </c>
      <c r="EG10" s="149">
        <f ca="1">IF(AND('Cap Table'!DX$63=0,ED10&gt;0),EA10/IF(DA10=$B$42,DS$56,'Cap Table'!DX$62),IFERROR(IF(EA10=0,'Cap Table'!DX$63*(1-DZ10),MIN('Cap Table'!DX$63*(1-DZ10),EA10/IF(DA10=$B$42,DS$56,'Cap Table'!DX$62))),0))</f>
        <v>0</v>
      </c>
      <c r="EH10" s="170">
        <f t="shared" ca="1" si="97"/>
        <v>0</v>
      </c>
      <c r="EI10" s="170">
        <v>0</v>
      </c>
      <c r="EJ10" s="146">
        <f t="shared" ca="1" si="98"/>
        <v>0</v>
      </c>
      <c r="EK10" s="146">
        <f t="shared" si="61"/>
        <v>0</v>
      </c>
      <c r="EL10" s="146">
        <f t="shared" ca="1" si="99"/>
        <v>0</v>
      </c>
      <c r="EM10" s="147">
        <f t="shared" ca="1" si="62"/>
        <v>0</v>
      </c>
      <c r="EN10" s="146">
        <f ca="1">EL10*'Cap Table'!DX$63</f>
        <v>0</v>
      </c>
      <c r="EO10" s="173">
        <f ca="1">IFERROR(IF(OR(DW10='Cap Table'!$B$40,DW10='Cap Table'!$B$41,DW10='Cap Table'!$B$42,DW10='Cap Table'!$B$43),IF(SUM(DY10,DC10,CG10,BK10,AO10,S10)&lt;SUM(DX10,DB10,CF10,BJ10,AN10,R10),FV(MAX(EB10,DF10,CJ10,BN10,AR10,V10)/12,DATEDIF(DV10,'Cap Table'!DX$61,"m"),0,-MAX(DX10,DB10,CF10,BJ10,AN10,R10))/(MAX(EA10,DE10,CI10,BM10,AQ10,U10)/'Cap Table'!$DX$62)/IF(DW10=$B$42,(1-MAX(EC$29,DG$29,CK$29,BO$29,AS$29,W$29)),1),EL10),EL10),0)</f>
        <v>0</v>
      </c>
      <c r="EP10" s="147">
        <f t="shared" ca="1" si="63"/>
        <v>0</v>
      </c>
      <c r="ER10" s="146">
        <f t="shared" si="64"/>
        <v>0</v>
      </c>
      <c r="ES10" s="146">
        <f t="shared" si="65"/>
        <v>0</v>
      </c>
      <c r="ET10" s="174" t="s">
        <v>27</v>
      </c>
      <c r="EU10" s="174" t="s">
        <v>27</v>
      </c>
      <c r="EV10" s="174" t="s">
        <v>27</v>
      </c>
      <c r="EW10" s="146">
        <f t="shared" ca="1" si="66"/>
        <v>0</v>
      </c>
      <c r="EX10" s="146">
        <f t="shared" ca="1" si="67"/>
        <v>0</v>
      </c>
      <c r="EY10" s="146">
        <f t="shared" ca="1" si="68"/>
        <v>0</v>
      </c>
      <c r="EZ10" s="149">
        <f t="shared" ref="EZ10:EZ29" ca="1" si="105">IFERROR(EY10/FE10,0)</f>
        <v>0</v>
      </c>
      <c r="FA10" s="146">
        <f t="shared" ca="1" si="69"/>
        <v>0</v>
      </c>
      <c r="FB10" s="146">
        <f t="shared" si="70"/>
        <v>0</v>
      </c>
      <c r="FC10" s="146">
        <f t="shared" ca="1" si="100"/>
        <v>0</v>
      </c>
      <c r="FD10" s="146">
        <f t="shared" si="100"/>
        <v>0</v>
      </c>
      <c r="FE10" s="146">
        <f t="shared" ca="1" si="100"/>
        <v>0</v>
      </c>
      <c r="FF10" s="147">
        <f t="shared" ca="1" si="71"/>
        <v>0</v>
      </c>
      <c r="FG10" s="146">
        <f t="shared" ca="1" si="101"/>
        <v>0</v>
      </c>
      <c r="FH10" s="146">
        <f t="shared" ca="1" si="101"/>
        <v>0</v>
      </c>
      <c r="FI10" s="147">
        <f t="shared" ca="1" si="72"/>
        <v>0</v>
      </c>
      <c r="FK10" s="149" t="str">
        <f t="shared" si="0"/>
        <v>Common</v>
      </c>
      <c r="FL10" s="146">
        <f t="shared" ca="1" si="73"/>
        <v>0</v>
      </c>
      <c r="FM10" s="146">
        <f t="shared" ca="1" si="74"/>
        <v>0</v>
      </c>
      <c r="FN10" s="146">
        <f t="shared" ca="1" si="75"/>
        <v>0</v>
      </c>
      <c r="FP10" s="146" t="str">
        <f t="shared" si="76"/>
        <v>Common</v>
      </c>
      <c r="FQ10" s="174" t="str">
        <f t="shared" ca="1" si="77"/>
        <v>na</v>
      </c>
      <c r="FR10" s="174" t="str">
        <f t="shared" ca="1" si="78"/>
        <v>na</v>
      </c>
      <c r="FS10" s="174" t="str">
        <f t="shared" ca="1" si="79"/>
        <v>na</v>
      </c>
    </row>
    <row r="11" spans="2:175">
      <c r="B11" s="145" t="s">
        <v>27</v>
      </c>
      <c r="D11" s="167" t="s">
        <v>27</v>
      </c>
      <c r="E11" s="167" t="str">
        <f t="shared" si="80"/>
        <v>Common</v>
      </c>
      <c r="G11" s="168">
        <f t="shared" ca="1" si="1"/>
        <v>43820</v>
      </c>
      <c r="H11" s="289" t="str">
        <f t="shared" si="2"/>
        <v>Equity</v>
      </c>
      <c r="I11" s="169">
        <v>0</v>
      </c>
      <c r="J11" s="170">
        <v>0</v>
      </c>
      <c r="K11" s="170">
        <f t="shared" si="81"/>
        <v>0</v>
      </c>
      <c r="L11" s="147">
        <f t="shared" si="3"/>
        <v>0</v>
      </c>
      <c r="M11" s="170">
        <f t="shared" si="82"/>
        <v>0</v>
      </c>
      <c r="N11" s="147">
        <f t="shared" si="4"/>
        <v>0</v>
      </c>
      <c r="O11" s="147"/>
      <c r="P11" s="168">
        <f t="shared" ca="1" si="5"/>
        <v>44186</v>
      </c>
      <c r="Q11" s="289" t="str">
        <f t="shared" si="6"/>
        <v>Equity</v>
      </c>
      <c r="R11" s="169">
        <v>0</v>
      </c>
      <c r="S11" s="169">
        <v>0</v>
      </c>
      <c r="T11" s="171">
        <v>0</v>
      </c>
      <c r="U11" s="145">
        <v>0</v>
      </c>
      <c r="V11" s="172">
        <v>0</v>
      </c>
      <c r="W11" s="293">
        <f t="shared" si="7"/>
        <v>0</v>
      </c>
      <c r="X11" s="170">
        <f ca="1">FV(V11/12,DATEDIF(P11,'Cap Table'!R$61,"m"),0,-S11)</f>
        <v>0</v>
      </c>
      <c r="Y11" s="170">
        <f t="shared" ca="1" si="8"/>
        <v>0</v>
      </c>
      <c r="Z11" s="146">
        <f t="shared" ca="1" si="9"/>
        <v>0</v>
      </c>
      <c r="AA11" s="149">
        <f ca="1">IF(AND('Cap Table'!R$63=0,X11&gt;0),U11/'Cap Table'!R$62,IFERROR(IF(U11=0,'Cap Table'!R$63*(1-T11),MIN('Cap Table'!R$63*(1-T11),U11/'Cap Table'!R$62)),0))</f>
        <v>0</v>
      </c>
      <c r="AB11" s="170">
        <f t="shared" ca="1" si="83"/>
        <v>0</v>
      </c>
      <c r="AC11" s="170">
        <v>0</v>
      </c>
      <c r="AD11" s="146">
        <f t="shared" ca="1" si="10"/>
        <v>0</v>
      </c>
      <c r="AE11" s="146">
        <f t="shared" si="11"/>
        <v>0</v>
      </c>
      <c r="AF11" s="146">
        <f t="shared" ca="1" si="84"/>
        <v>0</v>
      </c>
      <c r="AG11" s="147">
        <f t="shared" ca="1" si="12"/>
        <v>0</v>
      </c>
      <c r="AH11" s="146">
        <f ca="1">AF11*'Cap Table'!R$63</f>
        <v>0</v>
      </c>
      <c r="AI11" s="146">
        <f ca="1">IFERROR(IF(OR(Q11='Cap Table'!$B$40,Q11='Cap Table'!$B$41,Q11='Cap Table'!$B$42,Q11='Cap Table'!$B$43),IF(SUM(S11)&lt;SUM(R11),(FV(V11/12,DATEDIF(P11,'Cap Table'!R$61,"m"),0,-R11))/(U11/'Cap Table'!$R$62)/IF(Q11=$B$42,(1-W$29),1),AF11),AF11),0)</f>
        <v>0</v>
      </c>
      <c r="AJ11" s="147">
        <f t="shared" ca="1" si="13"/>
        <v>0</v>
      </c>
      <c r="AL11" s="168">
        <f t="shared" ca="1" si="14"/>
        <v>44551</v>
      </c>
      <c r="AM11" s="168" t="str">
        <f t="shared" si="15"/>
        <v>Equity</v>
      </c>
      <c r="AN11" s="169">
        <v>0</v>
      </c>
      <c r="AO11" s="169">
        <f>IF('Cap Table'!AN$80&lt;&gt;"na",IF(OR(Q11='Cap Table'!$B$40,Q11='Cap Table'!$B$41,Q11='Cap Table'!$B$42),R11-S11,0),0)</f>
        <v>0</v>
      </c>
      <c r="AP11" s="171">
        <f t="shared" si="16"/>
        <v>0</v>
      </c>
      <c r="AQ11" s="169">
        <f t="shared" si="17"/>
        <v>0</v>
      </c>
      <c r="AR11" s="172">
        <f t="shared" si="18"/>
        <v>0</v>
      </c>
      <c r="AS11" s="293">
        <f t="shared" si="19"/>
        <v>0</v>
      </c>
      <c r="AT11" s="170">
        <f ca="1">FV(AR11/12,DATEDIF(AL11,'Cap Table'!AN$61,"m"),0,-AO11)</f>
        <v>0</v>
      </c>
      <c r="AU11" s="170">
        <f ca="1">IF('Cap Table'!AN$81="no",IFERROR(AT11/(1-AP11),0),IFERROR(AT11/(1-(MAX(AP11,IF(AQ11=0,0,('Cap Table'!AN$63-AQ11/'Cap Table'!AN$62)/'Cap Table'!AN$63)))),0))</f>
        <v>0</v>
      </c>
      <c r="AV11" s="146">
        <f t="shared" ca="1" si="20"/>
        <v>0</v>
      </c>
      <c r="AW11" s="149">
        <f ca="1">IF(AND('Cap Table'!AN$63=0,AT11&gt;0),AQ11/IF(AM11=$B$42,AI$56,'Cap Table'!AN$62),IFERROR(IF(AQ11=0,'Cap Table'!AN$63*(1-AP11),MIN('Cap Table'!AN$63*(1-AP11),AQ11/IF(AM11=$B$42,AI$56,'Cap Table'!AN$62))),0))</f>
        <v>0</v>
      </c>
      <c r="AX11" s="170">
        <f t="shared" ca="1" si="85"/>
        <v>0</v>
      </c>
      <c r="AY11" s="170">
        <v>0</v>
      </c>
      <c r="AZ11" s="146">
        <f t="shared" ca="1" si="21"/>
        <v>0</v>
      </c>
      <c r="BA11" s="146">
        <f t="shared" si="22"/>
        <v>0</v>
      </c>
      <c r="BB11" s="146">
        <f t="shared" ca="1" si="86"/>
        <v>0</v>
      </c>
      <c r="BC11" s="147">
        <f t="shared" ca="1" si="23"/>
        <v>0</v>
      </c>
      <c r="BD11" s="146">
        <f ca="1">BB11*'Cap Table'!AN$63</f>
        <v>0</v>
      </c>
      <c r="BE11" s="173">
        <f ca="1">IFERROR(IF(OR(AM11='Cap Table'!$B$40,AM11='Cap Table'!$B$41,AM11='Cap Table'!$B$42,AM11='Cap Table'!$B$43),IF(SUM(AO11,S11)&lt;SUM(AN11,R11),FV(MAX(AR11,V11)/12,DATEDIF(AL11,'Cap Table'!$AN$61,"m"),0,-MAX(AN11,R11))/(MAX(AQ11,U11)/'Cap Table'!$AN$62)/IF(AM11=$B$42,(1-MAX(W32,AS$29)),1),BB11),BB11),0)</f>
        <v>0</v>
      </c>
      <c r="BF11" s="147">
        <f t="shared" ca="1" si="24"/>
        <v>0</v>
      </c>
      <c r="BH11" s="168">
        <f t="shared" ca="1" si="25"/>
        <v>44916</v>
      </c>
      <c r="BI11" s="168" t="str">
        <f t="shared" si="87"/>
        <v>Equity</v>
      </c>
      <c r="BJ11" s="169">
        <v>0</v>
      </c>
      <c r="BK11" s="169">
        <f>IF('Cap Table'!BJ$80&lt;&gt;"na",IF(OR(AM11='Cap Table'!$B$40,AM11='Cap Table'!$B$41,AM11='Cap Table'!$B$42),AN11-AO11,0),0)</f>
        <v>0</v>
      </c>
      <c r="BL11" s="171">
        <f t="shared" si="26"/>
        <v>0</v>
      </c>
      <c r="BM11" s="169">
        <f t="shared" si="27"/>
        <v>0</v>
      </c>
      <c r="BN11" s="172">
        <f t="shared" si="28"/>
        <v>0</v>
      </c>
      <c r="BO11" s="293">
        <f t="shared" si="29"/>
        <v>0</v>
      </c>
      <c r="BP11" s="170">
        <f ca="1">FV(BN11/12,DATEDIF(BH11,'Cap Table'!BJ$61,"m"),0,-BK11)</f>
        <v>0</v>
      </c>
      <c r="BQ11" s="170">
        <f ca="1">IF('Cap Table'!BJ$81="no",IFERROR(BP11/(1-BL11),0),IFERROR(BP11/(1-(MAX(BL11,IF(BM11=0,0,('Cap Table'!BJ$63-BM11/'Cap Table'!BJ$62)/'Cap Table'!BJ$63)))),0))</f>
        <v>0</v>
      </c>
      <c r="BR11" s="146">
        <f t="shared" ca="1" si="30"/>
        <v>0</v>
      </c>
      <c r="BS11" s="149">
        <f ca="1">IF(AND('Cap Table'!BJ$63=0,BP11&gt;0),BM11/IF(BI11=$B$42,BE$56,'Cap Table'!BJ$62),IFERROR(IF(BM11=0,'Cap Table'!BJ$63*(1-BL11),MIN('Cap Table'!BJ$63*(1-BL11),BM11/IF(BI11=$B$42,BE$56,'Cap Table'!BJ$62))),0))</f>
        <v>0</v>
      </c>
      <c r="BT11" s="170">
        <f t="shared" ca="1" si="88"/>
        <v>0</v>
      </c>
      <c r="BU11" s="170">
        <v>0</v>
      </c>
      <c r="BV11" s="146">
        <f t="shared" ca="1" si="31"/>
        <v>0</v>
      </c>
      <c r="BW11" s="146">
        <f t="shared" si="32"/>
        <v>0</v>
      </c>
      <c r="BX11" s="146">
        <f t="shared" ca="1" si="89"/>
        <v>0</v>
      </c>
      <c r="BY11" s="147">
        <f t="shared" ca="1" si="33"/>
        <v>0</v>
      </c>
      <c r="BZ11" s="146">
        <f ca="1">BX11*'Cap Table'!BJ$63</f>
        <v>0</v>
      </c>
      <c r="CA11" s="173">
        <f ca="1">IFERROR(IF(OR(BI11='Cap Table'!$B$40,BI11='Cap Table'!$B$41,BI11='Cap Table'!$B$42,BI11='Cap Table'!$B$43),IF(SUM(BK11,AO11,S11)&lt;SUM(BJ11,AN11,R11),FV(MAX(BN11,AR11,V11)/12,DATEDIF(BH11,'Cap Table'!$BJ$61,"m"),0,-MAX(BJ11,AN11,R11))/(MAX(BM11,AQ11,U11)/'Cap Table'!$BJ$62)/IF(BI11=$B$42,(1-MAX(BO$29,AS$29,W$29)),1),BX11),BX11),0)</f>
        <v>0</v>
      </c>
      <c r="CB11" s="147">
        <f t="shared" ca="1" si="34"/>
        <v>0</v>
      </c>
      <c r="CD11" s="168">
        <f t="shared" ca="1" si="35"/>
        <v>45281</v>
      </c>
      <c r="CE11" s="168" t="str">
        <f t="shared" si="90"/>
        <v>Equity</v>
      </c>
      <c r="CF11" s="169">
        <v>0</v>
      </c>
      <c r="CG11" s="169">
        <f>IF('Cap Table'!CF$80&lt;&gt;"na",IF(OR(BI11='Cap Table'!$B$40,BI11='Cap Table'!$B$41,BI11='Cap Table'!$B$42),BJ11-BK11,0),0)</f>
        <v>0</v>
      </c>
      <c r="CH11" s="171">
        <f t="shared" si="36"/>
        <v>0</v>
      </c>
      <c r="CI11" s="169">
        <f t="shared" si="37"/>
        <v>0</v>
      </c>
      <c r="CJ11" s="172">
        <f t="shared" si="38"/>
        <v>0</v>
      </c>
      <c r="CK11" s="293">
        <f t="shared" si="39"/>
        <v>0</v>
      </c>
      <c r="CL11" s="170">
        <f ca="1">FV(CJ11/12,DATEDIF(CD11,'Cap Table'!CF$61,"m"),0,-CG11)</f>
        <v>0</v>
      </c>
      <c r="CM11" s="170">
        <f ca="1">IF('Cap Table'!CF$81="no",IFERROR(CL11/(1-CH11),0),IFERROR(CL11/(1-(MAX(CH11,IF(CI11=0,0,('Cap Table'!CF$63-CI11/'Cap Table'!CF$62)/'Cap Table'!CF$63)))),0))</f>
        <v>0</v>
      </c>
      <c r="CN11" s="146">
        <f t="shared" ca="1" si="40"/>
        <v>0</v>
      </c>
      <c r="CO11" s="149">
        <f ca="1">IF(AND('Cap Table'!CF$63=0,CL11&gt;0),CI11/IF(CE11=$B$42,CA$56,'Cap Table'!CF$62),IFERROR(IF(CI11=0,'Cap Table'!CF$63*(1-CH11),MIN('Cap Table'!CF$63*(1-CH11),CI11/IF(CE11=$B$42,CA$56,'Cap Table'!CF$62))),0))</f>
        <v>0</v>
      </c>
      <c r="CP11" s="170">
        <f t="shared" ca="1" si="91"/>
        <v>0</v>
      </c>
      <c r="CQ11" s="170">
        <v>0</v>
      </c>
      <c r="CR11" s="146">
        <f t="shared" ca="1" si="41"/>
        <v>0</v>
      </c>
      <c r="CS11" s="146">
        <f t="shared" si="42"/>
        <v>0</v>
      </c>
      <c r="CT11" s="146">
        <f t="shared" ca="1" si="92"/>
        <v>0</v>
      </c>
      <c r="CU11" s="147">
        <f t="shared" ca="1" si="43"/>
        <v>0</v>
      </c>
      <c r="CV11" s="146">
        <f ca="1">CT11*'Cap Table'!CF$63</f>
        <v>0</v>
      </c>
      <c r="CW11" s="173">
        <f ca="1">IFERROR(IF(OR(CE11='Cap Table'!$B$40,CE11='Cap Table'!$B$41,CE11='Cap Table'!$B$42,CE11='Cap Table'!$B$43),IF(SUM(CG11,BK11,AO11,S11)&lt;SUM(CF11,BJ11,AN11,R11),FV(MAX(CJ11,BN11,AR11,V11)/12,DATEDIF(CD11,'Cap Table'!$CF$61,"m"),0,-MAX(CF11,BJ11,AN11,R11))/(MAX(CI11,BM11,AQ11,U11)/'Cap Table'!$CF$62)/IF(CE11=$B$42,(1-MAX(CK$29,BO$29,AS$29,W$29)),1),CT11),CT11),0)</f>
        <v>0</v>
      </c>
      <c r="CX11" s="147">
        <f t="shared" ca="1" si="44"/>
        <v>0</v>
      </c>
      <c r="CZ11" s="168">
        <f t="shared" ca="1" si="45"/>
        <v>45647</v>
      </c>
      <c r="DA11" s="168" t="str">
        <f t="shared" si="93"/>
        <v>Equity</v>
      </c>
      <c r="DB11" s="169">
        <v>0</v>
      </c>
      <c r="DC11" s="169">
        <f>IF('Cap Table'!DB$80&lt;&gt;"na",IF(OR(CE11='Cap Table'!$B$40,CE11='Cap Table'!$B$41,CE11='Cap Table'!$B$42),CF11-CG11,0),0)</f>
        <v>0</v>
      </c>
      <c r="DD11" s="171">
        <f t="shared" si="46"/>
        <v>0</v>
      </c>
      <c r="DE11" s="169">
        <f t="shared" si="47"/>
        <v>0</v>
      </c>
      <c r="DF11" s="172">
        <f t="shared" si="48"/>
        <v>0</v>
      </c>
      <c r="DG11" s="293">
        <f t="shared" si="49"/>
        <v>0</v>
      </c>
      <c r="DH11" s="170">
        <f ca="1">FV(DF11/12,DATEDIF(CZ11,'Cap Table'!DB$61,"m"),0,-DC11)</f>
        <v>0</v>
      </c>
      <c r="DI11" s="170">
        <f ca="1">IF('Cap Table'!DB$81="no",IFERROR(DH11/(1-DD11),0),IFERROR(DH11/(1-(MAX(DD11,IF(DE11=0,0,('Cap Table'!DB$63-DE11/'Cap Table'!DB$62)/'Cap Table'!DB$63)))),0))</f>
        <v>0</v>
      </c>
      <c r="DJ11" s="146">
        <f t="shared" ca="1" si="50"/>
        <v>0</v>
      </c>
      <c r="DK11" s="149">
        <f ca="1">IF(AND('Cap Table'!DB$63=0,DH11&gt;0),DE11/'Cap Table'!DB$62,IFERROR(IF(DE11=0,'Cap Table'!DB$63*(1-DD11),MIN('Cap Table'!DB$63*(1-DD11),DE11/'Cap Table'!DB$62)),0))</f>
        <v>0</v>
      </c>
      <c r="DL11" s="170">
        <f t="shared" ca="1" si="94"/>
        <v>0</v>
      </c>
      <c r="DM11" s="170">
        <v>0</v>
      </c>
      <c r="DN11" s="146">
        <f t="shared" ca="1" si="51"/>
        <v>0</v>
      </c>
      <c r="DO11" s="146">
        <f t="shared" si="52"/>
        <v>0</v>
      </c>
      <c r="DP11" s="146">
        <f t="shared" ca="1" si="95"/>
        <v>0</v>
      </c>
      <c r="DQ11" s="147">
        <f t="shared" ca="1" si="53"/>
        <v>0</v>
      </c>
      <c r="DR11" s="146">
        <f ca="1">DP11*'Cap Table'!DB$63</f>
        <v>0</v>
      </c>
      <c r="DS11" s="173">
        <f ca="1">IFERROR(IF(OR(DA11='Cap Table'!$B$40,DA11='Cap Table'!$B$41,DA11='Cap Table'!$B$42,DA11='Cap Table'!$B$43),IF(SUM(DC11,CG11,BK11,AO11,S11,)&lt;SUM(DB11,CF11,BJ11,AN11,R11),FV(MAX(DF11,CJ11,BN11,AR11,V11)/12,DATEDIF(CZ11,'Cap Table'!$DB$61,"m"),0,-MAX(DB11,CF11,BJ11,AN11,R11))/(MAX(DE11,CI11,BM11,AQ11,U11,)/'Cap Table'!$DB$62)/IF(DA11=$B$42,(1-MAX(DG$29,CK$29,BO$29,AS$29,W$29)),1),DP11),DP11),0)</f>
        <v>0</v>
      </c>
      <c r="DT11" s="147">
        <f t="shared" ca="1" si="54"/>
        <v>0</v>
      </c>
      <c r="DV11" s="168">
        <f t="shared" ca="1" si="55"/>
        <v>46012</v>
      </c>
      <c r="DW11" s="168" t="str">
        <f t="shared" si="96"/>
        <v>Equity</v>
      </c>
      <c r="DX11" s="169">
        <v>0</v>
      </c>
      <c r="DY11" s="169">
        <f>IF('Cap Table'!DX$80&lt;&gt;"na",IF(OR(DA11='Cap Table'!$B$40,DA11='Cap Table'!$B$41,DA11='Cap Table'!$B$42),DB11-DC11,0),0)</f>
        <v>0</v>
      </c>
      <c r="DZ11" s="171">
        <f t="shared" si="102"/>
        <v>0</v>
      </c>
      <c r="EA11" s="169">
        <f t="shared" si="103"/>
        <v>0</v>
      </c>
      <c r="EB11" s="172">
        <f t="shared" si="104"/>
        <v>0</v>
      </c>
      <c r="EC11" s="293">
        <f t="shared" si="59"/>
        <v>0</v>
      </c>
      <c r="ED11" s="170">
        <f ca="1">FV(EB11/12,DATEDIF(DV11,'Cap Table'!DX$61,"m"),0,-DY11)</f>
        <v>0</v>
      </c>
      <c r="EE11" s="170">
        <f ca="1">IF('Cap Table'!DX$81="no",IFERROR(ED11/(1-DZ11),0),IFERROR(ED11/(1-(MAX(DZ11,IF(EA11=0,0,('Cap Table'!DX$63-EA11/'Cap Table'!DX$62)/'Cap Table'!DX$63)))),0))</f>
        <v>0</v>
      </c>
      <c r="EF11" s="146">
        <f t="shared" ca="1" si="60"/>
        <v>0</v>
      </c>
      <c r="EG11" s="149">
        <f ca="1">IF(AND('Cap Table'!DX$63=0,ED11&gt;0),EA11/IF(DA11=$B$42,DS$56,'Cap Table'!DX$62),IFERROR(IF(EA11=0,'Cap Table'!DX$63*(1-DZ11),MIN('Cap Table'!DX$63*(1-DZ11),EA11/IF(DA11=$B$42,DS$56,'Cap Table'!DX$62))),0))</f>
        <v>0</v>
      </c>
      <c r="EH11" s="170">
        <f t="shared" ca="1" si="97"/>
        <v>0</v>
      </c>
      <c r="EI11" s="170">
        <v>0</v>
      </c>
      <c r="EJ11" s="146">
        <f t="shared" ca="1" si="98"/>
        <v>0</v>
      </c>
      <c r="EK11" s="146">
        <f t="shared" si="61"/>
        <v>0</v>
      </c>
      <c r="EL11" s="146">
        <f t="shared" ca="1" si="99"/>
        <v>0</v>
      </c>
      <c r="EM11" s="147">
        <f t="shared" ca="1" si="62"/>
        <v>0</v>
      </c>
      <c r="EN11" s="146">
        <f ca="1">EL11*'Cap Table'!DX$63</f>
        <v>0</v>
      </c>
      <c r="EO11" s="173">
        <f ca="1">IFERROR(IF(OR(DW11='Cap Table'!$B$40,DW11='Cap Table'!$B$41,DW11='Cap Table'!$B$42,DW11='Cap Table'!$B$43),IF(SUM(DY11,DC11,CG11,BK11,AO11,S11)&lt;SUM(DX11,DB11,CF11,BJ11,AN11,R11),FV(MAX(EB11,DF11,CJ11,BN11,AR11,V11)/12,DATEDIF(DV11,'Cap Table'!DX$61,"m"),0,-MAX(DX11,DB11,CF11,BJ11,AN11,R11))/(MAX(EA11,DE11,CI11,BM11,AQ11,U11)/'Cap Table'!$DX$62)/IF(DW11=$B$42,(1-MAX(EC$29,DG$29,CK$29,BO$29,AS$29,W$29)),1),EL11),EL11),0)</f>
        <v>0</v>
      </c>
      <c r="EP11" s="147">
        <f t="shared" ca="1" si="63"/>
        <v>0</v>
      </c>
      <c r="ER11" s="146">
        <f t="shared" si="64"/>
        <v>0</v>
      </c>
      <c r="ES11" s="146">
        <f t="shared" si="65"/>
        <v>0</v>
      </c>
      <c r="ET11" s="174" t="s">
        <v>27</v>
      </c>
      <c r="EU11" s="174" t="s">
        <v>27</v>
      </c>
      <c r="EV11" s="174" t="s">
        <v>27</v>
      </c>
      <c r="EW11" s="146">
        <f t="shared" ca="1" si="66"/>
        <v>0</v>
      </c>
      <c r="EX11" s="146">
        <f t="shared" ca="1" si="67"/>
        <v>0</v>
      </c>
      <c r="EY11" s="146">
        <f t="shared" ca="1" si="68"/>
        <v>0</v>
      </c>
      <c r="EZ11" s="149">
        <f t="shared" ca="1" si="105"/>
        <v>0</v>
      </c>
      <c r="FA11" s="146">
        <f t="shared" ca="1" si="69"/>
        <v>0</v>
      </c>
      <c r="FB11" s="146">
        <f t="shared" si="70"/>
        <v>0</v>
      </c>
      <c r="FC11" s="146">
        <f t="shared" ca="1" si="100"/>
        <v>0</v>
      </c>
      <c r="FD11" s="146">
        <f t="shared" si="100"/>
        <v>0</v>
      </c>
      <c r="FE11" s="146">
        <f t="shared" ca="1" si="100"/>
        <v>0</v>
      </c>
      <c r="FF11" s="147">
        <f t="shared" ca="1" si="71"/>
        <v>0</v>
      </c>
      <c r="FG11" s="146">
        <f t="shared" ca="1" si="101"/>
        <v>0</v>
      </c>
      <c r="FH11" s="146">
        <f t="shared" ca="1" si="101"/>
        <v>0</v>
      </c>
      <c r="FI11" s="147">
        <f t="shared" ca="1" si="72"/>
        <v>0</v>
      </c>
      <c r="FK11" s="149" t="str">
        <f t="shared" si="0"/>
        <v>Common</v>
      </c>
      <c r="FL11" s="146">
        <f t="shared" ca="1" si="73"/>
        <v>0</v>
      </c>
      <c r="FM11" s="146">
        <f t="shared" ca="1" si="74"/>
        <v>0</v>
      </c>
      <c r="FN11" s="146">
        <f t="shared" ca="1" si="75"/>
        <v>0</v>
      </c>
      <c r="FP11" s="146" t="str">
        <f t="shared" si="76"/>
        <v>Common</v>
      </c>
      <c r="FQ11" s="174" t="str">
        <f t="shared" ca="1" si="77"/>
        <v>na</v>
      </c>
      <c r="FR11" s="174" t="str">
        <f t="shared" ca="1" si="78"/>
        <v>na</v>
      </c>
      <c r="FS11" s="174" t="str">
        <f t="shared" ca="1" si="79"/>
        <v>na</v>
      </c>
    </row>
    <row r="12" spans="2:175">
      <c r="B12" s="145" t="s">
        <v>27</v>
      </c>
      <c r="D12" s="167" t="s">
        <v>27</v>
      </c>
      <c r="E12" s="167" t="str">
        <f t="shared" si="80"/>
        <v>Common</v>
      </c>
      <c r="G12" s="168">
        <f t="shared" ca="1" si="1"/>
        <v>43820</v>
      </c>
      <c r="H12" s="289" t="str">
        <f t="shared" si="2"/>
        <v>Equity</v>
      </c>
      <c r="I12" s="169">
        <v>0</v>
      </c>
      <c r="J12" s="170">
        <v>0</v>
      </c>
      <c r="K12" s="170">
        <f t="shared" si="81"/>
        <v>0</v>
      </c>
      <c r="L12" s="147">
        <f t="shared" si="3"/>
        <v>0</v>
      </c>
      <c r="M12" s="170">
        <f t="shared" si="82"/>
        <v>0</v>
      </c>
      <c r="N12" s="147">
        <f t="shared" si="4"/>
        <v>0</v>
      </c>
      <c r="O12" s="147"/>
      <c r="P12" s="168">
        <f t="shared" ca="1" si="5"/>
        <v>44186</v>
      </c>
      <c r="Q12" s="289" t="str">
        <f t="shared" si="6"/>
        <v>Equity</v>
      </c>
      <c r="R12" s="169">
        <v>0</v>
      </c>
      <c r="S12" s="169">
        <v>0</v>
      </c>
      <c r="T12" s="171">
        <v>0</v>
      </c>
      <c r="U12" s="145">
        <v>0</v>
      </c>
      <c r="V12" s="172">
        <v>0</v>
      </c>
      <c r="W12" s="293">
        <f t="shared" si="7"/>
        <v>0</v>
      </c>
      <c r="X12" s="170">
        <f ca="1">FV(V12/12,DATEDIF(P12,'Cap Table'!R$61,"m"),0,-S12)</f>
        <v>0</v>
      </c>
      <c r="Y12" s="170">
        <f t="shared" ca="1" si="8"/>
        <v>0</v>
      </c>
      <c r="Z12" s="146">
        <f t="shared" ca="1" si="9"/>
        <v>0</v>
      </c>
      <c r="AA12" s="149">
        <f ca="1">IF(AND('Cap Table'!R$63=0,X12&gt;0),U12/'Cap Table'!R$62,IFERROR(IF(U12=0,'Cap Table'!R$63*(1-T12),MIN('Cap Table'!R$63*(1-T12),U12/'Cap Table'!R$62)),0))</f>
        <v>0</v>
      </c>
      <c r="AB12" s="170">
        <f t="shared" ca="1" si="83"/>
        <v>0</v>
      </c>
      <c r="AC12" s="170">
        <v>0</v>
      </c>
      <c r="AD12" s="146">
        <f t="shared" ca="1" si="10"/>
        <v>0</v>
      </c>
      <c r="AE12" s="146">
        <f t="shared" si="11"/>
        <v>0</v>
      </c>
      <c r="AF12" s="146">
        <f t="shared" ca="1" si="84"/>
        <v>0</v>
      </c>
      <c r="AG12" s="147">
        <f t="shared" ca="1" si="12"/>
        <v>0</v>
      </c>
      <c r="AH12" s="146">
        <f ca="1">AF12*'Cap Table'!R$63</f>
        <v>0</v>
      </c>
      <c r="AI12" s="146">
        <f ca="1">IFERROR(IF(OR(Q12='Cap Table'!$B$40,Q12='Cap Table'!$B$41,Q12='Cap Table'!$B$42,Q12='Cap Table'!$B$43),IF(SUM(S12)&lt;SUM(R12),(FV(V12/12,DATEDIF(P12,'Cap Table'!R$61,"m"),0,-R12))/(U12/'Cap Table'!$R$62)/IF(Q12=$B$42,(1-W$29),1),AF12),AF12),0)</f>
        <v>0</v>
      </c>
      <c r="AJ12" s="147">
        <f t="shared" ca="1" si="13"/>
        <v>0</v>
      </c>
      <c r="AL12" s="168">
        <f t="shared" ca="1" si="14"/>
        <v>44551</v>
      </c>
      <c r="AM12" s="168" t="str">
        <f t="shared" si="15"/>
        <v>Equity</v>
      </c>
      <c r="AN12" s="169">
        <v>0</v>
      </c>
      <c r="AO12" s="169">
        <f>IF('Cap Table'!AN$80&lt;&gt;"na",IF(OR(Q12='Cap Table'!$B$40,Q12='Cap Table'!$B$41,Q12='Cap Table'!$B$42),R12-S12,0),0)</f>
        <v>0</v>
      </c>
      <c r="AP12" s="171">
        <f t="shared" si="16"/>
        <v>0</v>
      </c>
      <c r="AQ12" s="169">
        <f t="shared" si="17"/>
        <v>0</v>
      </c>
      <c r="AR12" s="172">
        <f t="shared" si="18"/>
        <v>0</v>
      </c>
      <c r="AS12" s="293">
        <f t="shared" si="19"/>
        <v>0</v>
      </c>
      <c r="AT12" s="170">
        <f ca="1">FV(AR12/12,DATEDIF(AL12,'Cap Table'!AN$61,"m"),0,-AO12)</f>
        <v>0</v>
      </c>
      <c r="AU12" s="170">
        <f ca="1">IF('Cap Table'!AN$81="no",IFERROR(AT12/(1-AP12),0),IFERROR(AT12/(1-(MAX(AP12,IF(AQ12=0,0,('Cap Table'!AN$63-AQ12/'Cap Table'!AN$62)/'Cap Table'!AN$63)))),0))</f>
        <v>0</v>
      </c>
      <c r="AV12" s="146">
        <f t="shared" ca="1" si="20"/>
        <v>0</v>
      </c>
      <c r="AW12" s="149">
        <f ca="1">IF(AND('Cap Table'!AN$63=0,AT12&gt;0),AQ12/IF(AM12=$B$42,AI$56,'Cap Table'!AN$62),IFERROR(IF(AQ12=0,'Cap Table'!AN$63*(1-AP12),MIN('Cap Table'!AN$63*(1-AP12),AQ12/IF(AM12=$B$42,AI$56,'Cap Table'!AN$62))),0))</f>
        <v>0</v>
      </c>
      <c r="AX12" s="170">
        <f t="shared" ca="1" si="85"/>
        <v>0</v>
      </c>
      <c r="AY12" s="170">
        <v>0</v>
      </c>
      <c r="AZ12" s="146">
        <f t="shared" ca="1" si="21"/>
        <v>0</v>
      </c>
      <c r="BA12" s="146">
        <f t="shared" si="22"/>
        <v>0</v>
      </c>
      <c r="BB12" s="146">
        <f t="shared" ca="1" si="86"/>
        <v>0</v>
      </c>
      <c r="BC12" s="147">
        <f t="shared" ca="1" si="23"/>
        <v>0</v>
      </c>
      <c r="BD12" s="146">
        <f ca="1">BB12*'Cap Table'!AN$63</f>
        <v>0</v>
      </c>
      <c r="BE12" s="173">
        <f ca="1">IFERROR(IF(OR(AM12='Cap Table'!$B$40,AM12='Cap Table'!$B$41,AM12='Cap Table'!$B$42,AM12='Cap Table'!$B$43),IF(SUM(AO12,S12)&lt;SUM(AN12,R12),FV(MAX(AR12,V12)/12,DATEDIF(AL12,'Cap Table'!$AN$61,"m"),0,-MAX(AN12,R12))/(MAX(AQ12,U12)/'Cap Table'!$AN$62)/IF(AM12=$B$42,(1-MAX(W33,AS$29)),1),BB12),BB12),0)</f>
        <v>0</v>
      </c>
      <c r="BF12" s="147">
        <f t="shared" ca="1" si="24"/>
        <v>0</v>
      </c>
      <c r="BH12" s="168">
        <f t="shared" ca="1" si="25"/>
        <v>44916</v>
      </c>
      <c r="BI12" s="168" t="str">
        <f t="shared" si="87"/>
        <v>Equity</v>
      </c>
      <c r="BJ12" s="169">
        <v>0</v>
      </c>
      <c r="BK12" s="169">
        <f>IF('Cap Table'!BJ$80&lt;&gt;"na",IF(OR(AM12='Cap Table'!$B$40,AM12='Cap Table'!$B$41,AM12='Cap Table'!$B$42),AN12-AO12,0),0)</f>
        <v>0</v>
      </c>
      <c r="BL12" s="171">
        <f t="shared" si="26"/>
        <v>0</v>
      </c>
      <c r="BM12" s="169">
        <f t="shared" si="27"/>
        <v>0</v>
      </c>
      <c r="BN12" s="172">
        <f t="shared" si="28"/>
        <v>0</v>
      </c>
      <c r="BO12" s="293">
        <f t="shared" si="29"/>
        <v>0</v>
      </c>
      <c r="BP12" s="170">
        <f ca="1">FV(BN12/12,DATEDIF(BH12,'Cap Table'!BJ$61,"m"),0,-BK12)</f>
        <v>0</v>
      </c>
      <c r="BQ12" s="170">
        <f ca="1">IF('Cap Table'!BJ$81="no",IFERROR(BP12/(1-BL12),0),IFERROR(BP12/(1-(MAX(BL12,IF(BM12=0,0,('Cap Table'!BJ$63-BM12/'Cap Table'!BJ$62)/'Cap Table'!BJ$63)))),0))</f>
        <v>0</v>
      </c>
      <c r="BR12" s="146">
        <f t="shared" ca="1" si="30"/>
        <v>0</v>
      </c>
      <c r="BS12" s="149">
        <f ca="1">IF(AND('Cap Table'!BJ$63=0,BP12&gt;0),BM12/IF(BI12=$B$42,BE$56,'Cap Table'!BJ$62),IFERROR(IF(BM12=0,'Cap Table'!BJ$63*(1-BL12),MIN('Cap Table'!BJ$63*(1-BL12),BM12/IF(BI12=$B$42,BE$56,'Cap Table'!BJ$62))),0))</f>
        <v>0</v>
      </c>
      <c r="BT12" s="170">
        <f t="shared" ca="1" si="88"/>
        <v>0</v>
      </c>
      <c r="BU12" s="170">
        <v>0</v>
      </c>
      <c r="BV12" s="146">
        <f t="shared" ca="1" si="31"/>
        <v>0</v>
      </c>
      <c r="BW12" s="146">
        <f t="shared" si="32"/>
        <v>0</v>
      </c>
      <c r="BX12" s="146">
        <f t="shared" ca="1" si="89"/>
        <v>0</v>
      </c>
      <c r="BY12" s="147">
        <f t="shared" ca="1" si="33"/>
        <v>0</v>
      </c>
      <c r="BZ12" s="146">
        <f ca="1">BX12*'Cap Table'!BJ$63</f>
        <v>0</v>
      </c>
      <c r="CA12" s="173">
        <f ca="1">IFERROR(IF(OR(BI12='Cap Table'!$B$40,BI12='Cap Table'!$B$41,BI12='Cap Table'!$B$42,BI12='Cap Table'!$B$43),IF(SUM(BK12,AO12,S12)&lt;SUM(BJ12,AN12,R12),FV(MAX(BN12,AR12,V12)/12,DATEDIF(BH12,'Cap Table'!$BJ$61,"m"),0,-MAX(BJ12,AN12,R12))/(MAX(BM12,AQ12,U12)/'Cap Table'!$BJ$62)/IF(BI12=$B$42,(1-MAX(BO$29,AS$29,W$29)),1),BX12),BX12),0)</f>
        <v>0</v>
      </c>
      <c r="CB12" s="147">
        <f t="shared" ca="1" si="34"/>
        <v>0</v>
      </c>
      <c r="CD12" s="168">
        <f t="shared" ca="1" si="35"/>
        <v>45281</v>
      </c>
      <c r="CE12" s="168" t="str">
        <f t="shared" si="90"/>
        <v>Equity</v>
      </c>
      <c r="CF12" s="169">
        <v>0</v>
      </c>
      <c r="CG12" s="169">
        <f>IF('Cap Table'!CF$80&lt;&gt;"na",IF(OR(BI12='Cap Table'!$B$40,BI12='Cap Table'!$B$41,BI12='Cap Table'!$B$42),BJ12-BK12,0),0)</f>
        <v>0</v>
      </c>
      <c r="CH12" s="171">
        <f t="shared" si="36"/>
        <v>0</v>
      </c>
      <c r="CI12" s="169">
        <f t="shared" si="37"/>
        <v>0</v>
      </c>
      <c r="CJ12" s="172">
        <f t="shared" si="38"/>
        <v>0</v>
      </c>
      <c r="CK12" s="293">
        <f t="shared" si="39"/>
        <v>0</v>
      </c>
      <c r="CL12" s="170">
        <f ca="1">FV(CJ12/12,DATEDIF(CD12,'Cap Table'!CF$61,"m"),0,-CG12)</f>
        <v>0</v>
      </c>
      <c r="CM12" s="170">
        <f ca="1">IF('Cap Table'!CF$81="no",IFERROR(CL12/(1-CH12),0),IFERROR(CL12/(1-(MAX(CH12,IF(CI12=0,0,('Cap Table'!CF$63-CI12/'Cap Table'!CF$62)/'Cap Table'!CF$63)))),0))</f>
        <v>0</v>
      </c>
      <c r="CN12" s="146">
        <f t="shared" ca="1" si="40"/>
        <v>0</v>
      </c>
      <c r="CO12" s="149">
        <f ca="1">IF(AND('Cap Table'!CF$63=0,CL12&gt;0),CI12/IF(CE12=$B$42,CA$56,'Cap Table'!CF$62),IFERROR(IF(CI12=0,'Cap Table'!CF$63*(1-CH12),MIN('Cap Table'!CF$63*(1-CH12),CI12/IF(CE12=$B$42,CA$56,'Cap Table'!CF$62))),0))</f>
        <v>0</v>
      </c>
      <c r="CP12" s="170">
        <f t="shared" ca="1" si="91"/>
        <v>0</v>
      </c>
      <c r="CQ12" s="170">
        <v>0</v>
      </c>
      <c r="CR12" s="146">
        <f t="shared" ca="1" si="41"/>
        <v>0</v>
      </c>
      <c r="CS12" s="146">
        <f t="shared" si="42"/>
        <v>0</v>
      </c>
      <c r="CT12" s="146">
        <f t="shared" ca="1" si="92"/>
        <v>0</v>
      </c>
      <c r="CU12" s="147">
        <f t="shared" ca="1" si="43"/>
        <v>0</v>
      </c>
      <c r="CV12" s="146">
        <f ca="1">CT12*'Cap Table'!CF$63</f>
        <v>0</v>
      </c>
      <c r="CW12" s="173">
        <f ca="1">IFERROR(IF(OR(CE12='Cap Table'!$B$40,CE12='Cap Table'!$B$41,CE12='Cap Table'!$B$42,CE12='Cap Table'!$B$43),IF(SUM(CG12,BK12,AO12,S12)&lt;SUM(CF12,BJ12,AN12,R12),FV(MAX(CJ12,BN12,AR12,V12)/12,DATEDIF(CD12,'Cap Table'!$CF$61,"m"),0,-MAX(CF12,BJ12,AN12,R12))/(MAX(CI12,BM12,AQ12,U12)/'Cap Table'!$CF$62)/IF(CE12=$B$42,(1-MAX(CK$29,BO$29,AS$29,W$29)),1),CT12),CT12),0)</f>
        <v>0</v>
      </c>
      <c r="CX12" s="147">
        <f t="shared" ca="1" si="44"/>
        <v>0</v>
      </c>
      <c r="CZ12" s="168">
        <f t="shared" ca="1" si="45"/>
        <v>45647</v>
      </c>
      <c r="DA12" s="168" t="str">
        <f t="shared" si="93"/>
        <v>Equity</v>
      </c>
      <c r="DB12" s="169">
        <v>0</v>
      </c>
      <c r="DC12" s="169">
        <f>IF('Cap Table'!DB$80&lt;&gt;"na",IF(OR(CE12='Cap Table'!$B$40,CE12='Cap Table'!$B$41,CE12='Cap Table'!$B$42),CF12-CG12,0),0)</f>
        <v>0</v>
      </c>
      <c r="DD12" s="171">
        <f t="shared" si="46"/>
        <v>0</v>
      </c>
      <c r="DE12" s="169">
        <f t="shared" si="47"/>
        <v>0</v>
      </c>
      <c r="DF12" s="172">
        <f t="shared" si="48"/>
        <v>0</v>
      </c>
      <c r="DG12" s="293">
        <f t="shared" si="49"/>
        <v>0</v>
      </c>
      <c r="DH12" s="170">
        <f ca="1">FV(DF12/12,DATEDIF(CZ12,'Cap Table'!DB$61,"m"),0,-DC12)</f>
        <v>0</v>
      </c>
      <c r="DI12" s="170">
        <f ca="1">IF('Cap Table'!DB$81="no",IFERROR(DH12/(1-DD12),0),IFERROR(DH12/(1-(MAX(DD12,IF(DE12=0,0,('Cap Table'!DB$63-DE12/'Cap Table'!DB$62)/'Cap Table'!DB$63)))),0))</f>
        <v>0</v>
      </c>
      <c r="DJ12" s="146">
        <f t="shared" ca="1" si="50"/>
        <v>0</v>
      </c>
      <c r="DK12" s="149">
        <f ca="1">IF(AND('Cap Table'!DB$63=0,DH12&gt;0),DE12/'Cap Table'!DB$62,IFERROR(IF(DE12=0,'Cap Table'!DB$63*(1-DD12),MIN('Cap Table'!DB$63*(1-DD12),DE12/'Cap Table'!DB$62)),0))</f>
        <v>0</v>
      </c>
      <c r="DL12" s="170">
        <f t="shared" ca="1" si="94"/>
        <v>0</v>
      </c>
      <c r="DM12" s="170">
        <v>0</v>
      </c>
      <c r="DN12" s="146">
        <f t="shared" ca="1" si="51"/>
        <v>0</v>
      </c>
      <c r="DO12" s="146">
        <f t="shared" si="52"/>
        <v>0</v>
      </c>
      <c r="DP12" s="146">
        <f t="shared" ca="1" si="95"/>
        <v>0</v>
      </c>
      <c r="DQ12" s="147">
        <f t="shared" ca="1" si="53"/>
        <v>0</v>
      </c>
      <c r="DR12" s="146">
        <f ca="1">DP12*'Cap Table'!DB$63</f>
        <v>0</v>
      </c>
      <c r="DS12" s="173">
        <f ca="1">IFERROR(IF(OR(DA12='Cap Table'!$B$40,DA12='Cap Table'!$B$41,DA12='Cap Table'!$B$42,DA12='Cap Table'!$B$43),IF(SUM(DC12,CG12,BK12,AO12,S12,)&lt;SUM(DB12,CF12,BJ12,AN12,R12),FV(MAX(DF12,CJ12,BN12,AR12,V12)/12,DATEDIF(CZ12,'Cap Table'!$DB$61,"m"),0,-MAX(DB12,CF12,BJ12,AN12,R12))/(MAX(DE12,CI12,BM12,AQ12,U12,)/'Cap Table'!$DB$62)/IF(DA12=$B$42,(1-MAX(DG$29,CK$29,BO$29,AS$29,W$29)),1),DP12),DP12),0)</f>
        <v>0</v>
      </c>
      <c r="DT12" s="147">
        <f t="shared" ca="1" si="54"/>
        <v>0</v>
      </c>
      <c r="DV12" s="168">
        <f t="shared" ca="1" si="55"/>
        <v>46012</v>
      </c>
      <c r="DW12" s="168" t="str">
        <f t="shared" si="96"/>
        <v>Equity</v>
      </c>
      <c r="DX12" s="169">
        <v>0</v>
      </c>
      <c r="DY12" s="169">
        <f>IF('Cap Table'!DX$80&lt;&gt;"na",IF(OR(DA12='Cap Table'!$B$40,DA12='Cap Table'!$B$41,DA12='Cap Table'!$B$42),DB12-DC12,0),0)</f>
        <v>0</v>
      </c>
      <c r="DZ12" s="171">
        <f t="shared" si="102"/>
        <v>0</v>
      </c>
      <c r="EA12" s="169">
        <f t="shared" si="103"/>
        <v>0</v>
      </c>
      <c r="EB12" s="172">
        <f t="shared" si="104"/>
        <v>0</v>
      </c>
      <c r="EC12" s="293">
        <f t="shared" si="59"/>
        <v>0</v>
      </c>
      <c r="ED12" s="170">
        <f ca="1">FV(EB12/12,DATEDIF(DV12,'Cap Table'!DX$61,"m"),0,-DY12)</f>
        <v>0</v>
      </c>
      <c r="EE12" s="170">
        <f ca="1">IF('Cap Table'!DX$81="no",IFERROR(ED12/(1-DZ12),0),IFERROR(ED12/(1-(MAX(DZ12,IF(EA12=0,0,('Cap Table'!DX$63-EA12/'Cap Table'!DX$62)/'Cap Table'!DX$63)))),0))</f>
        <v>0</v>
      </c>
      <c r="EF12" s="146">
        <f t="shared" ca="1" si="60"/>
        <v>0</v>
      </c>
      <c r="EG12" s="149">
        <f ca="1">IF(AND('Cap Table'!DX$63=0,ED12&gt;0),EA12/IF(DA12=$B$42,DS$56,'Cap Table'!DX$62),IFERROR(IF(EA12=0,'Cap Table'!DX$63*(1-DZ12),MIN('Cap Table'!DX$63*(1-DZ12),EA12/IF(DA12=$B$42,DS$56,'Cap Table'!DX$62))),0))</f>
        <v>0</v>
      </c>
      <c r="EH12" s="170">
        <f t="shared" ca="1" si="97"/>
        <v>0</v>
      </c>
      <c r="EI12" s="170">
        <v>0</v>
      </c>
      <c r="EJ12" s="146">
        <f t="shared" ca="1" si="98"/>
        <v>0</v>
      </c>
      <c r="EK12" s="146">
        <f t="shared" si="61"/>
        <v>0</v>
      </c>
      <c r="EL12" s="146">
        <f t="shared" ca="1" si="99"/>
        <v>0</v>
      </c>
      <c r="EM12" s="147">
        <f t="shared" ca="1" si="62"/>
        <v>0</v>
      </c>
      <c r="EN12" s="146">
        <f ca="1">EL12*'Cap Table'!DX$63</f>
        <v>0</v>
      </c>
      <c r="EO12" s="173">
        <f ca="1">IFERROR(IF(OR(DW12='Cap Table'!$B$40,DW12='Cap Table'!$B$41,DW12='Cap Table'!$B$42,DW12='Cap Table'!$B$43),IF(SUM(DY12,DC12,CG12,BK12,AO12,S12)&lt;SUM(DX12,DB12,CF12,BJ12,AN12,R12),FV(MAX(EB12,DF12,CJ12,BN12,AR12,V12)/12,DATEDIF(DV12,'Cap Table'!DX$61,"m"),0,-MAX(DX12,DB12,CF12,BJ12,AN12,R12))/(MAX(EA12,DE12,CI12,BM12,AQ12,U12)/'Cap Table'!$DX$62)/IF(DW12=$B$42,(1-MAX(EC$29,DG$29,CK$29,BO$29,AS$29,W$29)),1),EL12),EL12),0)</f>
        <v>0</v>
      </c>
      <c r="EP12" s="147">
        <f t="shared" ca="1" si="63"/>
        <v>0</v>
      </c>
      <c r="ER12" s="146">
        <f t="shared" si="64"/>
        <v>0</v>
      </c>
      <c r="ES12" s="146">
        <f t="shared" si="65"/>
        <v>0</v>
      </c>
      <c r="ET12" s="174" t="s">
        <v>27</v>
      </c>
      <c r="EU12" s="174" t="s">
        <v>27</v>
      </c>
      <c r="EV12" s="174" t="s">
        <v>27</v>
      </c>
      <c r="EW12" s="146">
        <f t="shared" ca="1" si="66"/>
        <v>0</v>
      </c>
      <c r="EX12" s="146">
        <f t="shared" ca="1" si="67"/>
        <v>0</v>
      </c>
      <c r="EY12" s="146">
        <f t="shared" ca="1" si="68"/>
        <v>0</v>
      </c>
      <c r="EZ12" s="149">
        <f t="shared" ca="1" si="105"/>
        <v>0</v>
      </c>
      <c r="FA12" s="146">
        <f t="shared" ca="1" si="69"/>
        <v>0</v>
      </c>
      <c r="FB12" s="146">
        <f t="shared" si="70"/>
        <v>0</v>
      </c>
      <c r="FC12" s="146">
        <f t="shared" ca="1" si="100"/>
        <v>0</v>
      </c>
      <c r="FD12" s="146">
        <f t="shared" si="100"/>
        <v>0</v>
      </c>
      <c r="FE12" s="146">
        <f t="shared" ca="1" si="100"/>
        <v>0</v>
      </c>
      <c r="FF12" s="147">
        <f t="shared" ca="1" si="71"/>
        <v>0</v>
      </c>
      <c r="FG12" s="146">
        <f t="shared" ca="1" si="101"/>
        <v>0</v>
      </c>
      <c r="FH12" s="146">
        <f t="shared" ca="1" si="101"/>
        <v>0</v>
      </c>
      <c r="FI12" s="147">
        <f t="shared" ca="1" si="72"/>
        <v>0</v>
      </c>
      <c r="FK12" s="149" t="str">
        <f t="shared" si="0"/>
        <v>Common</v>
      </c>
      <c r="FL12" s="146">
        <f t="shared" ca="1" si="73"/>
        <v>0</v>
      </c>
      <c r="FM12" s="146">
        <f t="shared" ca="1" si="74"/>
        <v>0</v>
      </c>
      <c r="FN12" s="146">
        <f t="shared" ca="1" si="75"/>
        <v>0</v>
      </c>
      <c r="FP12" s="146" t="str">
        <f t="shared" si="76"/>
        <v>Common</v>
      </c>
      <c r="FQ12" s="174" t="str">
        <f t="shared" ca="1" si="77"/>
        <v>na</v>
      </c>
      <c r="FR12" s="174" t="str">
        <f t="shared" ca="1" si="78"/>
        <v>na</v>
      </c>
      <c r="FS12" s="174" t="str">
        <f t="shared" ca="1" si="79"/>
        <v>na</v>
      </c>
    </row>
    <row r="13" spans="2:175">
      <c r="B13" s="145" t="s">
        <v>27</v>
      </c>
      <c r="D13" s="167" t="s">
        <v>27</v>
      </c>
      <c r="E13" s="167" t="str">
        <f t="shared" si="80"/>
        <v>Common</v>
      </c>
      <c r="G13" s="168">
        <f t="shared" ca="1" si="1"/>
        <v>43820</v>
      </c>
      <c r="H13" s="289" t="str">
        <f t="shared" si="2"/>
        <v>Equity</v>
      </c>
      <c r="I13" s="169">
        <v>0</v>
      </c>
      <c r="J13" s="170">
        <v>0</v>
      </c>
      <c r="K13" s="170">
        <f t="shared" si="81"/>
        <v>0</v>
      </c>
      <c r="L13" s="147">
        <f t="shared" si="3"/>
        <v>0</v>
      </c>
      <c r="M13" s="170">
        <f t="shared" si="82"/>
        <v>0</v>
      </c>
      <c r="N13" s="147">
        <f t="shared" si="4"/>
        <v>0</v>
      </c>
      <c r="O13" s="147"/>
      <c r="P13" s="168">
        <f t="shared" ca="1" si="5"/>
        <v>44186</v>
      </c>
      <c r="Q13" s="289" t="str">
        <f t="shared" si="6"/>
        <v>Equity</v>
      </c>
      <c r="R13" s="169">
        <v>0</v>
      </c>
      <c r="S13" s="169">
        <v>0</v>
      </c>
      <c r="T13" s="171">
        <v>0</v>
      </c>
      <c r="U13" s="145">
        <v>0</v>
      </c>
      <c r="V13" s="172">
        <v>0</v>
      </c>
      <c r="W13" s="293">
        <f t="shared" si="7"/>
        <v>0</v>
      </c>
      <c r="X13" s="170">
        <f ca="1">FV(V13/12,DATEDIF(P13,'Cap Table'!R$61,"m"),0,-S13)</f>
        <v>0</v>
      </c>
      <c r="Y13" s="170">
        <f t="shared" ca="1" si="8"/>
        <v>0</v>
      </c>
      <c r="Z13" s="146">
        <f t="shared" ca="1" si="9"/>
        <v>0</v>
      </c>
      <c r="AA13" s="149">
        <f ca="1">IF(AND('Cap Table'!R$63=0,X13&gt;0),U13/'Cap Table'!R$62,IFERROR(IF(U13=0,'Cap Table'!R$63*(1-T13),MIN('Cap Table'!R$63*(1-T13),U13/'Cap Table'!R$62)),0))</f>
        <v>0</v>
      </c>
      <c r="AB13" s="170">
        <f t="shared" ca="1" si="83"/>
        <v>0</v>
      </c>
      <c r="AC13" s="170">
        <v>0</v>
      </c>
      <c r="AD13" s="146">
        <f t="shared" ca="1" si="10"/>
        <v>0</v>
      </c>
      <c r="AE13" s="146">
        <f t="shared" si="11"/>
        <v>0</v>
      </c>
      <c r="AF13" s="146">
        <f t="shared" ca="1" si="84"/>
        <v>0</v>
      </c>
      <c r="AG13" s="147">
        <f t="shared" ca="1" si="12"/>
        <v>0</v>
      </c>
      <c r="AH13" s="146">
        <f ca="1">AF13*'Cap Table'!R$63</f>
        <v>0</v>
      </c>
      <c r="AI13" s="146">
        <f ca="1">IFERROR(IF(OR(Q13='Cap Table'!$B$40,Q13='Cap Table'!$B$41,Q13='Cap Table'!$B$42,Q13='Cap Table'!$B$43),IF(SUM(S13)&lt;SUM(R13),(FV(V13/12,DATEDIF(P13,'Cap Table'!R$61,"m"),0,-R13))/(U13/'Cap Table'!$R$62)/IF(Q13=$B$42,(1-W$29),1),AF13),AF13),0)</f>
        <v>0</v>
      </c>
      <c r="AJ13" s="147">
        <f t="shared" ca="1" si="13"/>
        <v>0</v>
      </c>
      <c r="AL13" s="168">
        <f t="shared" ca="1" si="14"/>
        <v>44551</v>
      </c>
      <c r="AM13" s="168" t="str">
        <f t="shared" si="15"/>
        <v>Equity</v>
      </c>
      <c r="AN13" s="169">
        <v>0</v>
      </c>
      <c r="AO13" s="169">
        <f>IF('Cap Table'!AN$80&lt;&gt;"na",IF(OR(Q13='Cap Table'!$B$40,Q13='Cap Table'!$B$41,Q13='Cap Table'!$B$42),R13-S13,0),0)</f>
        <v>0</v>
      </c>
      <c r="AP13" s="171">
        <f t="shared" si="16"/>
        <v>0</v>
      </c>
      <c r="AQ13" s="169">
        <f t="shared" si="17"/>
        <v>0</v>
      </c>
      <c r="AR13" s="172">
        <f t="shared" si="18"/>
        <v>0</v>
      </c>
      <c r="AS13" s="293">
        <f t="shared" si="19"/>
        <v>0</v>
      </c>
      <c r="AT13" s="170">
        <f ca="1">FV(AR13/12,DATEDIF(AL13,'Cap Table'!AN$61,"m"),0,-AO13)</f>
        <v>0</v>
      </c>
      <c r="AU13" s="170">
        <f ca="1">IF('Cap Table'!AN$81="no",IFERROR(AT13/(1-AP13),0),IFERROR(AT13/(1-(MAX(AP13,IF(AQ13=0,0,('Cap Table'!AN$63-AQ13/'Cap Table'!AN$62)/'Cap Table'!AN$63)))),0))</f>
        <v>0</v>
      </c>
      <c r="AV13" s="146">
        <f t="shared" ca="1" si="20"/>
        <v>0</v>
      </c>
      <c r="AW13" s="149">
        <f ca="1">IF(AND('Cap Table'!AN$63=0,AT13&gt;0),AQ13/IF(AM13=$B$42,AI$56,'Cap Table'!AN$62),IFERROR(IF(AQ13=0,'Cap Table'!AN$63*(1-AP13),MIN('Cap Table'!AN$63*(1-AP13),AQ13/IF(AM13=$B$42,AI$56,'Cap Table'!AN$62))),0))</f>
        <v>0</v>
      </c>
      <c r="AX13" s="170">
        <f t="shared" ca="1" si="85"/>
        <v>0</v>
      </c>
      <c r="AY13" s="170">
        <v>0</v>
      </c>
      <c r="AZ13" s="146">
        <f t="shared" ca="1" si="21"/>
        <v>0</v>
      </c>
      <c r="BA13" s="146">
        <f t="shared" si="22"/>
        <v>0</v>
      </c>
      <c r="BB13" s="146">
        <f t="shared" ca="1" si="86"/>
        <v>0</v>
      </c>
      <c r="BC13" s="147">
        <f t="shared" ca="1" si="23"/>
        <v>0</v>
      </c>
      <c r="BD13" s="146">
        <f ca="1">BB13*'Cap Table'!AN$63</f>
        <v>0</v>
      </c>
      <c r="BE13" s="173">
        <f ca="1">IFERROR(IF(OR(AM13='Cap Table'!$B$40,AM13='Cap Table'!$B$41,AM13='Cap Table'!$B$42,AM13='Cap Table'!$B$43),IF(SUM(AO13,S13)&lt;SUM(AN13,R13),FV(MAX(AR13,V13)/12,DATEDIF(AL13,'Cap Table'!$AN$61,"m"),0,-MAX(AN13,R13))/(MAX(AQ13,U13)/'Cap Table'!$AN$62)/IF(AM13=$B$42,(1-MAX(W34,AS$29)),1),BB13),BB13),0)</f>
        <v>0</v>
      </c>
      <c r="BF13" s="147">
        <f t="shared" ca="1" si="24"/>
        <v>0</v>
      </c>
      <c r="BH13" s="168">
        <f t="shared" ca="1" si="25"/>
        <v>44916</v>
      </c>
      <c r="BI13" s="168" t="str">
        <f t="shared" si="87"/>
        <v>Equity</v>
      </c>
      <c r="BJ13" s="169">
        <v>0</v>
      </c>
      <c r="BK13" s="169">
        <f>IF('Cap Table'!BJ$80&lt;&gt;"na",IF(OR(AM13='Cap Table'!$B$40,AM13='Cap Table'!$B$41,AM13='Cap Table'!$B$42),AN13-AO13,0),0)</f>
        <v>0</v>
      </c>
      <c r="BL13" s="171">
        <f t="shared" si="26"/>
        <v>0</v>
      </c>
      <c r="BM13" s="169">
        <f t="shared" si="27"/>
        <v>0</v>
      </c>
      <c r="BN13" s="172">
        <f t="shared" si="28"/>
        <v>0</v>
      </c>
      <c r="BO13" s="293">
        <f t="shared" si="29"/>
        <v>0</v>
      </c>
      <c r="BP13" s="170">
        <f ca="1">FV(BN13/12,DATEDIF(BH13,'Cap Table'!BJ$61,"m"),0,-BK13)</f>
        <v>0</v>
      </c>
      <c r="BQ13" s="170">
        <f ca="1">IF('Cap Table'!BJ$81="no",IFERROR(BP13/(1-BL13),0),IFERROR(BP13/(1-(MAX(BL13,IF(BM13=0,0,('Cap Table'!BJ$63-BM13/'Cap Table'!BJ$62)/'Cap Table'!BJ$63)))),0))</f>
        <v>0</v>
      </c>
      <c r="BR13" s="146">
        <f t="shared" ca="1" si="30"/>
        <v>0</v>
      </c>
      <c r="BS13" s="149">
        <f ca="1">IF(AND('Cap Table'!BJ$63=0,BP13&gt;0),BM13/IF(BI13=$B$42,BE$56,'Cap Table'!BJ$62),IFERROR(IF(BM13=0,'Cap Table'!BJ$63*(1-BL13),MIN('Cap Table'!BJ$63*(1-BL13),BM13/IF(BI13=$B$42,BE$56,'Cap Table'!BJ$62))),0))</f>
        <v>0</v>
      </c>
      <c r="BT13" s="170">
        <f t="shared" ca="1" si="88"/>
        <v>0</v>
      </c>
      <c r="BU13" s="170">
        <v>0</v>
      </c>
      <c r="BV13" s="146">
        <f t="shared" ca="1" si="31"/>
        <v>0</v>
      </c>
      <c r="BW13" s="146">
        <f t="shared" si="32"/>
        <v>0</v>
      </c>
      <c r="BX13" s="146">
        <f t="shared" ca="1" si="89"/>
        <v>0</v>
      </c>
      <c r="BY13" s="147">
        <f t="shared" ca="1" si="33"/>
        <v>0</v>
      </c>
      <c r="BZ13" s="146">
        <f ca="1">BX13*'Cap Table'!BJ$63</f>
        <v>0</v>
      </c>
      <c r="CA13" s="173">
        <f ca="1">IFERROR(IF(OR(BI13='Cap Table'!$B$40,BI13='Cap Table'!$B$41,BI13='Cap Table'!$B$42,BI13='Cap Table'!$B$43),IF(SUM(BK13,AO13,S13)&lt;SUM(BJ13,AN13,R13),FV(MAX(BN13,AR13,V13)/12,DATEDIF(BH13,'Cap Table'!$BJ$61,"m"),0,-MAX(BJ13,AN13,R13))/(MAX(BM13,AQ13,U13)/'Cap Table'!$BJ$62)/IF(BI13=$B$42,(1-MAX(BO$29,AS$29,W$29)),1),BX13),BX13),0)</f>
        <v>0</v>
      </c>
      <c r="CB13" s="147">
        <f t="shared" ca="1" si="34"/>
        <v>0</v>
      </c>
      <c r="CD13" s="168">
        <f t="shared" ca="1" si="35"/>
        <v>45281</v>
      </c>
      <c r="CE13" s="168" t="str">
        <f t="shared" si="90"/>
        <v>Equity</v>
      </c>
      <c r="CF13" s="169">
        <v>0</v>
      </c>
      <c r="CG13" s="169">
        <f>IF('Cap Table'!CF$80&lt;&gt;"na",IF(OR(BI13='Cap Table'!$B$40,BI13='Cap Table'!$B$41,BI13='Cap Table'!$B$42),BJ13-BK13,0),0)</f>
        <v>0</v>
      </c>
      <c r="CH13" s="171">
        <f t="shared" si="36"/>
        <v>0</v>
      </c>
      <c r="CI13" s="169">
        <f t="shared" si="37"/>
        <v>0</v>
      </c>
      <c r="CJ13" s="172">
        <f t="shared" si="38"/>
        <v>0</v>
      </c>
      <c r="CK13" s="293">
        <f t="shared" si="39"/>
        <v>0</v>
      </c>
      <c r="CL13" s="170">
        <f ca="1">FV(CJ13/12,DATEDIF(CD13,'Cap Table'!CF$61,"m"),0,-CG13)</f>
        <v>0</v>
      </c>
      <c r="CM13" s="170">
        <f ca="1">IF('Cap Table'!CF$81="no",IFERROR(CL13/(1-CH13),0),IFERROR(CL13/(1-(MAX(CH13,IF(CI13=0,0,('Cap Table'!CF$63-CI13/'Cap Table'!CF$62)/'Cap Table'!CF$63)))),0))</f>
        <v>0</v>
      </c>
      <c r="CN13" s="146">
        <f t="shared" ca="1" si="40"/>
        <v>0</v>
      </c>
      <c r="CO13" s="149">
        <f ca="1">IF(AND('Cap Table'!CF$63=0,CL13&gt;0),CI13/IF(CE13=$B$42,CA$56,'Cap Table'!CF$62),IFERROR(IF(CI13=0,'Cap Table'!CF$63*(1-CH13),MIN('Cap Table'!CF$63*(1-CH13),CI13/IF(CE13=$B$42,CA$56,'Cap Table'!CF$62))),0))</f>
        <v>0</v>
      </c>
      <c r="CP13" s="170">
        <f t="shared" ca="1" si="91"/>
        <v>0</v>
      </c>
      <c r="CQ13" s="170">
        <v>0</v>
      </c>
      <c r="CR13" s="146">
        <f t="shared" ca="1" si="41"/>
        <v>0</v>
      </c>
      <c r="CS13" s="146">
        <f t="shared" si="42"/>
        <v>0</v>
      </c>
      <c r="CT13" s="146">
        <f t="shared" ca="1" si="92"/>
        <v>0</v>
      </c>
      <c r="CU13" s="147">
        <f t="shared" ca="1" si="43"/>
        <v>0</v>
      </c>
      <c r="CV13" s="146">
        <f ca="1">CT13*'Cap Table'!CF$63</f>
        <v>0</v>
      </c>
      <c r="CW13" s="173">
        <f ca="1">IFERROR(IF(OR(CE13='Cap Table'!$B$40,CE13='Cap Table'!$B$41,CE13='Cap Table'!$B$42,CE13='Cap Table'!$B$43),IF(SUM(CG13,BK13,AO13,S13)&lt;SUM(CF13,BJ13,AN13,R13),FV(MAX(CJ13,BN13,AR13,V13)/12,DATEDIF(CD13,'Cap Table'!$CF$61,"m"),0,-MAX(CF13,BJ13,AN13,R13))/(MAX(CI13,BM13,AQ13,U13)/'Cap Table'!$CF$62)/IF(CE13=$B$42,(1-MAX(CK$29,BO$29,AS$29,W$29)),1),CT13),CT13),0)</f>
        <v>0</v>
      </c>
      <c r="CX13" s="147">
        <f t="shared" ca="1" si="44"/>
        <v>0</v>
      </c>
      <c r="CZ13" s="168">
        <f t="shared" ca="1" si="45"/>
        <v>45647</v>
      </c>
      <c r="DA13" s="168" t="str">
        <f t="shared" si="93"/>
        <v>Equity</v>
      </c>
      <c r="DB13" s="169">
        <v>0</v>
      </c>
      <c r="DC13" s="169">
        <f>IF('Cap Table'!DB$80&lt;&gt;"na",IF(OR(CE13='Cap Table'!$B$40,CE13='Cap Table'!$B$41,CE13='Cap Table'!$B$42),CF13-CG13,0),0)</f>
        <v>0</v>
      </c>
      <c r="DD13" s="171">
        <f t="shared" si="46"/>
        <v>0</v>
      </c>
      <c r="DE13" s="169">
        <f t="shared" si="47"/>
        <v>0</v>
      </c>
      <c r="DF13" s="172">
        <f t="shared" si="48"/>
        <v>0</v>
      </c>
      <c r="DG13" s="293">
        <f t="shared" si="49"/>
        <v>0</v>
      </c>
      <c r="DH13" s="170">
        <f ca="1">FV(DF13/12,DATEDIF(CZ13,'Cap Table'!DB$61,"m"),0,-DC13)</f>
        <v>0</v>
      </c>
      <c r="DI13" s="170">
        <f ca="1">IF('Cap Table'!DB$81="no",IFERROR(DH13/(1-DD13),0),IFERROR(DH13/(1-(MAX(DD13,IF(DE13=0,0,('Cap Table'!DB$63-DE13/'Cap Table'!DB$62)/'Cap Table'!DB$63)))),0))</f>
        <v>0</v>
      </c>
      <c r="DJ13" s="146">
        <f t="shared" ca="1" si="50"/>
        <v>0</v>
      </c>
      <c r="DK13" s="149">
        <f ca="1">IF(AND('Cap Table'!DB$63=0,DH13&gt;0),DE13/'Cap Table'!DB$62,IFERROR(IF(DE13=0,'Cap Table'!DB$63*(1-DD13),MIN('Cap Table'!DB$63*(1-DD13),DE13/'Cap Table'!DB$62)),0))</f>
        <v>0</v>
      </c>
      <c r="DL13" s="170">
        <f t="shared" ca="1" si="94"/>
        <v>0</v>
      </c>
      <c r="DM13" s="170">
        <v>0</v>
      </c>
      <c r="DN13" s="146">
        <f t="shared" ca="1" si="51"/>
        <v>0</v>
      </c>
      <c r="DO13" s="146">
        <f t="shared" si="52"/>
        <v>0</v>
      </c>
      <c r="DP13" s="146">
        <f t="shared" ca="1" si="95"/>
        <v>0</v>
      </c>
      <c r="DQ13" s="147">
        <f t="shared" ca="1" si="53"/>
        <v>0</v>
      </c>
      <c r="DR13" s="146">
        <f ca="1">DP13*'Cap Table'!DB$63</f>
        <v>0</v>
      </c>
      <c r="DS13" s="173">
        <f ca="1">IFERROR(IF(OR(DA13='Cap Table'!$B$40,DA13='Cap Table'!$B$41,DA13='Cap Table'!$B$42,DA13='Cap Table'!$B$43),IF(SUM(DC13,CG13,BK13,AO13,S13,)&lt;SUM(DB13,CF13,BJ13,AN13,R13),FV(MAX(DF13,CJ13,BN13,AR13,V13)/12,DATEDIF(CZ13,'Cap Table'!$DB$61,"m"),0,-MAX(DB13,CF13,BJ13,AN13,R13))/(MAX(DE13,CI13,BM13,AQ13,U13,)/'Cap Table'!$DB$62)/IF(DA13=$B$42,(1-MAX(DG$29,CK$29,BO$29,AS$29,W$29)),1),DP13),DP13),0)</f>
        <v>0</v>
      </c>
      <c r="DT13" s="147">
        <f t="shared" ca="1" si="54"/>
        <v>0</v>
      </c>
      <c r="DV13" s="168">
        <f t="shared" ca="1" si="55"/>
        <v>46012</v>
      </c>
      <c r="DW13" s="168" t="str">
        <f t="shared" si="96"/>
        <v>Equity</v>
      </c>
      <c r="DX13" s="169">
        <v>0</v>
      </c>
      <c r="DY13" s="169">
        <f>IF('Cap Table'!DX$80&lt;&gt;"na",IF(OR(DA13='Cap Table'!$B$40,DA13='Cap Table'!$B$41,DA13='Cap Table'!$B$42),DB13-DC13,0),0)</f>
        <v>0</v>
      </c>
      <c r="DZ13" s="171">
        <f t="shared" si="102"/>
        <v>0</v>
      </c>
      <c r="EA13" s="169">
        <f t="shared" si="103"/>
        <v>0</v>
      </c>
      <c r="EB13" s="172">
        <f t="shared" si="104"/>
        <v>0</v>
      </c>
      <c r="EC13" s="293">
        <f t="shared" si="59"/>
        <v>0</v>
      </c>
      <c r="ED13" s="170">
        <f ca="1">FV(EB13/12,DATEDIF(DV13,'Cap Table'!DX$61,"m"),0,-DY13)</f>
        <v>0</v>
      </c>
      <c r="EE13" s="170">
        <f ca="1">IF('Cap Table'!DX$81="no",IFERROR(ED13/(1-DZ13),0),IFERROR(ED13/(1-(MAX(DZ13,IF(EA13=0,0,('Cap Table'!DX$63-EA13/'Cap Table'!DX$62)/'Cap Table'!DX$63)))),0))</f>
        <v>0</v>
      </c>
      <c r="EF13" s="146">
        <f t="shared" ca="1" si="60"/>
        <v>0</v>
      </c>
      <c r="EG13" s="149">
        <f ca="1">IF(AND('Cap Table'!DX$63=0,ED13&gt;0),EA13/IF(DA13=$B$42,DS$56,'Cap Table'!DX$62),IFERROR(IF(EA13=0,'Cap Table'!DX$63*(1-DZ13),MIN('Cap Table'!DX$63*(1-DZ13),EA13/IF(DA13=$B$42,DS$56,'Cap Table'!DX$62))),0))</f>
        <v>0</v>
      </c>
      <c r="EH13" s="170">
        <f t="shared" ca="1" si="97"/>
        <v>0</v>
      </c>
      <c r="EI13" s="170">
        <v>0</v>
      </c>
      <c r="EJ13" s="146">
        <f t="shared" ca="1" si="98"/>
        <v>0</v>
      </c>
      <c r="EK13" s="146">
        <f t="shared" si="61"/>
        <v>0</v>
      </c>
      <c r="EL13" s="146">
        <f t="shared" ca="1" si="99"/>
        <v>0</v>
      </c>
      <c r="EM13" s="147">
        <f t="shared" ca="1" si="62"/>
        <v>0</v>
      </c>
      <c r="EN13" s="146">
        <f ca="1">EL13*'Cap Table'!DX$63</f>
        <v>0</v>
      </c>
      <c r="EO13" s="173">
        <f ca="1">IFERROR(IF(OR(DW13='Cap Table'!$B$40,DW13='Cap Table'!$B$41,DW13='Cap Table'!$B$42,DW13='Cap Table'!$B$43),IF(SUM(DY13,DC13,CG13,BK13,AO13,S13)&lt;SUM(DX13,DB13,CF13,BJ13,AN13,R13),FV(MAX(EB13,DF13,CJ13,BN13,AR13,V13)/12,DATEDIF(DV13,'Cap Table'!DX$61,"m"),0,-MAX(DX13,DB13,CF13,BJ13,AN13,R13))/(MAX(EA13,DE13,CI13,BM13,AQ13,U13)/'Cap Table'!$DX$62)/IF(DW13=$B$42,(1-MAX(EC$29,DG$29,CK$29,BO$29,AS$29,W$29)),1),EL13),EL13),0)</f>
        <v>0</v>
      </c>
      <c r="EP13" s="147">
        <f t="shared" ca="1" si="63"/>
        <v>0</v>
      </c>
      <c r="ER13" s="146">
        <f t="shared" si="64"/>
        <v>0</v>
      </c>
      <c r="ES13" s="146">
        <f t="shared" si="65"/>
        <v>0</v>
      </c>
      <c r="ET13" s="174" t="s">
        <v>27</v>
      </c>
      <c r="EU13" s="174" t="s">
        <v>27</v>
      </c>
      <c r="EV13" s="174" t="s">
        <v>27</v>
      </c>
      <c r="EW13" s="146">
        <f t="shared" ca="1" si="66"/>
        <v>0</v>
      </c>
      <c r="EX13" s="146">
        <f t="shared" ca="1" si="67"/>
        <v>0</v>
      </c>
      <c r="EY13" s="146">
        <f t="shared" ca="1" si="68"/>
        <v>0</v>
      </c>
      <c r="EZ13" s="149">
        <f t="shared" ca="1" si="105"/>
        <v>0</v>
      </c>
      <c r="FA13" s="146">
        <f t="shared" ca="1" si="69"/>
        <v>0</v>
      </c>
      <c r="FB13" s="146">
        <f t="shared" si="70"/>
        <v>0</v>
      </c>
      <c r="FC13" s="146">
        <f t="shared" ca="1" si="100"/>
        <v>0</v>
      </c>
      <c r="FD13" s="146">
        <f t="shared" si="100"/>
        <v>0</v>
      </c>
      <c r="FE13" s="146">
        <f t="shared" ca="1" si="100"/>
        <v>0</v>
      </c>
      <c r="FF13" s="147">
        <f t="shared" ca="1" si="71"/>
        <v>0</v>
      </c>
      <c r="FG13" s="146">
        <f t="shared" ca="1" si="101"/>
        <v>0</v>
      </c>
      <c r="FH13" s="146">
        <f t="shared" ca="1" si="101"/>
        <v>0</v>
      </c>
      <c r="FI13" s="147">
        <f t="shared" ca="1" si="72"/>
        <v>0</v>
      </c>
      <c r="FK13" s="149" t="str">
        <f t="shared" si="0"/>
        <v>Common</v>
      </c>
      <c r="FL13" s="146">
        <f t="shared" ca="1" si="73"/>
        <v>0</v>
      </c>
      <c r="FM13" s="146">
        <f t="shared" ca="1" si="74"/>
        <v>0</v>
      </c>
      <c r="FN13" s="146">
        <f t="shared" ca="1" si="75"/>
        <v>0</v>
      </c>
      <c r="FP13" s="146" t="str">
        <f t="shared" si="76"/>
        <v>Common</v>
      </c>
      <c r="FQ13" s="174" t="str">
        <f t="shared" ca="1" si="77"/>
        <v>na</v>
      </c>
      <c r="FR13" s="174" t="str">
        <f t="shared" ca="1" si="78"/>
        <v>na</v>
      </c>
      <c r="FS13" s="174" t="str">
        <f t="shared" ca="1" si="79"/>
        <v>na</v>
      </c>
    </row>
    <row r="14" spans="2:175">
      <c r="B14" s="145" t="s">
        <v>27</v>
      </c>
      <c r="D14" s="167" t="s">
        <v>27</v>
      </c>
      <c r="E14" s="167" t="str">
        <f t="shared" si="80"/>
        <v>Common</v>
      </c>
      <c r="G14" s="168">
        <f t="shared" ca="1" si="1"/>
        <v>43820</v>
      </c>
      <c r="H14" s="289" t="str">
        <f t="shared" si="2"/>
        <v>Equity</v>
      </c>
      <c r="I14" s="169">
        <v>0</v>
      </c>
      <c r="J14" s="170">
        <v>0</v>
      </c>
      <c r="K14" s="170">
        <f t="shared" si="81"/>
        <v>0</v>
      </c>
      <c r="L14" s="147">
        <f t="shared" si="3"/>
        <v>0</v>
      </c>
      <c r="M14" s="170">
        <f t="shared" si="82"/>
        <v>0</v>
      </c>
      <c r="N14" s="147">
        <f t="shared" si="4"/>
        <v>0</v>
      </c>
      <c r="O14" s="147"/>
      <c r="P14" s="168">
        <f t="shared" ca="1" si="5"/>
        <v>44186</v>
      </c>
      <c r="Q14" s="289" t="str">
        <f t="shared" si="6"/>
        <v>Equity</v>
      </c>
      <c r="R14" s="169">
        <v>0</v>
      </c>
      <c r="S14" s="169">
        <v>0</v>
      </c>
      <c r="T14" s="171">
        <v>0</v>
      </c>
      <c r="U14" s="145">
        <v>0</v>
      </c>
      <c r="V14" s="172">
        <v>0</v>
      </c>
      <c r="W14" s="293">
        <f t="shared" si="7"/>
        <v>0</v>
      </c>
      <c r="X14" s="170">
        <f ca="1">FV(V14/12,DATEDIF(P14,'Cap Table'!R$61,"m"),0,-S14)</f>
        <v>0</v>
      </c>
      <c r="Y14" s="170">
        <f t="shared" ca="1" si="8"/>
        <v>0</v>
      </c>
      <c r="Z14" s="146">
        <f t="shared" ca="1" si="9"/>
        <v>0</v>
      </c>
      <c r="AA14" s="149">
        <f ca="1">IF(AND('Cap Table'!R$63=0,X14&gt;0),U14/'Cap Table'!R$62,IFERROR(IF(U14=0,'Cap Table'!R$63*(1-T14),MIN('Cap Table'!R$63*(1-T14),U14/'Cap Table'!R$62)),0))</f>
        <v>0</v>
      </c>
      <c r="AB14" s="170">
        <f t="shared" ca="1" si="83"/>
        <v>0</v>
      </c>
      <c r="AC14" s="170">
        <v>0</v>
      </c>
      <c r="AD14" s="146">
        <f t="shared" ca="1" si="10"/>
        <v>0</v>
      </c>
      <c r="AE14" s="146">
        <f t="shared" si="11"/>
        <v>0</v>
      </c>
      <c r="AF14" s="146">
        <f t="shared" ca="1" si="84"/>
        <v>0</v>
      </c>
      <c r="AG14" s="147">
        <f t="shared" ca="1" si="12"/>
        <v>0</v>
      </c>
      <c r="AH14" s="146">
        <f ca="1">AF14*'Cap Table'!R$63</f>
        <v>0</v>
      </c>
      <c r="AI14" s="146">
        <f ca="1">IFERROR(IF(OR(Q14='Cap Table'!$B$40,Q14='Cap Table'!$B$41,Q14='Cap Table'!$B$42,Q14='Cap Table'!$B$43),IF(SUM(S14)&lt;SUM(R14),(FV(V14/12,DATEDIF(P14,'Cap Table'!R$61,"m"),0,-R14))/(U14/'Cap Table'!$R$62)/IF(Q14=$B$42,(1-W$29),1),AF14),AF14),0)</f>
        <v>0</v>
      </c>
      <c r="AJ14" s="147">
        <f t="shared" ca="1" si="13"/>
        <v>0</v>
      </c>
      <c r="AL14" s="168">
        <f t="shared" ca="1" si="14"/>
        <v>44551</v>
      </c>
      <c r="AM14" s="168" t="str">
        <f t="shared" si="15"/>
        <v>Equity</v>
      </c>
      <c r="AN14" s="169">
        <v>0</v>
      </c>
      <c r="AO14" s="169">
        <f>IF('Cap Table'!AN$80&lt;&gt;"na",IF(OR(Q14='Cap Table'!$B$40,Q14='Cap Table'!$B$41,Q14='Cap Table'!$B$42),R14-S14,0),0)</f>
        <v>0</v>
      </c>
      <c r="AP14" s="171">
        <f t="shared" si="16"/>
        <v>0</v>
      </c>
      <c r="AQ14" s="169">
        <f t="shared" si="17"/>
        <v>0</v>
      </c>
      <c r="AR14" s="172">
        <f t="shared" si="18"/>
        <v>0</v>
      </c>
      <c r="AS14" s="293">
        <f t="shared" si="19"/>
        <v>0</v>
      </c>
      <c r="AT14" s="170">
        <f ca="1">FV(AR14/12,DATEDIF(AL14,'Cap Table'!AN$61,"m"),0,-AO14)</f>
        <v>0</v>
      </c>
      <c r="AU14" s="170">
        <f ca="1">IF('Cap Table'!AN$81="no",IFERROR(AT14/(1-AP14),0),IFERROR(AT14/(1-(MAX(AP14,IF(AQ14=0,0,('Cap Table'!AN$63-AQ14/'Cap Table'!AN$62)/'Cap Table'!AN$63)))),0))</f>
        <v>0</v>
      </c>
      <c r="AV14" s="146">
        <f t="shared" ca="1" si="20"/>
        <v>0</v>
      </c>
      <c r="AW14" s="149">
        <f ca="1">IF(AND('Cap Table'!AN$63=0,AT14&gt;0),AQ14/IF(AM14=$B$42,AI$56,'Cap Table'!AN$62),IFERROR(IF(AQ14=0,'Cap Table'!AN$63*(1-AP14),MIN('Cap Table'!AN$63*(1-AP14),AQ14/IF(AM14=$B$42,AI$56,'Cap Table'!AN$62))),0))</f>
        <v>0</v>
      </c>
      <c r="AX14" s="170">
        <f t="shared" ca="1" si="85"/>
        <v>0</v>
      </c>
      <c r="AY14" s="170">
        <v>0</v>
      </c>
      <c r="AZ14" s="146">
        <f t="shared" ca="1" si="21"/>
        <v>0</v>
      </c>
      <c r="BA14" s="146">
        <f t="shared" si="22"/>
        <v>0</v>
      </c>
      <c r="BB14" s="146">
        <f t="shared" ca="1" si="86"/>
        <v>0</v>
      </c>
      <c r="BC14" s="147">
        <f t="shared" ca="1" si="23"/>
        <v>0</v>
      </c>
      <c r="BD14" s="146">
        <f ca="1">BB14*'Cap Table'!AN$63</f>
        <v>0</v>
      </c>
      <c r="BE14" s="173">
        <f ca="1">IFERROR(IF(OR(AM14='Cap Table'!$B$40,AM14='Cap Table'!$B$41,AM14='Cap Table'!$B$42,AM14='Cap Table'!$B$43),IF(SUM(AO14,S14)&lt;SUM(AN14,R14),FV(MAX(AR14,V14)/12,DATEDIF(AL14,'Cap Table'!$AN$61,"m"),0,-MAX(AN14,R14))/(MAX(AQ14,U14)/'Cap Table'!$AN$62)/IF(AM14=$B$42,(1-MAX(W35,AS$29)),1),BB14),BB14),0)</f>
        <v>0</v>
      </c>
      <c r="BF14" s="147">
        <f t="shared" ca="1" si="24"/>
        <v>0</v>
      </c>
      <c r="BH14" s="168">
        <f t="shared" ca="1" si="25"/>
        <v>44916</v>
      </c>
      <c r="BI14" s="168" t="str">
        <f t="shared" si="87"/>
        <v>Equity</v>
      </c>
      <c r="BJ14" s="169">
        <v>0</v>
      </c>
      <c r="BK14" s="169">
        <f>IF('Cap Table'!BJ$80&lt;&gt;"na",IF(OR(AM14='Cap Table'!$B$40,AM14='Cap Table'!$B$41,AM14='Cap Table'!$B$42),AN14-AO14,0),0)</f>
        <v>0</v>
      </c>
      <c r="BL14" s="171">
        <f t="shared" si="26"/>
        <v>0</v>
      </c>
      <c r="BM14" s="169">
        <f t="shared" si="27"/>
        <v>0</v>
      </c>
      <c r="BN14" s="172">
        <f t="shared" si="28"/>
        <v>0</v>
      </c>
      <c r="BO14" s="293">
        <f t="shared" si="29"/>
        <v>0</v>
      </c>
      <c r="BP14" s="170">
        <f ca="1">FV(BN14/12,DATEDIF(BH14,'Cap Table'!BJ$61,"m"),0,-BK14)</f>
        <v>0</v>
      </c>
      <c r="BQ14" s="170">
        <f ca="1">IF('Cap Table'!BJ$81="no",IFERROR(BP14/(1-BL14),0),IFERROR(BP14/(1-(MAX(BL14,IF(BM14=0,0,('Cap Table'!BJ$63-BM14/'Cap Table'!BJ$62)/'Cap Table'!BJ$63)))),0))</f>
        <v>0</v>
      </c>
      <c r="BR14" s="146">
        <f t="shared" ca="1" si="30"/>
        <v>0</v>
      </c>
      <c r="BS14" s="149">
        <f ca="1">IF(AND('Cap Table'!BJ$63=0,BP14&gt;0),BM14/IF(BI14=$B$42,BE$56,'Cap Table'!BJ$62),IFERROR(IF(BM14=0,'Cap Table'!BJ$63*(1-BL14),MIN('Cap Table'!BJ$63*(1-BL14),BM14/IF(BI14=$B$42,BE$56,'Cap Table'!BJ$62))),0))</f>
        <v>0</v>
      </c>
      <c r="BT14" s="170">
        <f t="shared" ca="1" si="88"/>
        <v>0</v>
      </c>
      <c r="BU14" s="170">
        <v>0</v>
      </c>
      <c r="BV14" s="146">
        <f t="shared" ca="1" si="31"/>
        <v>0</v>
      </c>
      <c r="BW14" s="146">
        <f t="shared" si="32"/>
        <v>0</v>
      </c>
      <c r="BX14" s="146">
        <f t="shared" ca="1" si="89"/>
        <v>0</v>
      </c>
      <c r="BY14" s="147">
        <f t="shared" ca="1" si="33"/>
        <v>0</v>
      </c>
      <c r="BZ14" s="146">
        <f ca="1">BX14*'Cap Table'!BJ$63</f>
        <v>0</v>
      </c>
      <c r="CA14" s="173">
        <f ca="1">IFERROR(IF(OR(BI14='Cap Table'!$B$40,BI14='Cap Table'!$B$41,BI14='Cap Table'!$B$42,BI14='Cap Table'!$B$43),IF(SUM(BK14,AO14,S14)&lt;SUM(BJ14,AN14,R14),FV(MAX(BN14,AR14,V14)/12,DATEDIF(BH14,'Cap Table'!$BJ$61,"m"),0,-MAX(BJ14,AN14,R14))/(MAX(BM14,AQ14,U14)/'Cap Table'!$BJ$62)/IF(BI14=$B$42,(1-MAX(BO$29,AS$29,W$29)),1),BX14),BX14),0)</f>
        <v>0</v>
      </c>
      <c r="CB14" s="147">
        <f t="shared" ca="1" si="34"/>
        <v>0</v>
      </c>
      <c r="CD14" s="168">
        <f t="shared" ca="1" si="35"/>
        <v>45281</v>
      </c>
      <c r="CE14" s="168" t="str">
        <f t="shared" si="90"/>
        <v>Equity</v>
      </c>
      <c r="CF14" s="169">
        <v>0</v>
      </c>
      <c r="CG14" s="169">
        <f>IF('Cap Table'!CF$80&lt;&gt;"na",IF(OR(BI14='Cap Table'!$B$40,BI14='Cap Table'!$B$41,BI14='Cap Table'!$B$42),BJ14-BK14,0),0)</f>
        <v>0</v>
      </c>
      <c r="CH14" s="171">
        <f t="shared" si="36"/>
        <v>0</v>
      </c>
      <c r="CI14" s="169">
        <f t="shared" si="37"/>
        <v>0</v>
      </c>
      <c r="CJ14" s="172">
        <f t="shared" si="38"/>
        <v>0</v>
      </c>
      <c r="CK14" s="293">
        <f t="shared" si="39"/>
        <v>0</v>
      </c>
      <c r="CL14" s="170">
        <f ca="1">FV(CJ14/12,DATEDIF(CD14,'Cap Table'!CF$61,"m"),0,-CG14)</f>
        <v>0</v>
      </c>
      <c r="CM14" s="170">
        <f ca="1">IF('Cap Table'!CF$81="no",IFERROR(CL14/(1-CH14),0),IFERROR(CL14/(1-(MAX(CH14,IF(CI14=0,0,('Cap Table'!CF$63-CI14/'Cap Table'!CF$62)/'Cap Table'!CF$63)))),0))</f>
        <v>0</v>
      </c>
      <c r="CN14" s="146">
        <f t="shared" ca="1" si="40"/>
        <v>0</v>
      </c>
      <c r="CO14" s="149">
        <f ca="1">IF(AND('Cap Table'!CF$63=0,CL14&gt;0),CI14/IF(CE14=$B$42,CA$56,'Cap Table'!CF$62),IFERROR(IF(CI14=0,'Cap Table'!CF$63*(1-CH14),MIN('Cap Table'!CF$63*(1-CH14),CI14/IF(CE14=$B$42,CA$56,'Cap Table'!CF$62))),0))</f>
        <v>0</v>
      </c>
      <c r="CP14" s="170">
        <f t="shared" ca="1" si="91"/>
        <v>0</v>
      </c>
      <c r="CQ14" s="170">
        <v>0</v>
      </c>
      <c r="CR14" s="146">
        <f t="shared" ca="1" si="41"/>
        <v>0</v>
      </c>
      <c r="CS14" s="146">
        <f t="shared" si="42"/>
        <v>0</v>
      </c>
      <c r="CT14" s="146">
        <f t="shared" ca="1" si="92"/>
        <v>0</v>
      </c>
      <c r="CU14" s="147">
        <f t="shared" ca="1" si="43"/>
        <v>0</v>
      </c>
      <c r="CV14" s="146">
        <f ca="1">CT14*'Cap Table'!CF$63</f>
        <v>0</v>
      </c>
      <c r="CW14" s="173">
        <f ca="1">IFERROR(IF(OR(CE14='Cap Table'!$B$40,CE14='Cap Table'!$B$41,CE14='Cap Table'!$B$42,CE14='Cap Table'!$B$43),IF(SUM(CG14,BK14,AO14,S14)&lt;SUM(CF14,BJ14,AN14,R14),FV(MAX(CJ14,BN14,AR14,V14)/12,DATEDIF(CD14,'Cap Table'!$CF$61,"m"),0,-MAX(CF14,BJ14,AN14,R14))/(MAX(CI14,BM14,AQ14,U14)/'Cap Table'!$CF$62)/IF(CE14=$B$42,(1-MAX(CK$29,BO$29,AS$29,W$29)),1),CT14),CT14),0)</f>
        <v>0</v>
      </c>
      <c r="CX14" s="147">
        <f t="shared" ca="1" si="44"/>
        <v>0</v>
      </c>
      <c r="CZ14" s="168">
        <f t="shared" ca="1" si="45"/>
        <v>45647</v>
      </c>
      <c r="DA14" s="168" t="str">
        <f t="shared" si="93"/>
        <v>Equity</v>
      </c>
      <c r="DB14" s="169">
        <v>0</v>
      </c>
      <c r="DC14" s="169">
        <f>IF('Cap Table'!DB$80&lt;&gt;"na",IF(OR(CE14='Cap Table'!$B$40,CE14='Cap Table'!$B$41,CE14='Cap Table'!$B$42),CF14-CG14,0),0)</f>
        <v>0</v>
      </c>
      <c r="DD14" s="171">
        <f t="shared" si="46"/>
        <v>0</v>
      </c>
      <c r="DE14" s="169">
        <f t="shared" si="47"/>
        <v>0</v>
      </c>
      <c r="DF14" s="172">
        <f t="shared" si="48"/>
        <v>0</v>
      </c>
      <c r="DG14" s="293">
        <f t="shared" si="49"/>
        <v>0</v>
      </c>
      <c r="DH14" s="170">
        <f ca="1">FV(DF14/12,DATEDIF(CZ14,'Cap Table'!DB$61,"m"),0,-DC14)</f>
        <v>0</v>
      </c>
      <c r="DI14" s="170">
        <f ca="1">IF('Cap Table'!DB$81="no",IFERROR(DH14/(1-DD14),0),IFERROR(DH14/(1-(MAX(DD14,IF(DE14=0,0,('Cap Table'!DB$63-DE14/'Cap Table'!DB$62)/'Cap Table'!DB$63)))),0))</f>
        <v>0</v>
      </c>
      <c r="DJ14" s="146">
        <f t="shared" ca="1" si="50"/>
        <v>0</v>
      </c>
      <c r="DK14" s="149">
        <f ca="1">IF(AND('Cap Table'!DB$63=0,DH14&gt;0),DE14/'Cap Table'!DB$62,IFERROR(IF(DE14=0,'Cap Table'!DB$63*(1-DD14),MIN('Cap Table'!DB$63*(1-DD14),DE14/'Cap Table'!DB$62)),0))</f>
        <v>0</v>
      </c>
      <c r="DL14" s="170">
        <f t="shared" ca="1" si="94"/>
        <v>0</v>
      </c>
      <c r="DM14" s="170">
        <v>0</v>
      </c>
      <c r="DN14" s="146">
        <f t="shared" ca="1" si="51"/>
        <v>0</v>
      </c>
      <c r="DO14" s="146">
        <f t="shared" si="52"/>
        <v>0</v>
      </c>
      <c r="DP14" s="146">
        <f t="shared" ca="1" si="95"/>
        <v>0</v>
      </c>
      <c r="DQ14" s="147">
        <f t="shared" ca="1" si="53"/>
        <v>0</v>
      </c>
      <c r="DR14" s="146">
        <f ca="1">DP14*'Cap Table'!DB$63</f>
        <v>0</v>
      </c>
      <c r="DS14" s="173">
        <f ca="1">IFERROR(IF(OR(DA14='Cap Table'!$B$40,DA14='Cap Table'!$B$41,DA14='Cap Table'!$B$42,DA14='Cap Table'!$B$43),IF(SUM(DC14,CG14,BK14,AO14,S14,)&lt;SUM(DB14,CF14,BJ14,AN14,R14),FV(MAX(DF14,CJ14,BN14,AR14,V14)/12,DATEDIF(CZ14,'Cap Table'!$DB$61,"m"),0,-MAX(DB14,CF14,BJ14,AN14,R14))/(MAX(DE14,CI14,BM14,AQ14,U14,)/'Cap Table'!$DB$62)/IF(DA14=$B$42,(1-MAX(DG$29,CK$29,BO$29,AS$29,W$29)),1),DP14),DP14),0)</f>
        <v>0</v>
      </c>
      <c r="DT14" s="147">
        <f t="shared" ca="1" si="54"/>
        <v>0</v>
      </c>
      <c r="DV14" s="168">
        <f t="shared" ca="1" si="55"/>
        <v>46012</v>
      </c>
      <c r="DW14" s="168" t="str">
        <f t="shared" si="96"/>
        <v>Equity</v>
      </c>
      <c r="DX14" s="169">
        <v>0</v>
      </c>
      <c r="DY14" s="169">
        <f>IF('Cap Table'!DX$80&lt;&gt;"na",IF(OR(DA14='Cap Table'!$B$40,DA14='Cap Table'!$B$41,DA14='Cap Table'!$B$42),DB14-DC14,0),0)</f>
        <v>0</v>
      </c>
      <c r="DZ14" s="171">
        <f t="shared" si="102"/>
        <v>0</v>
      </c>
      <c r="EA14" s="169">
        <f t="shared" si="103"/>
        <v>0</v>
      </c>
      <c r="EB14" s="172">
        <f t="shared" si="104"/>
        <v>0</v>
      </c>
      <c r="EC14" s="293">
        <f t="shared" si="59"/>
        <v>0</v>
      </c>
      <c r="ED14" s="170">
        <f ca="1">FV(EB14/12,DATEDIF(DV14,'Cap Table'!DX$61,"m"),0,-DY14)</f>
        <v>0</v>
      </c>
      <c r="EE14" s="170">
        <f ca="1">IF('Cap Table'!DX$81="no",IFERROR(ED14/(1-DZ14),0),IFERROR(ED14/(1-(MAX(DZ14,IF(EA14=0,0,('Cap Table'!DX$63-EA14/'Cap Table'!DX$62)/'Cap Table'!DX$63)))),0))</f>
        <v>0</v>
      </c>
      <c r="EF14" s="146">
        <f t="shared" ca="1" si="60"/>
        <v>0</v>
      </c>
      <c r="EG14" s="149">
        <f ca="1">IF(AND('Cap Table'!DX$63=0,ED14&gt;0),EA14/IF(DA14=$B$42,DS$56,'Cap Table'!DX$62),IFERROR(IF(EA14=0,'Cap Table'!DX$63*(1-DZ14),MIN('Cap Table'!DX$63*(1-DZ14),EA14/IF(DA14=$B$42,DS$56,'Cap Table'!DX$62))),0))</f>
        <v>0</v>
      </c>
      <c r="EH14" s="170">
        <f t="shared" ca="1" si="97"/>
        <v>0</v>
      </c>
      <c r="EI14" s="170">
        <v>0</v>
      </c>
      <c r="EJ14" s="146">
        <f t="shared" ca="1" si="98"/>
        <v>0</v>
      </c>
      <c r="EK14" s="146">
        <f t="shared" si="61"/>
        <v>0</v>
      </c>
      <c r="EL14" s="146">
        <f t="shared" ca="1" si="99"/>
        <v>0</v>
      </c>
      <c r="EM14" s="147">
        <f t="shared" ca="1" si="62"/>
        <v>0</v>
      </c>
      <c r="EN14" s="146">
        <f ca="1">EL14*'Cap Table'!DX$63</f>
        <v>0</v>
      </c>
      <c r="EO14" s="173">
        <f ca="1">IFERROR(IF(OR(DW14='Cap Table'!$B$40,DW14='Cap Table'!$B$41,DW14='Cap Table'!$B$42,DW14='Cap Table'!$B$43),IF(SUM(DY14,DC14,CG14,BK14,AO14,S14)&lt;SUM(DX14,DB14,CF14,BJ14,AN14,R14),FV(MAX(EB14,DF14,CJ14,BN14,AR14,V14)/12,DATEDIF(DV14,'Cap Table'!DX$61,"m"),0,-MAX(DX14,DB14,CF14,BJ14,AN14,R14))/(MAX(EA14,DE14,CI14,BM14,AQ14,U14)/'Cap Table'!$DX$62)/IF(DW14=$B$42,(1-MAX(EC$29,DG$29,CK$29,BO$29,AS$29,W$29)),1),EL14),EL14),0)</f>
        <v>0</v>
      </c>
      <c r="EP14" s="147">
        <f t="shared" ca="1" si="63"/>
        <v>0</v>
      </c>
      <c r="ER14" s="146">
        <f t="shared" si="64"/>
        <v>0</v>
      </c>
      <c r="ES14" s="146">
        <f t="shared" si="65"/>
        <v>0</v>
      </c>
      <c r="ET14" s="174" t="s">
        <v>27</v>
      </c>
      <c r="EU14" s="174" t="s">
        <v>27</v>
      </c>
      <c r="EV14" s="174" t="s">
        <v>27</v>
      </c>
      <c r="EW14" s="146">
        <f t="shared" ca="1" si="66"/>
        <v>0</v>
      </c>
      <c r="EX14" s="146">
        <f t="shared" ca="1" si="67"/>
        <v>0</v>
      </c>
      <c r="EY14" s="146">
        <f t="shared" ca="1" si="68"/>
        <v>0</v>
      </c>
      <c r="EZ14" s="149">
        <f t="shared" ca="1" si="105"/>
        <v>0</v>
      </c>
      <c r="FA14" s="146">
        <f t="shared" ca="1" si="69"/>
        <v>0</v>
      </c>
      <c r="FB14" s="146">
        <f t="shared" si="70"/>
        <v>0</v>
      </c>
      <c r="FC14" s="146">
        <f t="shared" ca="1" si="100"/>
        <v>0</v>
      </c>
      <c r="FD14" s="146">
        <f t="shared" si="100"/>
        <v>0</v>
      </c>
      <c r="FE14" s="146">
        <f t="shared" ca="1" si="100"/>
        <v>0</v>
      </c>
      <c r="FF14" s="147">
        <f t="shared" ca="1" si="71"/>
        <v>0</v>
      </c>
      <c r="FG14" s="146">
        <f t="shared" ca="1" si="101"/>
        <v>0</v>
      </c>
      <c r="FH14" s="146">
        <f t="shared" ca="1" si="101"/>
        <v>0</v>
      </c>
      <c r="FI14" s="147">
        <f t="shared" ca="1" si="72"/>
        <v>0</v>
      </c>
      <c r="FK14" s="149" t="str">
        <f t="shared" si="0"/>
        <v>Common</v>
      </c>
      <c r="FL14" s="146">
        <f t="shared" ca="1" si="73"/>
        <v>0</v>
      </c>
      <c r="FM14" s="146">
        <f t="shared" ca="1" si="74"/>
        <v>0</v>
      </c>
      <c r="FN14" s="146">
        <f t="shared" ca="1" si="75"/>
        <v>0</v>
      </c>
      <c r="FP14" s="146" t="str">
        <f t="shared" si="76"/>
        <v>Common</v>
      </c>
      <c r="FQ14" s="174" t="str">
        <f t="shared" ca="1" si="77"/>
        <v>na</v>
      </c>
      <c r="FR14" s="174" t="str">
        <f t="shared" ca="1" si="78"/>
        <v>na</v>
      </c>
      <c r="FS14" s="174" t="str">
        <f t="shared" ca="1" si="79"/>
        <v>na</v>
      </c>
    </row>
    <row r="15" spans="2:175">
      <c r="B15" s="145" t="s">
        <v>27</v>
      </c>
      <c r="D15" s="167" t="s">
        <v>27</v>
      </c>
      <c r="E15" s="167" t="str">
        <f t="shared" si="80"/>
        <v>Common</v>
      </c>
      <c r="G15" s="168">
        <f t="shared" ca="1" si="1"/>
        <v>43820</v>
      </c>
      <c r="H15" s="289" t="str">
        <f t="shared" si="2"/>
        <v>Equity</v>
      </c>
      <c r="I15" s="169">
        <v>0</v>
      </c>
      <c r="J15" s="170">
        <v>0</v>
      </c>
      <c r="K15" s="170">
        <f t="shared" si="81"/>
        <v>0</v>
      </c>
      <c r="L15" s="147">
        <f t="shared" si="3"/>
        <v>0</v>
      </c>
      <c r="M15" s="170">
        <f t="shared" si="82"/>
        <v>0</v>
      </c>
      <c r="N15" s="147">
        <f t="shared" si="4"/>
        <v>0</v>
      </c>
      <c r="O15" s="147"/>
      <c r="P15" s="168">
        <f t="shared" ca="1" si="5"/>
        <v>44186</v>
      </c>
      <c r="Q15" s="289" t="str">
        <f t="shared" si="6"/>
        <v>Equity</v>
      </c>
      <c r="R15" s="169">
        <v>0</v>
      </c>
      <c r="S15" s="169">
        <v>0</v>
      </c>
      <c r="T15" s="171">
        <v>0</v>
      </c>
      <c r="U15" s="145">
        <v>0</v>
      </c>
      <c r="V15" s="172">
        <v>0</v>
      </c>
      <c r="W15" s="293">
        <f t="shared" si="7"/>
        <v>0</v>
      </c>
      <c r="X15" s="170">
        <f ca="1">FV(V15/12,DATEDIF(P15,'Cap Table'!R$61,"m"),0,-S15)</f>
        <v>0</v>
      </c>
      <c r="Y15" s="170">
        <f t="shared" ca="1" si="8"/>
        <v>0</v>
      </c>
      <c r="Z15" s="146">
        <f t="shared" ca="1" si="9"/>
        <v>0</v>
      </c>
      <c r="AA15" s="149">
        <f ca="1">IF(AND('Cap Table'!R$63=0,X15&gt;0),U15/'Cap Table'!R$62,IFERROR(IF(U15=0,'Cap Table'!R$63*(1-T15),MIN('Cap Table'!R$63*(1-T15),U15/'Cap Table'!R$62)),0))</f>
        <v>0</v>
      </c>
      <c r="AB15" s="170">
        <f t="shared" ca="1" si="83"/>
        <v>0</v>
      </c>
      <c r="AC15" s="170">
        <v>0</v>
      </c>
      <c r="AD15" s="146">
        <f t="shared" ca="1" si="10"/>
        <v>0</v>
      </c>
      <c r="AE15" s="146">
        <f t="shared" si="11"/>
        <v>0</v>
      </c>
      <c r="AF15" s="146">
        <f t="shared" ca="1" si="84"/>
        <v>0</v>
      </c>
      <c r="AG15" s="147">
        <f t="shared" ca="1" si="12"/>
        <v>0</v>
      </c>
      <c r="AH15" s="146">
        <f ca="1">AF15*'Cap Table'!R$63</f>
        <v>0</v>
      </c>
      <c r="AI15" s="146">
        <f ca="1">IFERROR(IF(OR(Q15='Cap Table'!$B$40,Q15='Cap Table'!$B$41,Q15='Cap Table'!$B$42,Q15='Cap Table'!$B$43),IF(SUM(S15)&lt;SUM(R15),(FV(V15/12,DATEDIF(P15,'Cap Table'!R$61,"m"),0,-R15))/(U15/'Cap Table'!$R$62)/IF(Q15=$B$42,(1-W$29),1),AF15),AF15),0)</f>
        <v>0</v>
      </c>
      <c r="AJ15" s="147">
        <f t="shared" ca="1" si="13"/>
        <v>0</v>
      </c>
      <c r="AL15" s="168">
        <f t="shared" ca="1" si="14"/>
        <v>44551</v>
      </c>
      <c r="AM15" s="168" t="str">
        <f t="shared" si="15"/>
        <v>Equity</v>
      </c>
      <c r="AN15" s="169">
        <v>0</v>
      </c>
      <c r="AO15" s="169">
        <f>IF('Cap Table'!AN$80&lt;&gt;"na",IF(OR(Q15='Cap Table'!$B$40,Q15='Cap Table'!$B$41,Q15='Cap Table'!$B$42),R15-S15,0),0)</f>
        <v>0</v>
      </c>
      <c r="AP15" s="171">
        <f t="shared" si="16"/>
        <v>0</v>
      </c>
      <c r="AQ15" s="169">
        <f t="shared" si="17"/>
        <v>0</v>
      </c>
      <c r="AR15" s="172">
        <f t="shared" si="18"/>
        <v>0</v>
      </c>
      <c r="AS15" s="293">
        <f t="shared" si="19"/>
        <v>0</v>
      </c>
      <c r="AT15" s="170">
        <f ca="1">FV(AR15/12,DATEDIF(AL15,'Cap Table'!AN$61,"m"),0,-AO15)</f>
        <v>0</v>
      </c>
      <c r="AU15" s="170">
        <f ca="1">IF('Cap Table'!AN$81="no",IFERROR(AT15/(1-AP15),0),IFERROR(AT15/(1-(MAX(AP15,IF(AQ15=0,0,('Cap Table'!AN$63-AQ15/'Cap Table'!AN$62)/'Cap Table'!AN$63)))),0))</f>
        <v>0</v>
      </c>
      <c r="AV15" s="146">
        <f t="shared" ca="1" si="20"/>
        <v>0</v>
      </c>
      <c r="AW15" s="149">
        <f ca="1">IF(AND('Cap Table'!AN$63=0,AT15&gt;0),AQ15/IF(AM15=$B$42,AI$56,'Cap Table'!AN$62),IFERROR(IF(AQ15=0,'Cap Table'!AN$63*(1-AP15),MIN('Cap Table'!AN$63*(1-AP15),AQ15/IF(AM15=$B$42,AI$56,'Cap Table'!AN$62))),0))</f>
        <v>0</v>
      </c>
      <c r="AX15" s="170">
        <f t="shared" ca="1" si="85"/>
        <v>0</v>
      </c>
      <c r="AY15" s="170">
        <v>0</v>
      </c>
      <c r="AZ15" s="146">
        <f t="shared" ca="1" si="21"/>
        <v>0</v>
      </c>
      <c r="BA15" s="146">
        <f t="shared" si="22"/>
        <v>0</v>
      </c>
      <c r="BB15" s="146">
        <f t="shared" ca="1" si="86"/>
        <v>0</v>
      </c>
      <c r="BC15" s="147">
        <f t="shared" ca="1" si="23"/>
        <v>0</v>
      </c>
      <c r="BD15" s="146">
        <f ca="1">BB15*'Cap Table'!AN$63</f>
        <v>0</v>
      </c>
      <c r="BE15" s="173">
        <f ca="1">IFERROR(IF(OR(AM15='Cap Table'!$B$40,AM15='Cap Table'!$B$41,AM15='Cap Table'!$B$42,AM15='Cap Table'!$B$43),IF(SUM(AO15,S15)&lt;SUM(AN15,R15),FV(MAX(AR15,V15)/12,DATEDIF(AL15,'Cap Table'!$AN$61,"m"),0,-MAX(AN15,R15))/(MAX(AQ15,U15)/'Cap Table'!$AN$62)/IF(AM15=$B$42,(1-MAX(W36,AS$29)),1),BB15),BB15),0)</f>
        <v>0</v>
      </c>
      <c r="BF15" s="147">
        <f t="shared" ca="1" si="24"/>
        <v>0</v>
      </c>
      <c r="BH15" s="168">
        <f t="shared" ca="1" si="25"/>
        <v>44916</v>
      </c>
      <c r="BI15" s="168" t="str">
        <f t="shared" si="87"/>
        <v>Equity</v>
      </c>
      <c r="BJ15" s="169">
        <v>0</v>
      </c>
      <c r="BK15" s="169">
        <f>IF('Cap Table'!BJ$80&lt;&gt;"na",IF(OR(AM15='Cap Table'!$B$40,AM15='Cap Table'!$B$41,AM15='Cap Table'!$B$42),AN15-AO15,0),0)</f>
        <v>0</v>
      </c>
      <c r="BL15" s="171">
        <f t="shared" si="26"/>
        <v>0</v>
      </c>
      <c r="BM15" s="169">
        <f t="shared" si="27"/>
        <v>0</v>
      </c>
      <c r="BN15" s="172">
        <f t="shared" si="28"/>
        <v>0</v>
      </c>
      <c r="BO15" s="293">
        <f t="shared" si="29"/>
        <v>0</v>
      </c>
      <c r="BP15" s="170">
        <f ca="1">FV(BN15/12,DATEDIF(BH15,'Cap Table'!BJ$61,"m"),0,-BK15)</f>
        <v>0</v>
      </c>
      <c r="BQ15" s="170">
        <f ca="1">IF('Cap Table'!BJ$81="no",IFERROR(BP15/(1-BL15),0),IFERROR(BP15/(1-(MAX(BL15,IF(BM15=0,0,('Cap Table'!BJ$63-BM15/'Cap Table'!BJ$62)/'Cap Table'!BJ$63)))),0))</f>
        <v>0</v>
      </c>
      <c r="BR15" s="146">
        <f t="shared" ca="1" si="30"/>
        <v>0</v>
      </c>
      <c r="BS15" s="149">
        <f ca="1">IF(AND('Cap Table'!BJ$63=0,BP15&gt;0),BM15/IF(BI15=$B$42,BE$56,'Cap Table'!BJ$62),IFERROR(IF(BM15=0,'Cap Table'!BJ$63*(1-BL15),MIN('Cap Table'!BJ$63*(1-BL15),BM15/IF(BI15=$B$42,BE$56,'Cap Table'!BJ$62))),0))</f>
        <v>0</v>
      </c>
      <c r="BT15" s="170">
        <f t="shared" ca="1" si="88"/>
        <v>0</v>
      </c>
      <c r="BU15" s="170">
        <v>0</v>
      </c>
      <c r="BV15" s="146">
        <f t="shared" ca="1" si="31"/>
        <v>0</v>
      </c>
      <c r="BW15" s="146">
        <f t="shared" si="32"/>
        <v>0</v>
      </c>
      <c r="BX15" s="146">
        <f t="shared" ca="1" si="89"/>
        <v>0</v>
      </c>
      <c r="BY15" s="147">
        <f t="shared" ca="1" si="33"/>
        <v>0</v>
      </c>
      <c r="BZ15" s="146">
        <f ca="1">BX15*'Cap Table'!BJ$63</f>
        <v>0</v>
      </c>
      <c r="CA15" s="173">
        <f ca="1">IFERROR(IF(OR(BI15='Cap Table'!$B$40,BI15='Cap Table'!$B$41,BI15='Cap Table'!$B$42,BI15='Cap Table'!$B$43),IF(SUM(BK15,AO15,S15)&lt;SUM(BJ15,AN15,R15),FV(MAX(BN15,AR15,V15)/12,DATEDIF(BH15,'Cap Table'!$BJ$61,"m"),0,-MAX(BJ15,AN15,R15))/(MAX(BM15,AQ15,U15)/'Cap Table'!$BJ$62)/IF(BI15=$B$42,(1-MAX(BO$29,AS$29,W$29)),1),BX15),BX15),0)</f>
        <v>0</v>
      </c>
      <c r="CB15" s="147">
        <f t="shared" ca="1" si="34"/>
        <v>0</v>
      </c>
      <c r="CD15" s="168">
        <f t="shared" ca="1" si="35"/>
        <v>45281</v>
      </c>
      <c r="CE15" s="168" t="str">
        <f t="shared" si="90"/>
        <v>Equity</v>
      </c>
      <c r="CF15" s="169">
        <v>0</v>
      </c>
      <c r="CG15" s="169">
        <f>IF('Cap Table'!CF$80&lt;&gt;"na",IF(OR(BI15='Cap Table'!$B$40,BI15='Cap Table'!$B$41,BI15='Cap Table'!$B$42),BJ15-BK15,0),0)</f>
        <v>0</v>
      </c>
      <c r="CH15" s="171">
        <f t="shared" si="36"/>
        <v>0</v>
      </c>
      <c r="CI15" s="169">
        <f t="shared" si="37"/>
        <v>0</v>
      </c>
      <c r="CJ15" s="172">
        <f t="shared" si="38"/>
        <v>0</v>
      </c>
      <c r="CK15" s="293">
        <f t="shared" si="39"/>
        <v>0</v>
      </c>
      <c r="CL15" s="170">
        <f ca="1">FV(CJ15/12,DATEDIF(CD15,'Cap Table'!CF$61,"m"),0,-CG15)</f>
        <v>0</v>
      </c>
      <c r="CM15" s="170">
        <f ca="1">IF('Cap Table'!CF$81="no",IFERROR(CL15/(1-CH15),0),IFERROR(CL15/(1-(MAX(CH15,IF(CI15=0,0,('Cap Table'!CF$63-CI15/'Cap Table'!CF$62)/'Cap Table'!CF$63)))),0))</f>
        <v>0</v>
      </c>
      <c r="CN15" s="146">
        <f t="shared" ca="1" si="40"/>
        <v>0</v>
      </c>
      <c r="CO15" s="149">
        <f ca="1">IF(AND('Cap Table'!CF$63=0,CL15&gt;0),CI15/IF(CE15=$B$42,CA$56,'Cap Table'!CF$62),IFERROR(IF(CI15=0,'Cap Table'!CF$63*(1-CH15),MIN('Cap Table'!CF$63*(1-CH15),CI15/IF(CE15=$B$42,CA$56,'Cap Table'!CF$62))),0))</f>
        <v>0</v>
      </c>
      <c r="CP15" s="170">
        <f t="shared" ca="1" si="91"/>
        <v>0</v>
      </c>
      <c r="CQ15" s="170">
        <v>0</v>
      </c>
      <c r="CR15" s="146">
        <f t="shared" ca="1" si="41"/>
        <v>0</v>
      </c>
      <c r="CS15" s="146">
        <f t="shared" si="42"/>
        <v>0</v>
      </c>
      <c r="CT15" s="146">
        <f t="shared" ca="1" si="92"/>
        <v>0</v>
      </c>
      <c r="CU15" s="147">
        <f t="shared" ca="1" si="43"/>
        <v>0</v>
      </c>
      <c r="CV15" s="146">
        <f ca="1">CT15*'Cap Table'!CF$63</f>
        <v>0</v>
      </c>
      <c r="CW15" s="173">
        <f ca="1">IFERROR(IF(OR(CE15='Cap Table'!$B$40,CE15='Cap Table'!$B$41,CE15='Cap Table'!$B$42,CE15='Cap Table'!$B$43),IF(SUM(CG15,BK15,AO15,S15)&lt;SUM(CF15,BJ15,AN15,R15),FV(MAX(CJ15,BN15,AR15,V15)/12,DATEDIF(CD15,'Cap Table'!$CF$61,"m"),0,-MAX(CF15,BJ15,AN15,R15))/(MAX(CI15,BM15,AQ15,U15)/'Cap Table'!$CF$62)/IF(CE15=$B$42,(1-MAX(CK$29,BO$29,AS$29,W$29)),1),CT15),CT15),0)</f>
        <v>0</v>
      </c>
      <c r="CX15" s="147">
        <f t="shared" ca="1" si="44"/>
        <v>0</v>
      </c>
      <c r="CZ15" s="168">
        <f t="shared" ca="1" si="45"/>
        <v>45647</v>
      </c>
      <c r="DA15" s="168" t="str">
        <f t="shared" si="93"/>
        <v>Equity</v>
      </c>
      <c r="DB15" s="169">
        <v>0</v>
      </c>
      <c r="DC15" s="169">
        <f>IF('Cap Table'!DB$80&lt;&gt;"na",IF(OR(CE15='Cap Table'!$B$40,CE15='Cap Table'!$B$41,CE15='Cap Table'!$B$42),CF15-CG15,0),0)</f>
        <v>0</v>
      </c>
      <c r="DD15" s="171">
        <f t="shared" si="46"/>
        <v>0</v>
      </c>
      <c r="DE15" s="169">
        <f t="shared" si="47"/>
        <v>0</v>
      </c>
      <c r="DF15" s="172">
        <f t="shared" si="48"/>
        <v>0</v>
      </c>
      <c r="DG15" s="293">
        <f t="shared" si="49"/>
        <v>0</v>
      </c>
      <c r="DH15" s="170">
        <f ca="1">FV(DF15/12,DATEDIF(CZ15,'Cap Table'!DB$61,"m"),0,-DC15)</f>
        <v>0</v>
      </c>
      <c r="DI15" s="170">
        <f ca="1">IF('Cap Table'!DB$81="no",IFERROR(DH15/(1-DD15),0),IFERROR(DH15/(1-(MAX(DD15,IF(DE15=0,0,('Cap Table'!DB$63-DE15/'Cap Table'!DB$62)/'Cap Table'!DB$63)))),0))</f>
        <v>0</v>
      </c>
      <c r="DJ15" s="146">
        <f t="shared" ca="1" si="50"/>
        <v>0</v>
      </c>
      <c r="DK15" s="149">
        <f ca="1">IF(AND('Cap Table'!DB$63=0,DH15&gt;0),DE15/'Cap Table'!DB$62,IFERROR(IF(DE15=0,'Cap Table'!DB$63*(1-DD15),MIN('Cap Table'!DB$63*(1-DD15),DE15/'Cap Table'!DB$62)),0))</f>
        <v>0</v>
      </c>
      <c r="DL15" s="170">
        <f t="shared" ca="1" si="94"/>
        <v>0</v>
      </c>
      <c r="DM15" s="170">
        <v>0</v>
      </c>
      <c r="DN15" s="146">
        <f t="shared" ca="1" si="51"/>
        <v>0</v>
      </c>
      <c r="DO15" s="146">
        <f t="shared" si="52"/>
        <v>0</v>
      </c>
      <c r="DP15" s="146">
        <f t="shared" ca="1" si="95"/>
        <v>0</v>
      </c>
      <c r="DQ15" s="147">
        <f t="shared" ca="1" si="53"/>
        <v>0</v>
      </c>
      <c r="DR15" s="146">
        <f ca="1">DP15*'Cap Table'!DB$63</f>
        <v>0</v>
      </c>
      <c r="DS15" s="173">
        <f ca="1">IFERROR(IF(OR(DA15='Cap Table'!$B$40,DA15='Cap Table'!$B$41,DA15='Cap Table'!$B$42,DA15='Cap Table'!$B$43),IF(SUM(DC15,CG15,BK15,AO15,S15,)&lt;SUM(DB15,CF15,BJ15,AN15,R15),FV(MAX(DF15,CJ15,BN15,AR15,V15)/12,DATEDIF(CZ15,'Cap Table'!$DB$61,"m"),0,-MAX(DB15,CF15,BJ15,AN15,R15))/(MAX(DE15,CI15,BM15,AQ15,U15,)/'Cap Table'!$DB$62)/IF(DA15=$B$42,(1-MAX(DG$29,CK$29,BO$29,AS$29,W$29)),1),DP15),DP15),0)</f>
        <v>0</v>
      </c>
      <c r="DT15" s="147">
        <f t="shared" ca="1" si="54"/>
        <v>0</v>
      </c>
      <c r="DV15" s="168">
        <f t="shared" ca="1" si="55"/>
        <v>46012</v>
      </c>
      <c r="DW15" s="168" t="str">
        <f t="shared" si="96"/>
        <v>Equity</v>
      </c>
      <c r="DX15" s="169">
        <v>0</v>
      </c>
      <c r="DY15" s="169">
        <f>IF('Cap Table'!DX$80&lt;&gt;"na",IF(OR(DA15='Cap Table'!$B$40,DA15='Cap Table'!$B$41,DA15='Cap Table'!$B$42),DB15-DC15,0),0)</f>
        <v>0</v>
      </c>
      <c r="DZ15" s="171">
        <f t="shared" si="102"/>
        <v>0</v>
      </c>
      <c r="EA15" s="169">
        <f t="shared" si="103"/>
        <v>0</v>
      </c>
      <c r="EB15" s="172">
        <f t="shared" si="104"/>
        <v>0</v>
      </c>
      <c r="EC15" s="293">
        <f t="shared" si="59"/>
        <v>0</v>
      </c>
      <c r="ED15" s="170">
        <f ca="1">FV(EB15/12,DATEDIF(DV15,'Cap Table'!DX$61,"m"),0,-DY15)</f>
        <v>0</v>
      </c>
      <c r="EE15" s="170">
        <f ca="1">IF('Cap Table'!DX$81="no",IFERROR(ED15/(1-DZ15),0),IFERROR(ED15/(1-(MAX(DZ15,IF(EA15=0,0,('Cap Table'!DX$63-EA15/'Cap Table'!DX$62)/'Cap Table'!DX$63)))),0))</f>
        <v>0</v>
      </c>
      <c r="EF15" s="146">
        <f t="shared" ca="1" si="60"/>
        <v>0</v>
      </c>
      <c r="EG15" s="149">
        <f ca="1">IF(AND('Cap Table'!DX$63=0,ED15&gt;0),EA15/IF(DA15=$B$42,DS$56,'Cap Table'!DX$62),IFERROR(IF(EA15=0,'Cap Table'!DX$63*(1-DZ15),MIN('Cap Table'!DX$63*(1-DZ15),EA15/IF(DA15=$B$42,DS$56,'Cap Table'!DX$62))),0))</f>
        <v>0</v>
      </c>
      <c r="EH15" s="170">
        <f t="shared" ca="1" si="97"/>
        <v>0</v>
      </c>
      <c r="EI15" s="170">
        <v>0</v>
      </c>
      <c r="EJ15" s="146">
        <f t="shared" ca="1" si="98"/>
        <v>0</v>
      </c>
      <c r="EK15" s="146">
        <f t="shared" si="61"/>
        <v>0</v>
      </c>
      <c r="EL15" s="146">
        <f t="shared" ca="1" si="99"/>
        <v>0</v>
      </c>
      <c r="EM15" s="147">
        <f t="shared" ca="1" si="62"/>
        <v>0</v>
      </c>
      <c r="EN15" s="146">
        <f ca="1">EL15*'Cap Table'!DX$63</f>
        <v>0</v>
      </c>
      <c r="EO15" s="173">
        <f ca="1">IFERROR(IF(OR(DW15='Cap Table'!$B$40,DW15='Cap Table'!$B$41,DW15='Cap Table'!$B$42,DW15='Cap Table'!$B$43),IF(SUM(DY15,DC15,CG15,BK15,AO15,S15)&lt;SUM(DX15,DB15,CF15,BJ15,AN15,R15),FV(MAX(EB15,DF15,CJ15,BN15,AR15,V15)/12,DATEDIF(DV15,'Cap Table'!DX$61,"m"),0,-MAX(DX15,DB15,CF15,BJ15,AN15,R15))/(MAX(EA15,DE15,CI15,BM15,AQ15,U15)/'Cap Table'!$DX$62)/IF(DW15=$B$42,(1-MAX(EC$29,DG$29,CK$29,BO$29,AS$29,W$29)),1),EL15),EL15),0)</f>
        <v>0</v>
      </c>
      <c r="EP15" s="147">
        <f t="shared" ca="1" si="63"/>
        <v>0</v>
      </c>
      <c r="ER15" s="146">
        <f t="shared" si="64"/>
        <v>0</v>
      </c>
      <c r="ES15" s="146">
        <f t="shared" si="65"/>
        <v>0</v>
      </c>
      <c r="ET15" s="174" t="s">
        <v>27</v>
      </c>
      <c r="EU15" s="174" t="s">
        <v>27</v>
      </c>
      <c r="EV15" s="174" t="s">
        <v>27</v>
      </c>
      <c r="EW15" s="146">
        <f t="shared" ca="1" si="66"/>
        <v>0</v>
      </c>
      <c r="EX15" s="146">
        <f t="shared" ca="1" si="67"/>
        <v>0</v>
      </c>
      <c r="EY15" s="146">
        <f t="shared" ca="1" si="68"/>
        <v>0</v>
      </c>
      <c r="EZ15" s="149">
        <f t="shared" ca="1" si="105"/>
        <v>0</v>
      </c>
      <c r="FA15" s="146">
        <f t="shared" ca="1" si="69"/>
        <v>0</v>
      </c>
      <c r="FB15" s="146">
        <f t="shared" si="70"/>
        <v>0</v>
      </c>
      <c r="FC15" s="146">
        <f t="shared" ca="1" si="100"/>
        <v>0</v>
      </c>
      <c r="FD15" s="146">
        <f t="shared" si="100"/>
        <v>0</v>
      </c>
      <c r="FE15" s="146">
        <f t="shared" ca="1" si="100"/>
        <v>0</v>
      </c>
      <c r="FF15" s="147">
        <f t="shared" ca="1" si="71"/>
        <v>0</v>
      </c>
      <c r="FG15" s="146">
        <f t="shared" ca="1" si="101"/>
        <v>0</v>
      </c>
      <c r="FH15" s="146">
        <f t="shared" ca="1" si="101"/>
        <v>0</v>
      </c>
      <c r="FI15" s="147">
        <f t="shared" ca="1" si="72"/>
        <v>0</v>
      </c>
      <c r="FK15" s="149" t="str">
        <f t="shared" si="0"/>
        <v>Common</v>
      </c>
      <c r="FL15" s="146">
        <f t="shared" ca="1" si="73"/>
        <v>0</v>
      </c>
      <c r="FM15" s="146">
        <f t="shared" ca="1" si="74"/>
        <v>0</v>
      </c>
      <c r="FN15" s="146">
        <f t="shared" ca="1" si="75"/>
        <v>0</v>
      </c>
      <c r="FP15" s="146" t="str">
        <f t="shared" si="76"/>
        <v>Common</v>
      </c>
      <c r="FQ15" s="174" t="str">
        <f t="shared" ca="1" si="77"/>
        <v>na</v>
      </c>
      <c r="FR15" s="174" t="str">
        <f t="shared" ca="1" si="78"/>
        <v>na</v>
      </c>
      <c r="FS15" s="174" t="str">
        <f t="shared" ca="1" si="79"/>
        <v>na</v>
      </c>
    </row>
    <row r="16" spans="2:175">
      <c r="B16" s="145" t="s">
        <v>27</v>
      </c>
      <c r="D16" s="167" t="s">
        <v>27</v>
      </c>
      <c r="E16" s="167" t="str">
        <f t="shared" si="80"/>
        <v>Common</v>
      </c>
      <c r="G16" s="168">
        <f t="shared" ca="1" si="1"/>
        <v>43820</v>
      </c>
      <c r="H16" s="289" t="str">
        <f t="shared" si="2"/>
        <v>Equity</v>
      </c>
      <c r="I16" s="169">
        <v>0</v>
      </c>
      <c r="J16" s="170">
        <v>0</v>
      </c>
      <c r="K16" s="170">
        <f t="shared" si="81"/>
        <v>0</v>
      </c>
      <c r="L16" s="147">
        <f t="shared" si="3"/>
        <v>0</v>
      </c>
      <c r="M16" s="170">
        <f t="shared" si="82"/>
        <v>0</v>
      </c>
      <c r="N16" s="147">
        <f t="shared" si="4"/>
        <v>0</v>
      </c>
      <c r="O16" s="147"/>
      <c r="P16" s="168">
        <f t="shared" ca="1" si="5"/>
        <v>44186</v>
      </c>
      <c r="Q16" s="289" t="str">
        <f t="shared" si="6"/>
        <v>Equity</v>
      </c>
      <c r="R16" s="169">
        <v>0</v>
      </c>
      <c r="S16" s="169">
        <v>0</v>
      </c>
      <c r="T16" s="171">
        <v>0</v>
      </c>
      <c r="U16" s="145">
        <v>0</v>
      </c>
      <c r="V16" s="172">
        <v>0</v>
      </c>
      <c r="W16" s="293">
        <f t="shared" si="7"/>
        <v>0</v>
      </c>
      <c r="X16" s="170">
        <f ca="1">FV(V16/12,DATEDIF(P16,'Cap Table'!R$61,"m"),0,-S16)</f>
        <v>0</v>
      </c>
      <c r="Y16" s="170">
        <f t="shared" ca="1" si="8"/>
        <v>0</v>
      </c>
      <c r="Z16" s="146">
        <f t="shared" ca="1" si="9"/>
        <v>0</v>
      </c>
      <c r="AA16" s="149">
        <f ca="1">IF(AND('Cap Table'!R$63=0,X16&gt;0),U16/'Cap Table'!R$62,IFERROR(IF(U16=0,'Cap Table'!R$63*(1-T16),MIN('Cap Table'!R$63*(1-T16),U16/'Cap Table'!R$62)),0))</f>
        <v>0</v>
      </c>
      <c r="AB16" s="170">
        <f t="shared" ca="1" si="83"/>
        <v>0</v>
      </c>
      <c r="AC16" s="170">
        <v>0</v>
      </c>
      <c r="AD16" s="146">
        <f t="shared" ca="1" si="10"/>
        <v>0</v>
      </c>
      <c r="AE16" s="146">
        <f t="shared" si="11"/>
        <v>0</v>
      </c>
      <c r="AF16" s="146">
        <f t="shared" ca="1" si="84"/>
        <v>0</v>
      </c>
      <c r="AG16" s="147">
        <f t="shared" ca="1" si="12"/>
        <v>0</v>
      </c>
      <c r="AH16" s="146">
        <f ca="1">AF16*'Cap Table'!R$63</f>
        <v>0</v>
      </c>
      <c r="AI16" s="146">
        <f ca="1">IFERROR(IF(OR(Q16='Cap Table'!$B$40,Q16='Cap Table'!$B$41,Q16='Cap Table'!$B$42,Q16='Cap Table'!$B$43),IF(SUM(S16)&lt;SUM(R16),(FV(V16/12,DATEDIF(P16,'Cap Table'!R$61,"m"),0,-R16))/(U16/'Cap Table'!$R$62)/IF(Q16=$B$42,(1-W$29),1),AF16),AF16),0)</f>
        <v>0</v>
      </c>
      <c r="AJ16" s="147">
        <f t="shared" ca="1" si="13"/>
        <v>0</v>
      </c>
      <c r="AL16" s="168">
        <f t="shared" ca="1" si="14"/>
        <v>44551</v>
      </c>
      <c r="AM16" s="168" t="str">
        <f t="shared" si="15"/>
        <v>Equity</v>
      </c>
      <c r="AN16" s="169">
        <v>0</v>
      </c>
      <c r="AO16" s="169">
        <f>IF('Cap Table'!AN$80&lt;&gt;"na",IF(OR(Q16='Cap Table'!$B$40,Q16='Cap Table'!$B$41,Q16='Cap Table'!$B$42),R16-S16,0),0)</f>
        <v>0</v>
      </c>
      <c r="AP16" s="171">
        <f t="shared" si="16"/>
        <v>0</v>
      </c>
      <c r="AQ16" s="169">
        <f t="shared" si="17"/>
        <v>0</v>
      </c>
      <c r="AR16" s="172">
        <f t="shared" si="18"/>
        <v>0</v>
      </c>
      <c r="AS16" s="293">
        <f t="shared" si="19"/>
        <v>0</v>
      </c>
      <c r="AT16" s="170">
        <f ca="1">FV(AR16/12,DATEDIF(AL16,'Cap Table'!AN$61,"m"),0,-AO16)</f>
        <v>0</v>
      </c>
      <c r="AU16" s="170">
        <f ca="1">IF('Cap Table'!AN$81="no",IFERROR(AT16/(1-AP16),0),IFERROR(AT16/(1-(MAX(AP16,IF(AQ16=0,0,('Cap Table'!AN$63-AQ16/'Cap Table'!AN$62)/'Cap Table'!AN$63)))),0))</f>
        <v>0</v>
      </c>
      <c r="AV16" s="146">
        <f t="shared" ca="1" si="20"/>
        <v>0</v>
      </c>
      <c r="AW16" s="149">
        <f ca="1">IF(AND('Cap Table'!AN$63=0,AT16&gt;0),AQ16/IF(AM16=$B$42,AI$56,'Cap Table'!AN$62),IFERROR(IF(AQ16=0,'Cap Table'!AN$63*(1-AP16),MIN('Cap Table'!AN$63*(1-AP16),AQ16/IF(AM16=$B$42,AI$56,'Cap Table'!AN$62))),0))</f>
        <v>0</v>
      </c>
      <c r="AX16" s="170">
        <f t="shared" ca="1" si="85"/>
        <v>0</v>
      </c>
      <c r="AY16" s="170">
        <v>0</v>
      </c>
      <c r="AZ16" s="146">
        <f t="shared" ca="1" si="21"/>
        <v>0</v>
      </c>
      <c r="BA16" s="146">
        <f t="shared" si="22"/>
        <v>0</v>
      </c>
      <c r="BB16" s="146">
        <f t="shared" ca="1" si="86"/>
        <v>0</v>
      </c>
      <c r="BC16" s="147">
        <f t="shared" ca="1" si="23"/>
        <v>0</v>
      </c>
      <c r="BD16" s="146">
        <f ca="1">BB16*'Cap Table'!AN$63</f>
        <v>0</v>
      </c>
      <c r="BE16" s="173">
        <f ca="1">IFERROR(IF(OR(AM16='Cap Table'!$B$40,AM16='Cap Table'!$B$41,AM16='Cap Table'!$B$42,AM16='Cap Table'!$B$43),IF(SUM(AO16,S16)&lt;SUM(AN16,R16),FV(MAX(AR16,V16)/12,DATEDIF(AL16,'Cap Table'!$AN$61,"m"),0,-MAX(AN16,R16))/(MAX(AQ16,U16)/'Cap Table'!$AN$62)/IF(AM16=$B$42,(1-MAX(W37,AS$29)),1),BB16),BB16),0)</f>
        <v>0</v>
      </c>
      <c r="BF16" s="147">
        <f t="shared" ca="1" si="24"/>
        <v>0</v>
      </c>
      <c r="BH16" s="168">
        <f t="shared" ca="1" si="25"/>
        <v>44916</v>
      </c>
      <c r="BI16" s="168" t="str">
        <f t="shared" si="87"/>
        <v>Equity</v>
      </c>
      <c r="BJ16" s="169">
        <v>0</v>
      </c>
      <c r="BK16" s="169">
        <f>IF('Cap Table'!BJ$80&lt;&gt;"na",IF(OR(AM16='Cap Table'!$B$40,AM16='Cap Table'!$B$41,AM16='Cap Table'!$B$42),AN16-AO16,0),0)</f>
        <v>0</v>
      </c>
      <c r="BL16" s="171">
        <f t="shared" si="26"/>
        <v>0</v>
      </c>
      <c r="BM16" s="169">
        <f t="shared" si="27"/>
        <v>0</v>
      </c>
      <c r="BN16" s="172">
        <f t="shared" si="28"/>
        <v>0</v>
      </c>
      <c r="BO16" s="293">
        <f t="shared" si="29"/>
        <v>0</v>
      </c>
      <c r="BP16" s="170">
        <f ca="1">FV(BN16/12,DATEDIF(BH16,'Cap Table'!BJ$61,"m"),0,-BK16)</f>
        <v>0</v>
      </c>
      <c r="BQ16" s="170">
        <f ca="1">IF('Cap Table'!BJ$81="no",IFERROR(BP16/(1-BL16),0),IFERROR(BP16/(1-(MAX(BL16,IF(BM16=0,0,('Cap Table'!BJ$63-BM16/'Cap Table'!BJ$62)/'Cap Table'!BJ$63)))),0))</f>
        <v>0</v>
      </c>
      <c r="BR16" s="146">
        <f t="shared" ca="1" si="30"/>
        <v>0</v>
      </c>
      <c r="BS16" s="149">
        <f ca="1">IF(AND('Cap Table'!BJ$63=0,BP16&gt;0),BM16/IF(BI16=$B$42,BE$56,'Cap Table'!BJ$62),IFERROR(IF(BM16=0,'Cap Table'!BJ$63*(1-BL16),MIN('Cap Table'!BJ$63*(1-BL16),BM16/IF(BI16=$B$42,BE$56,'Cap Table'!BJ$62))),0))</f>
        <v>0</v>
      </c>
      <c r="BT16" s="170">
        <f t="shared" ca="1" si="88"/>
        <v>0</v>
      </c>
      <c r="BU16" s="170">
        <v>0</v>
      </c>
      <c r="BV16" s="146">
        <f t="shared" ca="1" si="31"/>
        <v>0</v>
      </c>
      <c r="BW16" s="146">
        <f t="shared" si="32"/>
        <v>0</v>
      </c>
      <c r="BX16" s="146">
        <f t="shared" ca="1" si="89"/>
        <v>0</v>
      </c>
      <c r="BY16" s="147">
        <f t="shared" ca="1" si="33"/>
        <v>0</v>
      </c>
      <c r="BZ16" s="146">
        <f ca="1">BX16*'Cap Table'!BJ$63</f>
        <v>0</v>
      </c>
      <c r="CA16" s="173">
        <f ca="1">IFERROR(IF(OR(BI16='Cap Table'!$B$40,BI16='Cap Table'!$B$41,BI16='Cap Table'!$B$42,BI16='Cap Table'!$B$43),IF(SUM(BK16,AO16,S16)&lt;SUM(BJ16,AN16,R16),FV(MAX(BN16,AR16,V16)/12,DATEDIF(BH16,'Cap Table'!$BJ$61,"m"),0,-MAX(BJ16,AN16,R16))/(MAX(BM16,AQ16,U16)/'Cap Table'!$BJ$62)/IF(BI16=$B$42,(1-MAX(BO$29,AS$29,W$29)),1),BX16),BX16),0)</f>
        <v>0</v>
      </c>
      <c r="CB16" s="147">
        <f t="shared" ca="1" si="34"/>
        <v>0</v>
      </c>
      <c r="CD16" s="168">
        <f t="shared" ca="1" si="35"/>
        <v>45281</v>
      </c>
      <c r="CE16" s="168" t="str">
        <f t="shared" si="90"/>
        <v>Equity</v>
      </c>
      <c r="CF16" s="169">
        <v>0</v>
      </c>
      <c r="CG16" s="169">
        <f>IF('Cap Table'!CF$80&lt;&gt;"na",IF(OR(BI16='Cap Table'!$B$40,BI16='Cap Table'!$B$41,BI16='Cap Table'!$B$42),BJ16-BK16,0),0)</f>
        <v>0</v>
      </c>
      <c r="CH16" s="171">
        <f t="shared" si="36"/>
        <v>0</v>
      </c>
      <c r="CI16" s="169">
        <f t="shared" si="37"/>
        <v>0</v>
      </c>
      <c r="CJ16" s="172">
        <f t="shared" si="38"/>
        <v>0</v>
      </c>
      <c r="CK16" s="293">
        <f t="shared" si="39"/>
        <v>0</v>
      </c>
      <c r="CL16" s="170">
        <f ca="1">FV(CJ16/12,DATEDIF(CD16,'Cap Table'!CF$61,"m"),0,-CG16)</f>
        <v>0</v>
      </c>
      <c r="CM16" s="170">
        <f ca="1">IF('Cap Table'!CF$81="no",IFERROR(CL16/(1-CH16),0),IFERROR(CL16/(1-(MAX(CH16,IF(CI16=0,0,('Cap Table'!CF$63-CI16/'Cap Table'!CF$62)/'Cap Table'!CF$63)))),0))</f>
        <v>0</v>
      </c>
      <c r="CN16" s="146">
        <f t="shared" ca="1" si="40"/>
        <v>0</v>
      </c>
      <c r="CO16" s="149">
        <f ca="1">IF(AND('Cap Table'!CF$63=0,CL16&gt;0),CI16/IF(CE16=$B$42,CA$56,'Cap Table'!CF$62),IFERROR(IF(CI16=0,'Cap Table'!CF$63*(1-CH16),MIN('Cap Table'!CF$63*(1-CH16),CI16/IF(CE16=$B$42,CA$56,'Cap Table'!CF$62))),0))</f>
        <v>0</v>
      </c>
      <c r="CP16" s="170">
        <f t="shared" ca="1" si="91"/>
        <v>0</v>
      </c>
      <c r="CQ16" s="170">
        <v>0</v>
      </c>
      <c r="CR16" s="146">
        <f t="shared" ca="1" si="41"/>
        <v>0</v>
      </c>
      <c r="CS16" s="146">
        <f t="shared" si="42"/>
        <v>0</v>
      </c>
      <c r="CT16" s="146">
        <f t="shared" ca="1" si="92"/>
        <v>0</v>
      </c>
      <c r="CU16" s="147">
        <f t="shared" ca="1" si="43"/>
        <v>0</v>
      </c>
      <c r="CV16" s="146">
        <f ca="1">CT16*'Cap Table'!CF$63</f>
        <v>0</v>
      </c>
      <c r="CW16" s="173">
        <f ca="1">IFERROR(IF(OR(CE16='Cap Table'!$B$40,CE16='Cap Table'!$B$41,CE16='Cap Table'!$B$42,CE16='Cap Table'!$B$43),IF(SUM(CG16,BK16,AO16,S16)&lt;SUM(CF16,BJ16,AN16,R16),FV(MAX(CJ16,BN16,AR16,V16)/12,DATEDIF(CD16,'Cap Table'!$CF$61,"m"),0,-MAX(CF16,BJ16,AN16,R16))/(MAX(CI16,BM16,AQ16,U16)/'Cap Table'!$CF$62)/IF(CE16=$B$42,(1-MAX(CK$29,BO$29,AS$29,W$29)),1),CT16),CT16),0)</f>
        <v>0</v>
      </c>
      <c r="CX16" s="147">
        <f t="shared" ca="1" si="44"/>
        <v>0</v>
      </c>
      <c r="CZ16" s="168">
        <f t="shared" ca="1" si="45"/>
        <v>45647</v>
      </c>
      <c r="DA16" s="168" t="str">
        <f t="shared" si="93"/>
        <v>Equity</v>
      </c>
      <c r="DB16" s="169">
        <v>0</v>
      </c>
      <c r="DC16" s="169">
        <f>IF('Cap Table'!DB$80&lt;&gt;"na",IF(OR(CE16='Cap Table'!$B$40,CE16='Cap Table'!$B$41,CE16='Cap Table'!$B$42),CF16-CG16,0),0)</f>
        <v>0</v>
      </c>
      <c r="DD16" s="171">
        <f t="shared" si="46"/>
        <v>0</v>
      </c>
      <c r="DE16" s="169">
        <f t="shared" si="47"/>
        <v>0</v>
      </c>
      <c r="DF16" s="172">
        <f t="shared" si="48"/>
        <v>0</v>
      </c>
      <c r="DG16" s="293">
        <f t="shared" si="49"/>
        <v>0</v>
      </c>
      <c r="DH16" s="170">
        <f ca="1">FV(DF16/12,DATEDIF(CZ16,'Cap Table'!DB$61,"m"),0,-DC16)</f>
        <v>0</v>
      </c>
      <c r="DI16" s="170">
        <f ca="1">IF('Cap Table'!DB$81="no",IFERROR(DH16/(1-DD16),0),IFERROR(DH16/(1-(MAX(DD16,IF(DE16=0,0,('Cap Table'!DB$63-DE16/'Cap Table'!DB$62)/'Cap Table'!DB$63)))),0))</f>
        <v>0</v>
      </c>
      <c r="DJ16" s="146">
        <f t="shared" ca="1" si="50"/>
        <v>0</v>
      </c>
      <c r="DK16" s="149">
        <f ca="1">IF(AND('Cap Table'!DB$63=0,DH16&gt;0),DE16/'Cap Table'!DB$62,IFERROR(IF(DE16=0,'Cap Table'!DB$63*(1-DD16),MIN('Cap Table'!DB$63*(1-DD16),DE16/'Cap Table'!DB$62)),0))</f>
        <v>0</v>
      </c>
      <c r="DL16" s="170">
        <f t="shared" ca="1" si="94"/>
        <v>0</v>
      </c>
      <c r="DM16" s="170">
        <v>0</v>
      </c>
      <c r="DN16" s="146">
        <f t="shared" ca="1" si="51"/>
        <v>0</v>
      </c>
      <c r="DO16" s="146">
        <f t="shared" si="52"/>
        <v>0</v>
      </c>
      <c r="DP16" s="146">
        <f t="shared" ca="1" si="95"/>
        <v>0</v>
      </c>
      <c r="DQ16" s="147">
        <f t="shared" ca="1" si="53"/>
        <v>0</v>
      </c>
      <c r="DR16" s="146">
        <f ca="1">DP16*'Cap Table'!DB$63</f>
        <v>0</v>
      </c>
      <c r="DS16" s="173">
        <f ca="1">IFERROR(IF(OR(DA16='Cap Table'!$B$40,DA16='Cap Table'!$B$41,DA16='Cap Table'!$B$42,DA16='Cap Table'!$B$43),IF(SUM(DC16,CG16,BK16,AO16,S16,)&lt;SUM(DB16,CF16,BJ16,AN16,R16),FV(MAX(DF16,CJ16,BN16,AR16,V16)/12,DATEDIF(CZ16,'Cap Table'!$DB$61,"m"),0,-MAX(DB16,CF16,BJ16,AN16,R16))/(MAX(DE16,CI16,BM16,AQ16,U16,)/'Cap Table'!$DB$62)/IF(DA16=$B$42,(1-MAX(DG$29,CK$29,BO$29,AS$29,W$29)),1),DP16),DP16),0)</f>
        <v>0</v>
      </c>
      <c r="DT16" s="147">
        <f t="shared" ca="1" si="54"/>
        <v>0</v>
      </c>
      <c r="DV16" s="168">
        <f t="shared" ca="1" si="55"/>
        <v>46012</v>
      </c>
      <c r="DW16" s="168" t="str">
        <f t="shared" si="96"/>
        <v>Equity</v>
      </c>
      <c r="DX16" s="169">
        <v>0</v>
      </c>
      <c r="DY16" s="169">
        <f>IF('Cap Table'!DX$80&lt;&gt;"na",IF(OR(DA16='Cap Table'!$B$40,DA16='Cap Table'!$B$41,DA16='Cap Table'!$B$42),DB16-DC16,0),0)</f>
        <v>0</v>
      </c>
      <c r="DZ16" s="171">
        <f t="shared" si="102"/>
        <v>0</v>
      </c>
      <c r="EA16" s="169">
        <f t="shared" si="103"/>
        <v>0</v>
      </c>
      <c r="EB16" s="172">
        <f t="shared" si="104"/>
        <v>0</v>
      </c>
      <c r="EC16" s="293">
        <f t="shared" si="59"/>
        <v>0</v>
      </c>
      <c r="ED16" s="170">
        <f ca="1">FV(EB16/12,DATEDIF(DV16,'Cap Table'!DX$61,"m"),0,-DY16)</f>
        <v>0</v>
      </c>
      <c r="EE16" s="170">
        <f ca="1">IF('Cap Table'!DX$81="no",IFERROR(ED16/(1-DZ16),0),IFERROR(ED16/(1-(MAX(DZ16,IF(EA16=0,0,('Cap Table'!DX$63-EA16/'Cap Table'!DX$62)/'Cap Table'!DX$63)))),0))</f>
        <v>0</v>
      </c>
      <c r="EF16" s="146">
        <f t="shared" ca="1" si="60"/>
        <v>0</v>
      </c>
      <c r="EG16" s="149">
        <f ca="1">IF(AND('Cap Table'!DX$63=0,ED16&gt;0),EA16/IF(DA16=$B$42,DS$56,'Cap Table'!DX$62),IFERROR(IF(EA16=0,'Cap Table'!DX$63*(1-DZ16),MIN('Cap Table'!DX$63*(1-DZ16),EA16/IF(DA16=$B$42,DS$56,'Cap Table'!DX$62))),0))</f>
        <v>0</v>
      </c>
      <c r="EH16" s="170">
        <f t="shared" ca="1" si="97"/>
        <v>0</v>
      </c>
      <c r="EI16" s="170">
        <v>0</v>
      </c>
      <c r="EJ16" s="146">
        <f t="shared" ca="1" si="98"/>
        <v>0</v>
      </c>
      <c r="EK16" s="146">
        <f t="shared" si="61"/>
        <v>0</v>
      </c>
      <c r="EL16" s="146">
        <f t="shared" ca="1" si="99"/>
        <v>0</v>
      </c>
      <c r="EM16" s="147">
        <f t="shared" ca="1" si="62"/>
        <v>0</v>
      </c>
      <c r="EN16" s="146">
        <f ca="1">EL16*'Cap Table'!DX$63</f>
        <v>0</v>
      </c>
      <c r="EO16" s="173">
        <f ca="1">IFERROR(IF(OR(DW16='Cap Table'!$B$40,DW16='Cap Table'!$B$41,DW16='Cap Table'!$B$42,DW16='Cap Table'!$B$43),IF(SUM(DY16,DC16,CG16,BK16,AO16,S16)&lt;SUM(DX16,DB16,CF16,BJ16,AN16,R16),FV(MAX(EB16,DF16,CJ16,BN16,AR16,V16)/12,DATEDIF(DV16,'Cap Table'!DX$61,"m"),0,-MAX(DX16,DB16,CF16,BJ16,AN16,R16))/(MAX(EA16,DE16,CI16,BM16,AQ16,U16)/'Cap Table'!$DX$62)/IF(DW16=$B$42,(1-MAX(EC$29,DG$29,CK$29,BO$29,AS$29,W$29)),1),EL16),EL16),0)</f>
        <v>0</v>
      </c>
      <c r="EP16" s="147">
        <f t="shared" ca="1" si="63"/>
        <v>0</v>
      </c>
      <c r="ER16" s="146">
        <f t="shared" si="64"/>
        <v>0</v>
      </c>
      <c r="ES16" s="146">
        <f t="shared" si="65"/>
        <v>0</v>
      </c>
      <c r="ET16" s="174" t="s">
        <v>27</v>
      </c>
      <c r="EU16" s="174" t="s">
        <v>27</v>
      </c>
      <c r="EV16" s="174" t="s">
        <v>27</v>
      </c>
      <c r="EW16" s="146">
        <f t="shared" ca="1" si="66"/>
        <v>0</v>
      </c>
      <c r="EX16" s="146">
        <f t="shared" ca="1" si="67"/>
        <v>0</v>
      </c>
      <c r="EY16" s="146">
        <f t="shared" ca="1" si="68"/>
        <v>0</v>
      </c>
      <c r="EZ16" s="149">
        <f t="shared" ca="1" si="105"/>
        <v>0</v>
      </c>
      <c r="FA16" s="146">
        <f t="shared" ca="1" si="69"/>
        <v>0</v>
      </c>
      <c r="FB16" s="146">
        <f t="shared" si="70"/>
        <v>0</v>
      </c>
      <c r="FC16" s="146">
        <f t="shared" ca="1" si="100"/>
        <v>0</v>
      </c>
      <c r="FD16" s="146">
        <f t="shared" si="100"/>
        <v>0</v>
      </c>
      <c r="FE16" s="146">
        <f t="shared" ca="1" si="100"/>
        <v>0</v>
      </c>
      <c r="FF16" s="147">
        <f t="shared" ca="1" si="71"/>
        <v>0</v>
      </c>
      <c r="FG16" s="146">
        <f t="shared" ca="1" si="101"/>
        <v>0</v>
      </c>
      <c r="FH16" s="146">
        <f t="shared" ca="1" si="101"/>
        <v>0</v>
      </c>
      <c r="FI16" s="147">
        <f t="shared" ca="1" si="72"/>
        <v>0</v>
      </c>
      <c r="FK16" s="149" t="str">
        <f t="shared" si="0"/>
        <v>Common</v>
      </c>
      <c r="FL16" s="146">
        <f t="shared" ca="1" si="73"/>
        <v>0</v>
      </c>
      <c r="FM16" s="146">
        <f t="shared" ca="1" si="74"/>
        <v>0</v>
      </c>
      <c r="FN16" s="146">
        <f t="shared" ca="1" si="75"/>
        <v>0</v>
      </c>
      <c r="FP16" s="146" t="str">
        <f t="shared" si="76"/>
        <v>Common</v>
      </c>
      <c r="FQ16" s="174" t="str">
        <f t="shared" ca="1" si="77"/>
        <v>na</v>
      </c>
      <c r="FR16" s="174" t="str">
        <f t="shared" ca="1" si="78"/>
        <v>na</v>
      </c>
      <c r="FS16" s="174" t="str">
        <f t="shared" ca="1" si="79"/>
        <v>na</v>
      </c>
    </row>
    <row r="17" spans="2:175">
      <c r="B17" s="145" t="s">
        <v>27</v>
      </c>
      <c r="D17" s="167" t="s">
        <v>27</v>
      </c>
      <c r="E17" s="167" t="str">
        <f t="shared" si="80"/>
        <v>Common</v>
      </c>
      <c r="G17" s="168">
        <f t="shared" ca="1" si="1"/>
        <v>43820</v>
      </c>
      <c r="H17" s="289" t="str">
        <f t="shared" si="2"/>
        <v>Equity</v>
      </c>
      <c r="I17" s="169">
        <v>0</v>
      </c>
      <c r="J17" s="170">
        <v>0</v>
      </c>
      <c r="K17" s="170">
        <f t="shared" si="81"/>
        <v>0</v>
      </c>
      <c r="L17" s="147">
        <f t="shared" si="3"/>
        <v>0</v>
      </c>
      <c r="M17" s="170">
        <f t="shared" si="82"/>
        <v>0</v>
      </c>
      <c r="N17" s="147">
        <f t="shared" si="4"/>
        <v>0</v>
      </c>
      <c r="O17" s="147"/>
      <c r="P17" s="168">
        <f t="shared" ca="1" si="5"/>
        <v>44186</v>
      </c>
      <c r="Q17" s="289" t="str">
        <f t="shared" si="6"/>
        <v>Equity</v>
      </c>
      <c r="R17" s="169">
        <v>0</v>
      </c>
      <c r="S17" s="169">
        <v>0</v>
      </c>
      <c r="T17" s="171">
        <v>0</v>
      </c>
      <c r="U17" s="145">
        <v>0</v>
      </c>
      <c r="V17" s="172">
        <v>0</v>
      </c>
      <c r="W17" s="293">
        <f t="shared" si="7"/>
        <v>0</v>
      </c>
      <c r="X17" s="170">
        <f ca="1">FV(V17/12,DATEDIF(P17,'Cap Table'!R$61,"m"),0,-S17)</f>
        <v>0</v>
      </c>
      <c r="Y17" s="170">
        <f t="shared" ca="1" si="8"/>
        <v>0</v>
      </c>
      <c r="Z17" s="146">
        <f t="shared" ca="1" si="9"/>
        <v>0</v>
      </c>
      <c r="AA17" s="149">
        <f ca="1">IF(AND('Cap Table'!R$63=0,X17&gt;0),U17/'Cap Table'!R$62,IFERROR(IF(U17=0,'Cap Table'!R$63*(1-T17),MIN('Cap Table'!R$63*(1-T17),U17/'Cap Table'!R$62)),0))</f>
        <v>0</v>
      </c>
      <c r="AB17" s="170">
        <f t="shared" ca="1" si="83"/>
        <v>0</v>
      </c>
      <c r="AC17" s="170">
        <v>0</v>
      </c>
      <c r="AD17" s="146">
        <f t="shared" ca="1" si="10"/>
        <v>0</v>
      </c>
      <c r="AE17" s="146">
        <f t="shared" si="11"/>
        <v>0</v>
      </c>
      <c r="AF17" s="146">
        <f t="shared" ca="1" si="84"/>
        <v>0</v>
      </c>
      <c r="AG17" s="147">
        <f t="shared" ca="1" si="12"/>
        <v>0</v>
      </c>
      <c r="AH17" s="146">
        <f ca="1">AF17*'Cap Table'!R$63</f>
        <v>0</v>
      </c>
      <c r="AI17" s="146">
        <f ca="1">IFERROR(IF(OR(Q17='Cap Table'!$B$40,Q17='Cap Table'!$B$41,Q17='Cap Table'!$B$42,Q17='Cap Table'!$B$43),IF(SUM(S17)&lt;SUM(R17),(FV(V17/12,DATEDIF(P17,'Cap Table'!R$61,"m"),0,-R17))/(U17/'Cap Table'!$R$62)/IF(Q17=$B$42,(1-W$29),1),AF17),AF17),0)</f>
        <v>0</v>
      </c>
      <c r="AJ17" s="147">
        <f t="shared" ca="1" si="13"/>
        <v>0</v>
      </c>
      <c r="AL17" s="168">
        <f t="shared" ca="1" si="14"/>
        <v>44551</v>
      </c>
      <c r="AM17" s="168" t="str">
        <f t="shared" si="15"/>
        <v>Equity</v>
      </c>
      <c r="AN17" s="169">
        <v>0</v>
      </c>
      <c r="AO17" s="169">
        <f>IF('Cap Table'!AN$80&lt;&gt;"na",IF(OR(Q17='Cap Table'!$B$40,Q17='Cap Table'!$B$41,Q17='Cap Table'!$B$42),R17-S17,0),0)</f>
        <v>0</v>
      </c>
      <c r="AP17" s="171">
        <f t="shared" si="16"/>
        <v>0</v>
      </c>
      <c r="AQ17" s="169">
        <f t="shared" si="17"/>
        <v>0</v>
      </c>
      <c r="AR17" s="172">
        <f t="shared" si="18"/>
        <v>0</v>
      </c>
      <c r="AS17" s="293">
        <f t="shared" si="19"/>
        <v>0</v>
      </c>
      <c r="AT17" s="170">
        <f ca="1">FV(AR17/12,DATEDIF(AL17,'Cap Table'!AN$61,"m"),0,-AO17)</f>
        <v>0</v>
      </c>
      <c r="AU17" s="170">
        <f ca="1">IF('Cap Table'!AN$81="no",IFERROR(AT17/(1-AP17),0),IFERROR(AT17/(1-(MAX(AP17,IF(AQ17=0,0,('Cap Table'!AN$63-AQ17/'Cap Table'!AN$62)/'Cap Table'!AN$63)))),0))</f>
        <v>0</v>
      </c>
      <c r="AV17" s="146">
        <f t="shared" ca="1" si="20"/>
        <v>0</v>
      </c>
      <c r="AW17" s="149">
        <f ca="1">IF(AND('Cap Table'!AN$63=0,AT17&gt;0),AQ17/IF(AM17=$B$42,AI$56,'Cap Table'!AN$62),IFERROR(IF(AQ17=0,'Cap Table'!AN$63*(1-AP17),MIN('Cap Table'!AN$63*(1-AP17),AQ17/IF(AM17=$B$42,AI$56,'Cap Table'!AN$62))),0))</f>
        <v>0</v>
      </c>
      <c r="AX17" s="170">
        <f t="shared" ca="1" si="85"/>
        <v>0</v>
      </c>
      <c r="AY17" s="170">
        <v>0</v>
      </c>
      <c r="AZ17" s="146">
        <f t="shared" ca="1" si="21"/>
        <v>0</v>
      </c>
      <c r="BA17" s="146">
        <f t="shared" si="22"/>
        <v>0</v>
      </c>
      <c r="BB17" s="146">
        <f t="shared" ca="1" si="86"/>
        <v>0</v>
      </c>
      <c r="BC17" s="147">
        <f t="shared" ca="1" si="23"/>
        <v>0</v>
      </c>
      <c r="BD17" s="146">
        <f ca="1">BB17*'Cap Table'!AN$63</f>
        <v>0</v>
      </c>
      <c r="BE17" s="173">
        <f ca="1">IFERROR(IF(OR(AM17='Cap Table'!$B$40,AM17='Cap Table'!$B$41,AM17='Cap Table'!$B$42,AM17='Cap Table'!$B$43),IF(SUM(AO17,S17)&lt;SUM(AN17,R17),FV(MAX(AR17,V17)/12,DATEDIF(AL17,'Cap Table'!$AN$61,"m"),0,-MAX(AN17,R17))/(MAX(AQ17,U17)/'Cap Table'!$AN$62)/IF(AM17=$B$42,(1-MAX(W38,AS$29)),1),BB17),BB17),0)</f>
        <v>0</v>
      </c>
      <c r="BF17" s="147">
        <f t="shared" ca="1" si="24"/>
        <v>0</v>
      </c>
      <c r="BH17" s="168">
        <f t="shared" ca="1" si="25"/>
        <v>44916</v>
      </c>
      <c r="BI17" s="168" t="str">
        <f t="shared" si="87"/>
        <v>Equity</v>
      </c>
      <c r="BJ17" s="169">
        <v>0</v>
      </c>
      <c r="BK17" s="169">
        <f>IF('Cap Table'!BJ$80&lt;&gt;"na",IF(OR(AM17='Cap Table'!$B$40,AM17='Cap Table'!$B$41,AM17='Cap Table'!$B$42),AN17-AO17,0),0)</f>
        <v>0</v>
      </c>
      <c r="BL17" s="171">
        <f t="shared" si="26"/>
        <v>0</v>
      </c>
      <c r="BM17" s="169">
        <f t="shared" si="27"/>
        <v>0</v>
      </c>
      <c r="BN17" s="172">
        <f t="shared" si="28"/>
        <v>0</v>
      </c>
      <c r="BO17" s="293">
        <f t="shared" si="29"/>
        <v>0</v>
      </c>
      <c r="BP17" s="170">
        <f ca="1">FV(BN17/12,DATEDIF(BH17,'Cap Table'!BJ$61,"m"),0,-BK17)</f>
        <v>0</v>
      </c>
      <c r="BQ17" s="170">
        <f ca="1">IF('Cap Table'!BJ$81="no",IFERROR(BP17/(1-BL17),0),IFERROR(BP17/(1-(MAX(BL17,IF(BM17=0,0,('Cap Table'!BJ$63-BM17/'Cap Table'!BJ$62)/'Cap Table'!BJ$63)))),0))</f>
        <v>0</v>
      </c>
      <c r="BR17" s="146">
        <f t="shared" ca="1" si="30"/>
        <v>0</v>
      </c>
      <c r="BS17" s="149">
        <f ca="1">IF(AND('Cap Table'!BJ$63=0,BP17&gt;0),BM17/IF(BI17=$B$42,BE$56,'Cap Table'!BJ$62),IFERROR(IF(BM17=0,'Cap Table'!BJ$63*(1-BL17),MIN('Cap Table'!BJ$63*(1-BL17),BM17/IF(BI17=$B$42,BE$56,'Cap Table'!BJ$62))),0))</f>
        <v>0</v>
      </c>
      <c r="BT17" s="170">
        <f t="shared" ca="1" si="88"/>
        <v>0</v>
      </c>
      <c r="BU17" s="170">
        <v>0</v>
      </c>
      <c r="BV17" s="146">
        <f t="shared" ca="1" si="31"/>
        <v>0</v>
      </c>
      <c r="BW17" s="146">
        <f t="shared" si="32"/>
        <v>0</v>
      </c>
      <c r="BX17" s="146">
        <f t="shared" ca="1" si="89"/>
        <v>0</v>
      </c>
      <c r="BY17" s="147">
        <f t="shared" ca="1" si="33"/>
        <v>0</v>
      </c>
      <c r="BZ17" s="146">
        <f ca="1">BX17*'Cap Table'!BJ$63</f>
        <v>0</v>
      </c>
      <c r="CA17" s="173">
        <f ca="1">IFERROR(IF(OR(BI17='Cap Table'!$B$40,BI17='Cap Table'!$B$41,BI17='Cap Table'!$B$42,BI17='Cap Table'!$B$43),IF(SUM(BK17,AO17,S17)&lt;SUM(BJ17,AN17,R17),FV(MAX(BN17,AR17,V17)/12,DATEDIF(BH17,'Cap Table'!$BJ$61,"m"),0,-MAX(BJ17,AN17,R17))/(MAX(BM17,AQ17,U17)/'Cap Table'!$BJ$62)/IF(BI17=$B$42,(1-MAX(BO$29,AS$29,W$29)),1),BX17),BX17),0)</f>
        <v>0</v>
      </c>
      <c r="CB17" s="147">
        <f t="shared" ca="1" si="34"/>
        <v>0</v>
      </c>
      <c r="CD17" s="168">
        <f t="shared" ca="1" si="35"/>
        <v>45281</v>
      </c>
      <c r="CE17" s="168" t="str">
        <f t="shared" si="90"/>
        <v>Equity</v>
      </c>
      <c r="CF17" s="169">
        <v>0</v>
      </c>
      <c r="CG17" s="169">
        <f>IF('Cap Table'!CF$80&lt;&gt;"na",IF(OR(BI17='Cap Table'!$B$40,BI17='Cap Table'!$B$41,BI17='Cap Table'!$B$42),BJ17-BK17,0),0)</f>
        <v>0</v>
      </c>
      <c r="CH17" s="171">
        <f t="shared" si="36"/>
        <v>0</v>
      </c>
      <c r="CI17" s="169">
        <f t="shared" si="37"/>
        <v>0</v>
      </c>
      <c r="CJ17" s="172">
        <f t="shared" si="38"/>
        <v>0</v>
      </c>
      <c r="CK17" s="293">
        <f t="shared" si="39"/>
        <v>0</v>
      </c>
      <c r="CL17" s="170">
        <f ca="1">FV(CJ17/12,DATEDIF(CD17,'Cap Table'!CF$61,"m"),0,-CG17)</f>
        <v>0</v>
      </c>
      <c r="CM17" s="170">
        <f ca="1">IF('Cap Table'!CF$81="no",IFERROR(CL17/(1-CH17),0),IFERROR(CL17/(1-(MAX(CH17,IF(CI17=0,0,('Cap Table'!CF$63-CI17/'Cap Table'!CF$62)/'Cap Table'!CF$63)))),0))</f>
        <v>0</v>
      </c>
      <c r="CN17" s="146">
        <f t="shared" ca="1" si="40"/>
        <v>0</v>
      </c>
      <c r="CO17" s="149">
        <f ca="1">IF(AND('Cap Table'!CF$63=0,CL17&gt;0),CI17/IF(CE17=$B$42,CA$56,'Cap Table'!CF$62),IFERROR(IF(CI17=0,'Cap Table'!CF$63*(1-CH17),MIN('Cap Table'!CF$63*(1-CH17),CI17/IF(CE17=$B$42,CA$56,'Cap Table'!CF$62))),0))</f>
        <v>0</v>
      </c>
      <c r="CP17" s="170">
        <f t="shared" ca="1" si="91"/>
        <v>0</v>
      </c>
      <c r="CQ17" s="170">
        <v>0</v>
      </c>
      <c r="CR17" s="146">
        <f t="shared" ca="1" si="41"/>
        <v>0</v>
      </c>
      <c r="CS17" s="146">
        <f t="shared" si="42"/>
        <v>0</v>
      </c>
      <c r="CT17" s="146">
        <f t="shared" ca="1" si="92"/>
        <v>0</v>
      </c>
      <c r="CU17" s="147">
        <f t="shared" ca="1" si="43"/>
        <v>0</v>
      </c>
      <c r="CV17" s="146">
        <f ca="1">CT17*'Cap Table'!CF$63</f>
        <v>0</v>
      </c>
      <c r="CW17" s="173">
        <f ca="1">IFERROR(IF(OR(CE17='Cap Table'!$B$40,CE17='Cap Table'!$B$41,CE17='Cap Table'!$B$42,CE17='Cap Table'!$B$43),IF(SUM(CG17,BK17,AO17,S17)&lt;SUM(CF17,BJ17,AN17,R17),FV(MAX(CJ17,BN17,AR17,V17)/12,DATEDIF(CD17,'Cap Table'!$CF$61,"m"),0,-MAX(CF17,BJ17,AN17,R17))/(MAX(CI17,BM17,AQ17,U17)/'Cap Table'!$CF$62)/IF(CE17=$B$42,(1-MAX(CK$29,BO$29,AS$29,W$29)),1),CT17),CT17),0)</f>
        <v>0</v>
      </c>
      <c r="CX17" s="147">
        <f t="shared" ca="1" si="44"/>
        <v>0</v>
      </c>
      <c r="CZ17" s="168">
        <f t="shared" ca="1" si="45"/>
        <v>45647</v>
      </c>
      <c r="DA17" s="168" t="str">
        <f t="shared" si="93"/>
        <v>Equity</v>
      </c>
      <c r="DB17" s="169">
        <v>0</v>
      </c>
      <c r="DC17" s="169">
        <f>IF('Cap Table'!DB$80&lt;&gt;"na",IF(OR(CE17='Cap Table'!$B$40,CE17='Cap Table'!$B$41,CE17='Cap Table'!$B$42),CF17-CG17,0),0)</f>
        <v>0</v>
      </c>
      <c r="DD17" s="171">
        <f t="shared" si="46"/>
        <v>0</v>
      </c>
      <c r="DE17" s="169">
        <f t="shared" si="47"/>
        <v>0</v>
      </c>
      <c r="DF17" s="172">
        <f t="shared" si="48"/>
        <v>0</v>
      </c>
      <c r="DG17" s="293">
        <f t="shared" si="49"/>
        <v>0</v>
      </c>
      <c r="DH17" s="170">
        <f ca="1">FV(DF17/12,DATEDIF(CZ17,'Cap Table'!DB$61,"m"),0,-DC17)</f>
        <v>0</v>
      </c>
      <c r="DI17" s="170">
        <f ca="1">IF('Cap Table'!DB$81="no",IFERROR(DH17/(1-DD17),0),IFERROR(DH17/(1-(MAX(DD17,IF(DE17=0,0,('Cap Table'!DB$63-DE17/'Cap Table'!DB$62)/'Cap Table'!DB$63)))),0))</f>
        <v>0</v>
      </c>
      <c r="DJ17" s="146">
        <f t="shared" ca="1" si="50"/>
        <v>0</v>
      </c>
      <c r="DK17" s="149">
        <f ca="1">IF(AND('Cap Table'!DB$63=0,DH17&gt;0),DE17/'Cap Table'!DB$62,IFERROR(IF(DE17=0,'Cap Table'!DB$63*(1-DD17),MIN('Cap Table'!DB$63*(1-DD17),DE17/'Cap Table'!DB$62)),0))</f>
        <v>0</v>
      </c>
      <c r="DL17" s="170">
        <f t="shared" ca="1" si="94"/>
        <v>0</v>
      </c>
      <c r="DM17" s="170">
        <v>0</v>
      </c>
      <c r="DN17" s="146">
        <f t="shared" ca="1" si="51"/>
        <v>0</v>
      </c>
      <c r="DO17" s="146">
        <f t="shared" si="52"/>
        <v>0</v>
      </c>
      <c r="DP17" s="146">
        <f t="shared" ca="1" si="95"/>
        <v>0</v>
      </c>
      <c r="DQ17" s="147">
        <f t="shared" ca="1" si="53"/>
        <v>0</v>
      </c>
      <c r="DR17" s="146">
        <f ca="1">DP17*'Cap Table'!DB$63</f>
        <v>0</v>
      </c>
      <c r="DS17" s="173">
        <f ca="1">IFERROR(IF(OR(DA17='Cap Table'!$B$40,DA17='Cap Table'!$B$41,DA17='Cap Table'!$B$42,DA17='Cap Table'!$B$43),IF(SUM(DC17,CG17,BK17,AO17,S17,)&lt;SUM(DB17,CF17,BJ17,AN17,R17),FV(MAX(DF17,CJ17,BN17,AR17,V17)/12,DATEDIF(CZ17,'Cap Table'!$DB$61,"m"),0,-MAX(DB17,CF17,BJ17,AN17,R17))/(MAX(DE17,CI17,BM17,AQ17,U17,)/'Cap Table'!$DB$62)/IF(DA17=$B$42,(1-MAX(DG$29,CK$29,BO$29,AS$29,W$29)),1),DP17),DP17),0)</f>
        <v>0</v>
      </c>
      <c r="DT17" s="147">
        <f t="shared" ca="1" si="54"/>
        <v>0</v>
      </c>
      <c r="DV17" s="168">
        <f t="shared" ca="1" si="55"/>
        <v>46012</v>
      </c>
      <c r="DW17" s="168" t="str">
        <f t="shared" si="96"/>
        <v>Equity</v>
      </c>
      <c r="DX17" s="169">
        <v>0</v>
      </c>
      <c r="DY17" s="169">
        <f>IF('Cap Table'!DX$80&lt;&gt;"na",IF(OR(DA17='Cap Table'!$B$40,DA17='Cap Table'!$B$41,DA17='Cap Table'!$B$42),DB17-DC17,0),0)</f>
        <v>0</v>
      </c>
      <c r="DZ17" s="171">
        <f t="shared" si="102"/>
        <v>0</v>
      </c>
      <c r="EA17" s="169">
        <f t="shared" si="103"/>
        <v>0</v>
      </c>
      <c r="EB17" s="172">
        <f t="shared" si="104"/>
        <v>0</v>
      </c>
      <c r="EC17" s="293">
        <f t="shared" si="59"/>
        <v>0</v>
      </c>
      <c r="ED17" s="170">
        <f ca="1">FV(EB17/12,DATEDIF(DV17,'Cap Table'!DX$61,"m"),0,-DY17)</f>
        <v>0</v>
      </c>
      <c r="EE17" s="170">
        <f ca="1">IF('Cap Table'!DX$81="no",IFERROR(ED17/(1-DZ17),0),IFERROR(ED17/(1-(MAX(DZ17,IF(EA17=0,0,('Cap Table'!DX$63-EA17/'Cap Table'!DX$62)/'Cap Table'!DX$63)))),0))</f>
        <v>0</v>
      </c>
      <c r="EF17" s="146">
        <f t="shared" ca="1" si="60"/>
        <v>0</v>
      </c>
      <c r="EG17" s="149">
        <f ca="1">IF(AND('Cap Table'!DX$63=0,ED17&gt;0),EA17/IF(DA17=$B$42,DS$56,'Cap Table'!DX$62),IFERROR(IF(EA17=0,'Cap Table'!DX$63*(1-DZ17),MIN('Cap Table'!DX$63*(1-DZ17),EA17/IF(DA17=$B$42,DS$56,'Cap Table'!DX$62))),0))</f>
        <v>0</v>
      </c>
      <c r="EH17" s="170">
        <f t="shared" ca="1" si="97"/>
        <v>0</v>
      </c>
      <c r="EI17" s="170">
        <v>0</v>
      </c>
      <c r="EJ17" s="146">
        <f t="shared" ca="1" si="98"/>
        <v>0</v>
      </c>
      <c r="EK17" s="146">
        <f t="shared" si="61"/>
        <v>0</v>
      </c>
      <c r="EL17" s="146">
        <f t="shared" ca="1" si="99"/>
        <v>0</v>
      </c>
      <c r="EM17" s="147">
        <f t="shared" ca="1" si="62"/>
        <v>0</v>
      </c>
      <c r="EN17" s="146">
        <f ca="1">EL17*'Cap Table'!DX$63</f>
        <v>0</v>
      </c>
      <c r="EO17" s="173">
        <f ca="1">IFERROR(IF(OR(DW17='Cap Table'!$B$40,DW17='Cap Table'!$B$41,DW17='Cap Table'!$B$42,DW17='Cap Table'!$B$43),IF(SUM(DY17,DC17,CG17,BK17,AO17,S17)&lt;SUM(DX17,DB17,CF17,BJ17,AN17,R17),FV(MAX(EB17,DF17,CJ17,BN17,AR17,V17)/12,DATEDIF(DV17,'Cap Table'!DX$61,"m"),0,-MAX(DX17,DB17,CF17,BJ17,AN17,R17))/(MAX(EA17,DE17,CI17,BM17,AQ17,U17)/'Cap Table'!$DX$62)/IF(DW17=$B$42,(1-MAX(EC$29,DG$29,CK$29,BO$29,AS$29,W$29)),1),EL17),EL17),0)</f>
        <v>0</v>
      </c>
      <c r="EP17" s="147">
        <f t="shared" ca="1" si="63"/>
        <v>0</v>
      </c>
      <c r="ER17" s="146">
        <f t="shared" si="64"/>
        <v>0</v>
      </c>
      <c r="ES17" s="146">
        <f t="shared" si="65"/>
        <v>0</v>
      </c>
      <c r="ET17" s="174" t="s">
        <v>27</v>
      </c>
      <c r="EU17" s="174" t="s">
        <v>27</v>
      </c>
      <c r="EV17" s="174" t="s">
        <v>27</v>
      </c>
      <c r="EW17" s="146">
        <f t="shared" ca="1" si="66"/>
        <v>0</v>
      </c>
      <c r="EX17" s="146">
        <f t="shared" ca="1" si="67"/>
        <v>0</v>
      </c>
      <c r="EY17" s="146">
        <f t="shared" ca="1" si="68"/>
        <v>0</v>
      </c>
      <c r="EZ17" s="149">
        <f t="shared" ca="1" si="105"/>
        <v>0</v>
      </c>
      <c r="FA17" s="146">
        <f t="shared" ca="1" si="69"/>
        <v>0</v>
      </c>
      <c r="FB17" s="146">
        <f t="shared" si="70"/>
        <v>0</v>
      </c>
      <c r="FC17" s="146">
        <f t="shared" ca="1" si="100"/>
        <v>0</v>
      </c>
      <c r="FD17" s="146">
        <f t="shared" si="100"/>
        <v>0</v>
      </c>
      <c r="FE17" s="146">
        <f t="shared" ca="1" si="100"/>
        <v>0</v>
      </c>
      <c r="FF17" s="147">
        <f t="shared" ca="1" si="71"/>
        <v>0</v>
      </c>
      <c r="FG17" s="146">
        <f t="shared" ca="1" si="101"/>
        <v>0</v>
      </c>
      <c r="FH17" s="146">
        <f t="shared" ca="1" si="101"/>
        <v>0</v>
      </c>
      <c r="FI17" s="147">
        <f t="shared" ca="1" si="72"/>
        <v>0</v>
      </c>
      <c r="FK17" s="149" t="str">
        <f t="shared" si="0"/>
        <v>Common</v>
      </c>
      <c r="FL17" s="146">
        <f t="shared" ca="1" si="73"/>
        <v>0</v>
      </c>
      <c r="FM17" s="146">
        <f t="shared" ca="1" si="74"/>
        <v>0</v>
      </c>
      <c r="FN17" s="146">
        <f t="shared" ca="1" si="75"/>
        <v>0</v>
      </c>
      <c r="FP17" s="146" t="str">
        <f t="shared" si="76"/>
        <v>Common</v>
      </c>
      <c r="FQ17" s="174" t="str">
        <f t="shared" ca="1" si="77"/>
        <v>na</v>
      </c>
      <c r="FR17" s="174" t="str">
        <f t="shared" ca="1" si="78"/>
        <v>na</v>
      </c>
      <c r="FS17" s="174" t="str">
        <f t="shared" ca="1" si="79"/>
        <v>na</v>
      </c>
    </row>
    <row r="18" spans="2:175">
      <c r="B18" s="145" t="s">
        <v>27</v>
      </c>
      <c r="D18" s="167" t="s">
        <v>27</v>
      </c>
      <c r="E18" s="167" t="str">
        <f t="shared" si="80"/>
        <v>Common</v>
      </c>
      <c r="G18" s="168">
        <f t="shared" ca="1" si="1"/>
        <v>43820</v>
      </c>
      <c r="H18" s="289" t="str">
        <f t="shared" si="2"/>
        <v>Equity</v>
      </c>
      <c r="I18" s="169">
        <v>0</v>
      </c>
      <c r="J18" s="170">
        <v>0</v>
      </c>
      <c r="K18" s="170">
        <f t="shared" si="81"/>
        <v>0</v>
      </c>
      <c r="L18" s="147">
        <f t="shared" si="3"/>
        <v>0</v>
      </c>
      <c r="M18" s="170">
        <f t="shared" si="82"/>
        <v>0</v>
      </c>
      <c r="N18" s="147">
        <f t="shared" si="4"/>
        <v>0</v>
      </c>
      <c r="O18" s="147"/>
      <c r="P18" s="168">
        <f t="shared" ca="1" si="5"/>
        <v>44186</v>
      </c>
      <c r="Q18" s="289" t="str">
        <f t="shared" si="6"/>
        <v>Equity</v>
      </c>
      <c r="R18" s="169">
        <v>0</v>
      </c>
      <c r="S18" s="169">
        <v>0</v>
      </c>
      <c r="T18" s="171">
        <v>0</v>
      </c>
      <c r="U18" s="145">
        <v>0</v>
      </c>
      <c r="V18" s="172">
        <v>0</v>
      </c>
      <c r="W18" s="293">
        <f t="shared" si="7"/>
        <v>0</v>
      </c>
      <c r="X18" s="170">
        <f ca="1">FV(V18/12,DATEDIF(P18,'Cap Table'!R$61,"m"),0,-S18)</f>
        <v>0</v>
      </c>
      <c r="Y18" s="170">
        <f t="shared" ca="1" si="8"/>
        <v>0</v>
      </c>
      <c r="Z18" s="146">
        <f t="shared" ca="1" si="9"/>
        <v>0</v>
      </c>
      <c r="AA18" s="149">
        <f ca="1">IF(AND('Cap Table'!R$63=0,X18&gt;0),U18/'Cap Table'!R$62,IFERROR(IF(U18=0,'Cap Table'!R$63*(1-T18),MIN('Cap Table'!R$63*(1-T18),U18/'Cap Table'!R$62)),0))</f>
        <v>0</v>
      </c>
      <c r="AB18" s="170">
        <f t="shared" ca="1" si="83"/>
        <v>0</v>
      </c>
      <c r="AC18" s="170">
        <v>0</v>
      </c>
      <c r="AD18" s="146">
        <f t="shared" ca="1" si="10"/>
        <v>0</v>
      </c>
      <c r="AE18" s="146">
        <f t="shared" si="11"/>
        <v>0</v>
      </c>
      <c r="AF18" s="146">
        <f t="shared" ca="1" si="84"/>
        <v>0</v>
      </c>
      <c r="AG18" s="147">
        <f t="shared" ca="1" si="12"/>
        <v>0</v>
      </c>
      <c r="AH18" s="146">
        <f ca="1">AF18*'Cap Table'!R$63</f>
        <v>0</v>
      </c>
      <c r="AI18" s="146">
        <f ca="1">IFERROR(IF(OR(Q18='Cap Table'!$B$40,Q18='Cap Table'!$B$41,Q18='Cap Table'!$B$42,Q18='Cap Table'!$B$43),IF(SUM(S18)&lt;SUM(R18),(FV(V18/12,DATEDIF(P18,'Cap Table'!R$61,"m"),0,-R18))/(U18/'Cap Table'!$R$62)/IF(Q18=$B$42,(1-W$29),1),AF18),AF18),0)</f>
        <v>0</v>
      </c>
      <c r="AJ18" s="147">
        <f t="shared" ca="1" si="13"/>
        <v>0</v>
      </c>
      <c r="AL18" s="168">
        <f t="shared" ca="1" si="14"/>
        <v>44551</v>
      </c>
      <c r="AM18" s="168" t="str">
        <f t="shared" si="15"/>
        <v>Equity</v>
      </c>
      <c r="AN18" s="169">
        <v>0</v>
      </c>
      <c r="AO18" s="169">
        <f>IF('Cap Table'!AN$80&lt;&gt;"na",IF(OR(Q18='Cap Table'!$B$40,Q18='Cap Table'!$B$41,Q18='Cap Table'!$B$42),R18-S18,0),0)</f>
        <v>0</v>
      </c>
      <c r="AP18" s="171">
        <f t="shared" si="16"/>
        <v>0</v>
      </c>
      <c r="AQ18" s="169">
        <f t="shared" si="17"/>
        <v>0</v>
      </c>
      <c r="AR18" s="172">
        <f t="shared" si="18"/>
        <v>0</v>
      </c>
      <c r="AS18" s="293">
        <f t="shared" si="19"/>
        <v>0</v>
      </c>
      <c r="AT18" s="170">
        <f ca="1">FV(AR18/12,DATEDIF(AL18,'Cap Table'!AN$61,"m"),0,-AO18)</f>
        <v>0</v>
      </c>
      <c r="AU18" s="170">
        <f ca="1">IF('Cap Table'!AN$81="no",IFERROR(AT18/(1-AP18),0),IFERROR(AT18/(1-(MAX(AP18,IF(AQ18=0,0,('Cap Table'!AN$63-AQ18/'Cap Table'!AN$62)/'Cap Table'!AN$63)))),0))</f>
        <v>0</v>
      </c>
      <c r="AV18" s="146">
        <f t="shared" ca="1" si="20"/>
        <v>0</v>
      </c>
      <c r="AW18" s="149">
        <f ca="1">IF(AND('Cap Table'!AN$63=0,AT18&gt;0),AQ18/IF(AM18=$B$42,AI$56,'Cap Table'!AN$62),IFERROR(IF(AQ18=0,'Cap Table'!AN$63*(1-AP18),MIN('Cap Table'!AN$63*(1-AP18),AQ18/IF(AM18=$B$42,AI$56,'Cap Table'!AN$62))),0))</f>
        <v>0</v>
      </c>
      <c r="AX18" s="170">
        <f t="shared" ca="1" si="85"/>
        <v>0</v>
      </c>
      <c r="AY18" s="170">
        <v>0</v>
      </c>
      <c r="AZ18" s="146">
        <f t="shared" ca="1" si="21"/>
        <v>0</v>
      </c>
      <c r="BA18" s="146">
        <f t="shared" si="22"/>
        <v>0</v>
      </c>
      <c r="BB18" s="146">
        <f t="shared" ca="1" si="86"/>
        <v>0</v>
      </c>
      <c r="BC18" s="147">
        <f t="shared" ca="1" si="23"/>
        <v>0</v>
      </c>
      <c r="BD18" s="146">
        <f ca="1">BB18*'Cap Table'!AN$63</f>
        <v>0</v>
      </c>
      <c r="BE18" s="173">
        <f ca="1">IFERROR(IF(OR(AM18='Cap Table'!$B$40,AM18='Cap Table'!$B$41,AM18='Cap Table'!$B$42,AM18='Cap Table'!$B$43),IF(SUM(AO18,S18)&lt;SUM(AN18,R18),FV(MAX(AR18,V18)/12,DATEDIF(AL18,'Cap Table'!$AN$61,"m"),0,-MAX(AN18,R18))/(MAX(AQ18,U18)/'Cap Table'!$AN$62)/IF(AM18=$B$42,(1-MAX(W39,AS$29)),1),BB18),BB18),0)</f>
        <v>0</v>
      </c>
      <c r="BF18" s="147">
        <f t="shared" ca="1" si="24"/>
        <v>0</v>
      </c>
      <c r="BH18" s="168">
        <f t="shared" ca="1" si="25"/>
        <v>44916</v>
      </c>
      <c r="BI18" s="168" t="str">
        <f t="shared" si="87"/>
        <v>Equity</v>
      </c>
      <c r="BJ18" s="169">
        <v>0</v>
      </c>
      <c r="BK18" s="169">
        <f>IF('Cap Table'!BJ$80&lt;&gt;"na",IF(OR(AM18='Cap Table'!$B$40,AM18='Cap Table'!$B$41,AM18='Cap Table'!$B$42),AN18-AO18,0),0)</f>
        <v>0</v>
      </c>
      <c r="BL18" s="171">
        <f t="shared" si="26"/>
        <v>0</v>
      </c>
      <c r="BM18" s="169">
        <f t="shared" si="27"/>
        <v>0</v>
      </c>
      <c r="BN18" s="172">
        <f t="shared" si="28"/>
        <v>0</v>
      </c>
      <c r="BO18" s="293">
        <f t="shared" si="29"/>
        <v>0</v>
      </c>
      <c r="BP18" s="170">
        <f ca="1">FV(BN18/12,DATEDIF(BH18,'Cap Table'!BJ$61,"m"),0,-BK18)</f>
        <v>0</v>
      </c>
      <c r="BQ18" s="170">
        <f ca="1">IF('Cap Table'!BJ$81="no",IFERROR(BP18/(1-BL18),0),IFERROR(BP18/(1-(MAX(BL18,IF(BM18=0,0,('Cap Table'!BJ$63-BM18/'Cap Table'!BJ$62)/'Cap Table'!BJ$63)))),0))</f>
        <v>0</v>
      </c>
      <c r="BR18" s="146">
        <f t="shared" ca="1" si="30"/>
        <v>0</v>
      </c>
      <c r="BS18" s="149">
        <f ca="1">IF(AND('Cap Table'!BJ$63=0,BP18&gt;0),BM18/IF(BI18=$B$42,BE$56,'Cap Table'!BJ$62),IFERROR(IF(BM18=0,'Cap Table'!BJ$63*(1-BL18),MIN('Cap Table'!BJ$63*(1-BL18),BM18/IF(BI18=$B$42,BE$56,'Cap Table'!BJ$62))),0))</f>
        <v>0</v>
      </c>
      <c r="BT18" s="170">
        <f t="shared" ca="1" si="88"/>
        <v>0</v>
      </c>
      <c r="BU18" s="170">
        <v>0</v>
      </c>
      <c r="BV18" s="146">
        <f t="shared" ca="1" si="31"/>
        <v>0</v>
      </c>
      <c r="BW18" s="146">
        <f t="shared" si="32"/>
        <v>0</v>
      </c>
      <c r="BX18" s="146">
        <f t="shared" ca="1" si="89"/>
        <v>0</v>
      </c>
      <c r="BY18" s="147">
        <f t="shared" ca="1" si="33"/>
        <v>0</v>
      </c>
      <c r="BZ18" s="146">
        <f ca="1">BX18*'Cap Table'!BJ$63</f>
        <v>0</v>
      </c>
      <c r="CA18" s="173">
        <f ca="1">IFERROR(IF(OR(BI18='Cap Table'!$B$40,BI18='Cap Table'!$B$41,BI18='Cap Table'!$B$42,BI18='Cap Table'!$B$43),IF(SUM(BK18,AO18,S18)&lt;SUM(BJ18,AN18,R18),FV(MAX(BN18,AR18,V18)/12,DATEDIF(BH18,'Cap Table'!$BJ$61,"m"),0,-MAX(BJ18,AN18,R18))/(MAX(BM18,AQ18,U18)/'Cap Table'!$BJ$62)/IF(BI18=$B$42,(1-MAX(BO$29,AS$29,W$29)),1),BX18),BX18),0)</f>
        <v>0</v>
      </c>
      <c r="CB18" s="147">
        <f t="shared" ca="1" si="34"/>
        <v>0</v>
      </c>
      <c r="CD18" s="168">
        <f t="shared" ca="1" si="35"/>
        <v>45281</v>
      </c>
      <c r="CE18" s="168" t="str">
        <f t="shared" si="90"/>
        <v>Equity</v>
      </c>
      <c r="CF18" s="169">
        <v>0</v>
      </c>
      <c r="CG18" s="169">
        <f>IF('Cap Table'!CF$80&lt;&gt;"na",IF(OR(BI18='Cap Table'!$B$40,BI18='Cap Table'!$B$41,BI18='Cap Table'!$B$42),BJ18-BK18,0),0)</f>
        <v>0</v>
      </c>
      <c r="CH18" s="171">
        <f t="shared" si="36"/>
        <v>0</v>
      </c>
      <c r="CI18" s="169">
        <f t="shared" si="37"/>
        <v>0</v>
      </c>
      <c r="CJ18" s="172">
        <f t="shared" si="38"/>
        <v>0</v>
      </c>
      <c r="CK18" s="293">
        <f t="shared" si="39"/>
        <v>0</v>
      </c>
      <c r="CL18" s="170">
        <f ca="1">FV(CJ18/12,DATEDIF(CD18,'Cap Table'!CF$61,"m"),0,-CG18)</f>
        <v>0</v>
      </c>
      <c r="CM18" s="170">
        <f ca="1">IF('Cap Table'!CF$81="no",IFERROR(CL18/(1-CH18),0),IFERROR(CL18/(1-(MAX(CH18,IF(CI18=0,0,('Cap Table'!CF$63-CI18/'Cap Table'!CF$62)/'Cap Table'!CF$63)))),0))</f>
        <v>0</v>
      </c>
      <c r="CN18" s="146">
        <f t="shared" ca="1" si="40"/>
        <v>0</v>
      </c>
      <c r="CO18" s="149">
        <f ca="1">IF(AND('Cap Table'!CF$63=0,CL18&gt;0),CI18/IF(CE18=$B$42,CA$56,'Cap Table'!CF$62),IFERROR(IF(CI18=0,'Cap Table'!CF$63*(1-CH18),MIN('Cap Table'!CF$63*(1-CH18),CI18/IF(CE18=$B$42,CA$56,'Cap Table'!CF$62))),0))</f>
        <v>0</v>
      </c>
      <c r="CP18" s="170">
        <f t="shared" ca="1" si="91"/>
        <v>0</v>
      </c>
      <c r="CQ18" s="170">
        <v>0</v>
      </c>
      <c r="CR18" s="146">
        <f t="shared" ca="1" si="41"/>
        <v>0</v>
      </c>
      <c r="CS18" s="146">
        <f t="shared" si="42"/>
        <v>0</v>
      </c>
      <c r="CT18" s="146">
        <f t="shared" ca="1" si="92"/>
        <v>0</v>
      </c>
      <c r="CU18" s="147">
        <f t="shared" ca="1" si="43"/>
        <v>0</v>
      </c>
      <c r="CV18" s="146">
        <f ca="1">CT18*'Cap Table'!CF$63</f>
        <v>0</v>
      </c>
      <c r="CW18" s="173">
        <f ca="1">IFERROR(IF(OR(CE18='Cap Table'!$B$40,CE18='Cap Table'!$B$41,CE18='Cap Table'!$B$42,CE18='Cap Table'!$B$43),IF(SUM(CG18,BK18,AO18,S18)&lt;SUM(CF18,BJ18,AN18,R18),FV(MAX(CJ18,BN18,AR18,V18)/12,DATEDIF(CD18,'Cap Table'!$CF$61,"m"),0,-MAX(CF18,BJ18,AN18,R18))/(MAX(CI18,BM18,AQ18,U18)/'Cap Table'!$CF$62)/IF(CE18=$B$42,(1-MAX(CK$29,BO$29,AS$29,W$29)),1),CT18),CT18),0)</f>
        <v>0</v>
      </c>
      <c r="CX18" s="147">
        <f t="shared" ca="1" si="44"/>
        <v>0</v>
      </c>
      <c r="CZ18" s="168">
        <f t="shared" ca="1" si="45"/>
        <v>45647</v>
      </c>
      <c r="DA18" s="168" t="str">
        <f t="shared" si="93"/>
        <v>Equity</v>
      </c>
      <c r="DB18" s="169">
        <v>0</v>
      </c>
      <c r="DC18" s="169">
        <f>IF('Cap Table'!DB$80&lt;&gt;"na",IF(OR(CE18='Cap Table'!$B$40,CE18='Cap Table'!$B$41,CE18='Cap Table'!$B$42),CF18-CG18,0),0)</f>
        <v>0</v>
      </c>
      <c r="DD18" s="171">
        <f t="shared" si="46"/>
        <v>0</v>
      </c>
      <c r="DE18" s="169">
        <f t="shared" si="47"/>
        <v>0</v>
      </c>
      <c r="DF18" s="172">
        <f t="shared" si="48"/>
        <v>0</v>
      </c>
      <c r="DG18" s="293">
        <f t="shared" si="49"/>
        <v>0</v>
      </c>
      <c r="DH18" s="170">
        <f ca="1">FV(DF18/12,DATEDIF(CZ18,'Cap Table'!DB$61,"m"),0,-DC18)</f>
        <v>0</v>
      </c>
      <c r="DI18" s="170">
        <f ca="1">IF('Cap Table'!DB$81="no",IFERROR(DH18/(1-DD18),0),IFERROR(DH18/(1-(MAX(DD18,IF(DE18=0,0,('Cap Table'!DB$63-DE18/'Cap Table'!DB$62)/'Cap Table'!DB$63)))),0))</f>
        <v>0</v>
      </c>
      <c r="DJ18" s="146">
        <f t="shared" ca="1" si="50"/>
        <v>0</v>
      </c>
      <c r="DK18" s="149">
        <f ca="1">IF(AND('Cap Table'!DB$63=0,DH18&gt;0),DE18/'Cap Table'!DB$62,IFERROR(IF(DE18=0,'Cap Table'!DB$63*(1-DD18),MIN('Cap Table'!DB$63*(1-DD18),DE18/'Cap Table'!DB$62)),0))</f>
        <v>0</v>
      </c>
      <c r="DL18" s="170">
        <f t="shared" ca="1" si="94"/>
        <v>0</v>
      </c>
      <c r="DM18" s="170">
        <v>0</v>
      </c>
      <c r="DN18" s="146">
        <f t="shared" ca="1" si="51"/>
        <v>0</v>
      </c>
      <c r="DO18" s="146">
        <f t="shared" si="52"/>
        <v>0</v>
      </c>
      <c r="DP18" s="146">
        <f t="shared" ca="1" si="95"/>
        <v>0</v>
      </c>
      <c r="DQ18" s="147">
        <f t="shared" ca="1" si="53"/>
        <v>0</v>
      </c>
      <c r="DR18" s="146">
        <f ca="1">DP18*'Cap Table'!DB$63</f>
        <v>0</v>
      </c>
      <c r="DS18" s="173">
        <f ca="1">IFERROR(IF(OR(DA18='Cap Table'!$B$40,DA18='Cap Table'!$B$41,DA18='Cap Table'!$B$42,DA18='Cap Table'!$B$43),IF(SUM(DC18,CG18,BK18,AO18,S18,)&lt;SUM(DB18,CF18,BJ18,AN18,R18),FV(MAX(DF18,CJ18,BN18,AR18,V18)/12,DATEDIF(CZ18,'Cap Table'!$DB$61,"m"),0,-MAX(DB18,CF18,BJ18,AN18,R18))/(MAX(DE18,CI18,BM18,AQ18,U18,)/'Cap Table'!$DB$62)/IF(DA18=$B$42,(1-MAX(DG$29,CK$29,BO$29,AS$29,W$29)),1),DP18),DP18),0)</f>
        <v>0</v>
      </c>
      <c r="DT18" s="147">
        <f t="shared" ca="1" si="54"/>
        <v>0</v>
      </c>
      <c r="DV18" s="168">
        <f t="shared" ca="1" si="55"/>
        <v>46012</v>
      </c>
      <c r="DW18" s="168" t="str">
        <f t="shared" si="96"/>
        <v>Equity</v>
      </c>
      <c r="DX18" s="169">
        <v>0</v>
      </c>
      <c r="DY18" s="169">
        <f>IF('Cap Table'!DX$80&lt;&gt;"na",IF(OR(DA18='Cap Table'!$B$40,DA18='Cap Table'!$B$41,DA18='Cap Table'!$B$42),DB18-DC18,0),0)</f>
        <v>0</v>
      </c>
      <c r="DZ18" s="171">
        <f t="shared" si="102"/>
        <v>0</v>
      </c>
      <c r="EA18" s="169">
        <f t="shared" si="103"/>
        <v>0</v>
      </c>
      <c r="EB18" s="172">
        <f t="shared" si="104"/>
        <v>0</v>
      </c>
      <c r="EC18" s="293">
        <f t="shared" si="59"/>
        <v>0</v>
      </c>
      <c r="ED18" s="170">
        <f ca="1">FV(EB18/12,DATEDIF(DV18,'Cap Table'!DX$61,"m"),0,-DY18)</f>
        <v>0</v>
      </c>
      <c r="EE18" s="170">
        <f ca="1">IF('Cap Table'!DX$81="no",IFERROR(ED18/(1-DZ18),0),IFERROR(ED18/(1-(MAX(DZ18,IF(EA18=0,0,('Cap Table'!DX$63-EA18/'Cap Table'!DX$62)/'Cap Table'!DX$63)))),0))</f>
        <v>0</v>
      </c>
      <c r="EF18" s="146">
        <f t="shared" ca="1" si="60"/>
        <v>0</v>
      </c>
      <c r="EG18" s="149">
        <f ca="1">IF(AND('Cap Table'!DX$63=0,ED18&gt;0),EA18/IF(DA18=$B$42,DS$56,'Cap Table'!DX$62),IFERROR(IF(EA18=0,'Cap Table'!DX$63*(1-DZ18),MIN('Cap Table'!DX$63*(1-DZ18),EA18/IF(DA18=$B$42,DS$56,'Cap Table'!DX$62))),0))</f>
        <v>0</v>
      </c>
      <c r="EH18" s="170">
        <f t="shared" ca="1" si="97"/>
        <v>0</v>
      </c>
      <c r="EI18" s="170">
        <v>0</v>
      </c>
      <c r="EJ18" s="146">
        <f t="shared" ca="1" si="98"/>
        <v>0</v>
      </c>
      <c r="EK18" s="146">
        <f t="shared" si="61"/>
        <v>0</v>
      </c>
      <c r="EL18" s="146">
        <f t="shared" ca="1" si="99"/>
        <v>0</v>
      </c>
      <c r="EM18" s="147">
        <f t="shared" ca="1" si="62"/>
        <v>0</v>
      </c>
      <c r="EN18" s="146">
        <f ca="1">EL18*'Cap Table'!DX$63</f>
        <v>0</v>
      </c>
      <c r="EO18" s="173">
        <f ca="1">IFERROR(IF(OR(DW18='Cap Table'!$B$40,DW18='Cap Table'!$B$41,DW18='Cap Table'!$B$42,DW18='Cap Table'!$B$43),IF(SUM(DY18,DC18,CG18,BK18,AO18,S18)&lt;SUM(DX18,DB18,CF18,BJ18,AN18,R18),FV(MAX(EB18,DF18,CJ18,BN18,AR18,V18)/12,DATEDIF(DV18,'Cap Table'!DX$61,"m"),0,-MAX(DX18,DB18,CF18,BJ18,AN18,R18))/(MAX(EA18,DE18,CI18,BM18,AQ18,U18)/'Cap Table'!$DX$62)/IF(DW18=$B$42,(1-MAX(EC$29,DG$29,CK$29,BO$29,AS$29,W$29)),1),EL18),EL18),0)</f>
        <v>0</v>
      </c>
      <c r="EP18" s="147">
        <f t="shared" ca="1" si="63"/>
        <v>0</v>
      </c>
      <c r="ER18" s="146">
        <f t="shared" si="64"/>
        <v>0</v>
      </c>
      <c r="ES18" s="146">
        <f t="shared" si="65"/>
        <v>0</v>
      </c>
      <c r="ET18" s="174" t="s">
        <v>27</v>
      </c>
      <c r="EU18" s="174" t="s">
        <v>27</v>
      </c>
      <c r="EV18" s="174" t="s">
        <v>27</v>
      </c>
      <c r="EW18" s="146">
        <f t="shared" ca="1" si="66"/>
        <v>0</v>
      </c>
      <c r="EX18" s="146">
        <f t="shared" ca="1" si="67"/>
        <v>0</v>
      </c>
      <c r="EY18" s="146">
        <f t="shared" ca="1" si="68"/>
        <v>0</v>
      </c>
      <c r="EZ18" s="149">
        <f t="shared" ca="1" si="105"/>
        <v>0</v>
      </c>
      <c r="FA18" s="146">
        <f t="shared" ca="1" si="69"/>
        <v>0</v>
      </c>
      <c r="FB18" s="146">
        <f t="shared" si="70"/>
        <v>0</v>
      </c>
      <c r="FC18" s="146">
        <f t="shared" ca="1" si="100"/>
        <v>0</v>
      </c>
      <c r="FD18" s="146">
        <f t="shared" si="100"/>
        <v>0</v>
      </c>
      <c r="FE18" s="146">
        <f t="shared" ca="1" si="100"/>
        <v>0</v>
      </c>
      <c r="FF18" s="147">
        <f t="shared" ca="1" si="71"/>
        <v>0</v>
      </c>
      <c r="FG18" s="146">
        <f t="shared" ca="1" si="101"/>
        <v>0</v>
      </c>
      <c r="FH18" s="146">
        <f t="shared" ca="1" si="101"/>
        <v>0</v>
      </c>
      <c r="FI18" s="147">
        <f t="shared" ca="1" si="72"/>
        <v>0</v>
      </c>
      <c r="FK18" s="149" t="str">
        <f t="shared" si="0"/>
        <v>Common</v>
      </c>
      <c r="FL18" s="146">
        <f t="shared" ca="1" si="73"/>
        <v>0</v>
      </c>
      <c r="FM18" s="146">
        <f t="shared" ca="1" si="74"/>
        <v>0</v>
      </c>
      <c r="FN18" s="146">
        <f t="shared" ca="1" si="75"/>
        <v>0</v>
      </c>
      <c r="FP18" s="146" t="str">
        <f t="shared" si="76"/>
        <v>Common</v>
      </c>
      <c r="FQ18" s="174" t="str">
        <f t="shared" ca="1" si="77"/>
        <v>na</v>
      </c>
      <c r="FR18" s="174" t="str">
        <f t="shared" ca="1" si="78"/>
        <v>na</v>
      </c>
      <c r="FS18" s="174" t="str">
        <f t="shared" ca="1" si="79"/>
        <v>na</v>
      </c>
    </row>
    <row r="19" spans="2:175">
      <c r="B19" s="145" t="s">
        <v>27</v>
      </c>
      <c r="D19" s="167" t="s">
        <v>27</v>
      </c>
      <c r="E19" s="167" t="str">
        <f t="shared" si="80"/>
        <v>Common</v>
      </c>
      <c r="G19" s="168">
        <f t="shared" ca="1" si="1"/>
        <v>43820</v>
      </c>
      <c r="H19" s="289" t="str">
        <f t="shared" si="2"/>
        <v>Equity</v>
      </c>
      <c r="I19" s="169">
        <v>0</v>
      </c>
      <c r="J19" s="170">
        <v>0</v>
      </c>
      <c r="K19" s="170">
        <f t="shared" si="81"/>
        <v>0</v>
      </c>
      <c r="L19" s="147">
        <f t="shared" si="3"/>
        <v>0</v>
      </c>
      <c r="M19" s="170">
        <f t="shared" si="82"/>
        <v>0</v>
      </c>
      <c r="N19" s="147">
        <f t="shared" si="4"/>
        <v>0</v>
      </c>
      <c r="O19" s="147"/>
      <c r="P19" s="168">
        <f t="shared" ca="1" si="5"/>
        <v>44186</v>
      </c>
      <c r="Q19" s="289" t="str">
        <f t="shared" si="6"/>
        <v>Equity</v>
      </c>
      <c r="R19" s="169">
        <v>0</v>
      </c>
      <c r="S19" s="169">
        <v>0</v>
      </c>
      <c r="T19" s="171">
        <v>0</v>
      </c>
      <c r="U19" s="145">
        <v>0</v>
      </c>
      <c r="V19" s="172">
        <v>0</v>
      </c>
      <c r="W19" s="293">
        <f t="shared" si="7"/>
        <v>0</v>
      </c>
      <c r="X19" s="170">
        <f ca="1">FV(V19/12,DATEDIF(P19,'Cap Table'!R$61,"m"),0,-S19)</f>
        <v>0</v>
      </c>
      <c r="Y19" s="170">
        <f t="shared" ca="1" si="8"/>
        <v>0</v>
      </c>
      <c r="Z19" s="146">
        <f t="shared" ca="1" si="9"/>
        <v>0</v>
      </c>
      <c r="AA19" s="149">
        <f ca="1">IF(AND('Cap Table'!R$63=0,X19&gt;0),U19/'Cap Table'!R$62,IFERROR(IF(U19=0,'Cap Table'!R$63*(1-T19),MIN('Cap Table'!R$63*(1-T19),U19/'Cap Table'!R$62)),0))</f>
        <v>0</v>
      </c>
      <c r="AB19" s="170">
        <f t="shared" ca="1" si="83"/>
        <v>0</v>
      </c>
      <c r="AC19" s="170">
        <v>0</v>
      </c>
      <c r="AD19" s="146">
        <f t="shared" ca="1" si="10"/>
        <v>0</v>
      </c>
      <c r="AE19" s="146">
        <f t="shared" si="11"/>
        <v>0</v>
      </c>
      <c r="AF19" s="146">
        <f t="shared" ca="1" si="84"/>
        <v>0</v>
      </c>
      <c r="AG19" s="147">
        <f t="shared" ca="1" si="12"/>
        <v>0</v>
      </c>
      <c r="AH19" s="146">
        <f ca="1">AF19*'Cap Table'!R$63</f>
        <v>0</v>
      </c>
      <c r="AI19" s="146">
        <f ca="1">IFERROR(IF(OR(Q19='Cap Table'!$B$40,Q19='Cap Table'!$B$41,Q19='Cap Table'!$B$42,Q19='Cap Table'!$B$43),IF(SUM(S19)&lt;SUM(R19),(FV(V19/12,DATEDIF(P19,'Cap Table'!R$61,"m"),0,-R19))/(U19/'Cap Table'!$R$62)/IF(Q19=$B$42,(1-W$29),1),AF19),AF19),0)</f>
        <v>0</v>
      </c>
      <c r="AJ19" s="147">
        <f t="shared" ca="1" si="13"/>
        <v>0</v>
      </c>
      <c r="AL19" s="168">
        <f t="shared" ca="1" si="14"/>
        <v>44551</v>
      </c>
      <c r="AM19" s="168" t="str">
        <f t="shared" si="15"/>
        <v>Equity</v>
      </c>
      <c r="AN19" s="169">
        <v>0</v>
      </c>
      <c r="AO19" s="169">
        <f>IF('Cap Table'!AN$80&lt;&gt;"na",IF(OR(Q19='Cap Table'!$B$40,Q19='Cap Table'!$B$41,Q19='Cap Table'!$B$42),R19-S19,0),0)</f>
        <v>0</v>
      </c>
      <c r="AP19" s="171">
        <f t="shared" si="16"/>
        <v>0</v>
      </c>
      <c r="AQ19" s="169">
        <f t="shared" si="17"/>
        <v>0</v>
      </c>
      <c r="AR19" s="172">
        <f t="shared" si="18"/>
        <v>0</v>
      </c>
      <c r="AS19" s="293">
        <f t="shared" si="19"/>
        <v>0</v>
      </c>
      <c r="AT19" s="170">
        <f ca="1">FV(AR19/12,DATEDIF(AL19,'Cap Table'!AN$61,"m"),0,-AO19)</f>
        <v>0</v>
      </c>
      <c r="AU19" s="170">
        <f ca="1">IF('Cap Table'!AN$81="no",IFERROR(AT19/(1-AP19),0),IFERROR(AT19/(1-(MAX(AP19,IF(AQ19=0,0,('Cap Table'!AN$63-AQ19/'Cap Table'!AN$62)/'Cap Table'!AN$63)))),0))</f>
        <v>0</v>
      </c>
      <c r="AV19" s="146">
        <f t="shared" ca="1" si="20"/>
        <v>0</v>
      </c>
      <c r="AW19" s="149">
        <f ca="1">IF(AND('Cap Table'!AN$63=0,AT19&gt;0),AQ19/IF(AM19=$B$42,AI$56,'Cap Table'!AN$62),IFERROR(IF(AQ19=0,'Cap Table'!AN$63*(1-AP19),MIN('Cap Table'!AN$63*(1-AP19),AQ19/IF(AM19=$B$42,AI$56,'Cap Table'!AN$62))),0))</f>
        <v>0</v>
      </c>
      <c r="AX19" s="170">
        <f t="shared" ca="1" si="85"/>
        <v>0</v>
      </c>
      <c r="AY19" s="170">
        <v>0</v>
      </c>
      <c r="AZ19" s="146">
        <f t="shared" ca="1" si="21"/>
        <v>0</v>
      </c>
      <c r="BA19" s="146">
        <f t="shared" si="22"/>
        <v>0</v>
      </c>
      <c r="BB19" s="146">
        <f t="shared" ca="1" si="86"/>
        <v>0</v>
      </c>
      <c r="BC19" s="147">
        <f t="shared" ca="1" si="23"/>
        <v>0</v>
      </c>
      <c r="BD19" s="146">
        <f ca="1">BB19*'Cap Table'!AN$63</f>
        <v>0</v>
      </c>
      <c r="BE19" s="173">
        <f ca="1">IFERROR(IF(OR(AM19='Cap Table'!$B$40,AM19='Cap Table'!$B$41,AM19='Cap Table'!$B$42,AM19='Cap Table'!$B$43),IF(SUM(AO19,S19)&lt;SUM(AN19,R19),FV(MAX(AR19,V19)/12,DATEDIF(AL19,'Cap Table'!$AN$61,"m"),0,-MAX(AN19,R19))/(MAX(AQ19,U19)/'Cap Table'!$AN$62)/IF(AM19=$B$42,(1-MAX(W40,AS$29)),1),BB19),BB19),0)</f>
        <v>0</v>
      </c>
      <c r="BF19" s="147">
        <f t="shared" ca="1" si="24"/>
        <v>0</v>
      </c>
      <c r="BH19" s="168">
        <f t="shared" ca="1" si="25"/>
        <v>44916</v>
      </c>
      <c r="BI19" s="168" t="str">
        <f t="shared" si="87"/>
        <v>Equity</v>
      </c>
      <c r="BJ19" s="169">
        <v>0</v>
      </c>
      <c r="BK19" s="169">
        <f>IF('Cap Table'!BJ$80&lt;&gt;"na",IF(OR(AM19='Cap Table'!$B$40,AM19='Cap Table'!$B$41,AM19='Cap Table'!$B$42),AN19-AO19,0),0)</f>
        <v>0</v>
      </c>
      <c r="BL19" s="171">
        <f t="shared" si="26"/>
        <v>0</v>
      </c>
      <c r="BM19" s="169">
        <f t="shared" si="27"/>
        <v>0</v>
      </c>
      <c r="BN19" s="172">
        <f t="shared" si="28"/>
        <v>0</v>
      </c>
      <c r="BO19" s="293">
        <f t="shared" si="29"/>
        <v>0</v>
      </c>
      <c r="BP19" s="170">
        <f ca="1">FV(BN19/12,DATEDIF(BH19,'Cap Table'!BJ$61,"m"),0,-BK19)</f>
        <v>0</v>
      </c>
      <c r="BQ19" s="170">
        <f ca="1">IF('Cap Table'!BJ$81="no",IFERROR(BP19/(1-BL19),0),IFERROR(BP19/(1-(MAX(BL19,IF(BM19=0,0,('Cap Table'!BJ$63-BM19/'Cap Table'!BJ$62)/'Cap Table'!BJ$63)))),0))</f>
        <v>0</v>
      </c>
      <c r="BR19" s="146">
        <f t="shared" ca="1" si="30"/>
        <v>0</v>
      </c>
      <c r="BS19" s="149">
        <f ca="1">IF(AND('Cap Table'!BJ$63=0,BP19&gt;0),BM19/IF(BI19=$B$42,BE$56,'Cap Table'!BJ$62),IFERROR(IF(BM19=0,'Cap Table'!BJ$63*(1-BL19),MIN('Cap Table'!BJ$63*(1-BL19),BM19/IF(BI19=$B$42,BE$56,'Cap Table'!BJ$62))),0))</f>
        <v>0</v>
      </c>
      <c r="BT19" s="170">
        <f t="shared" ca="1" si="88"/>
        <v>0</v>
      </c>
      <c r="BU19" s="170">
        <v>0</v>
      </c>
      <c r="BV19" s="146">
        <f t="shared" ca="1" si="31"/>
        <v>0</v>
      </c>
      <c r="BW19" s="146">
        <f t="shared" si="32"/>
        <v>0</v>
      </c>
      <c r="BX19" s="146">
        <f t="shared" ca="1" si="89"/>
        <v>0</v>
      </c>
      <c r="BY19" s="147">
        <f t="shared" ca="1" si="33"/>
        <v>0</v>
      </c>
      <c r="BZ19" s="146">
        <f ca="1">BX19*'Cap Table'!BJ$63</f>
        <v>0</v>
      </c>
      <c r="CA19" s="173">
        <f ca="1">IFERROR(IF(OR(BI19='Cap Table'!$B$40,BI19='Cap Table'!$B$41,BI19='Cap Table'!$B$42,BI19='Cap Table'!$B$43),IF(SUM(BK19,AO19,S19)&lt;SUM(BJ19,AN19,R19),FV(MAX(BN19,AR19,V19)/12,DATEDIF(BH19,'Cap Table'!$BJ$61,"m"),0,-MAX(BJ19,AN19,R19))/(MAX(BM19,AQ19,U19)/'Cap Table'!$BJ$62)/IF(BI19=$B$42,(1-MAX(BO$29,AS$29,W$29)),1),BX19),BX19),0)</f>
        <v>0</v>
      </c>
      <c r="CB19" s="147">
        <f t="shared" ca="1" si="34"/>
        <v>0</v>
      </c>
      <c r="CD19" s="168">
        <f t="shared" ca="1" si="35"/>
        <v>45281</v>
      </c>
      <c r="CE19" s="168" t="str">
        <f t="shared" si="90"/>
        <v>Equity</v>
      </c>
      <c r="CF19" s="169">
        <v>0</v>
      </c>
      <c r="CG19" s="169">
        <f>IF('Cap Table'!CF$80&lt;&gt;"na",IF(OR(BI19='Cap Table'!$B$40,BI19='Cap Table'!$B$41,BI19='Cap Table'!$B$42),BJ19-BK19,0),0)</f>
        <v>0</v>
      </c>
      <c r="CH19" s="171">
        <f t="shared" si="36"/>
        <v>0</v>
      </c>
      <c r="CI19" s="169">
        <f t="shared" si="37"/>
        <v>0</v>
      </c>
      <c r="CJ19" s="172">
        <f t="shared" si="38"/>
        <v>0</v>
      </c>
      <c r="CK19" s="293">
        <f t="shared" si="39"/>
        <v>0</v>
      </c>
      <c r="CL19" s="170">
        <f ca="1">FV(CJ19/12,DATEDIF(CD19,'Cap Table'!CF$61,"m"),0,-CG19)</f>
        <v>0</v>
      </c>
      <c r="CM19" s="170">
        <f ca="1">IF('Cap Table'!CF$81="no",IFERROR(CL19/(1-CH19),0),IFERROR(CL19/(1-(MAX(CH19,IF(CI19=0,0,('Cap Table'!CF$63-CI19/'Cap Table'!CF$62)/'Cap Table'!CF$63)))),0))</f>
        <v>0</v>
      </c>
      <c r="CN19" s="146">
        <f t="shared" ca="1" si="40"/>
        <v>0</v>
      </c>
      <c r="CO19" s="149">
        <f ca="1">IF(AND('Cap Table'!CF$63=0,CL19&gt;0),CI19/IF(CE19=$B$42,CA$56,'Cap Table'!CF$62),IFERROR(IF(CI19=0,'Cap Table'!CF$63*(1-CH19),MIN('Cap Table'!CF$63*(1-CH19),CI19/IF(CE19=$B$42,CA$56,'Cap Table'!CF$62))),0))</f>
        <v>0</v>
      </c>
      <c r="CP19" s="170">
        <f t="shared" ca="1" si="91"/>
        <v>0</v>
      </c>
      <c r="CQ19" s="170">
        <v>0</v>
      </c>
      <c r="CR19" s="146">
        <f t="shared" ca="1" si="41"/>
        <v>0</v>
      </c>
      <c r="CS19" s="146">
        <f t="shared" si="42"/>
        <v>0</v>
      </c>
      <c r="CT19" s="146">
        <f t="shared" ca="1" si="92"/>
        <v>0</v>
      </c>
      <c r="CU19" s="147">
        <f t="shared" ca="1" si="43"/>
        <v>0</v>
      </c>
      <c r="CV19" s="146">
        <f ca="1">CT19*'Cap Table'!CF$63</f>
        <v>0</v>
      </c>
      <c r="CW19" s="173">
        <f ca="1">IFERROR(IF(OR(CE19='Cap Table'!$B$40,CE19='Cap Table'!$B$41,CE19='Cap Table'!$B$42,CE19='Cap Table'!$B$43),IF(SUM(CG19,BK19,AO19,S19)&lt;SUM(CF19,BJ19,AN19,R19),FV(MAX(CJ19,BN19,AR19,V19)/12,DATEDIF(CD19,'Cap Table'!$CF$61,"m"),0,-MAX(CF19,BJ19,AN19,R19))/(MAX(CI19,BM19,AQ19,U19)/'Cap Table'!$CF$62)/IF(CE19=$B$42,(1-MAX(CK$29,BO$29,AS$29,W$29)),1),CT19),CT19),0)</f>
        <v>0</v>
      </c>
      <c r="CX19" s="147">
        <f t="shared" ca="1" si="44"/>
        <v>0</v>
      </c>
      <c r="CZ19" s="168">
        <f t="shared" ca="1" si="45"/>
        <v>45647</v>
      </c>
      <c r="DA19" s="168" t="str">
        <f t="shared" si="93"/>
        <v>Equity</v>
      </c>
      <c r="DB19" s="169">
        <v>0</v>
      </c>
      <c r="DC19" s="169">
        <f>IF('Cap Table'!DB$80&lt;&gt;"na",IF(OR(CE19='Cap Table'!$B$40,CE19='Cap Table'!$B$41,CE19='Cap Table'!$B$42),CF19-CG19,0),0)</f>
        <v>0</v>
      </c>
      <c r="DD19" s="171">
        <f t="shared" si="46"/>
        <v>0</v>
      </c>
      <c r="DE19" s="169">
        <f t="shared" si="47"/>
        <v>0</v>
      </c>
      <c r="DF19" s="172">
        <f t="shared" si="48"/>
        <v>0</v>
      </c>
      <c r="DG19" s="293">
        <f t="shared" si="49"/>
        <v>0</v>
      </c>
      <c r="DH19" s="170">
        <f ca="1">FV(DF19/12,DATEDIF(CZ19,'Cap Table'!DB$61,"m"),0,-DC19)</f>
        <v>0</v>
      </c>
      <c r="DI19" s="170">
        <f ca="1">IF('Cap Table'!DB$81="no",IFERROR(DH19/(1-DD19),0),IFERROR(DH19/(1-(MAX(DD19,IF(DE19=0,0,('Cap Table'!DB$63-DE19/'Cap Table'!DB$62)/'Cap Table'!DB$63)))),0))</f>
        <v>0</v>
      </c>
      <c r="DJ19" s="146">
        <f t="shared" ca="1" si="50"/>
        <v>0</v>
      </c>
      <c r="DK19" s="149">
        <f ca="1">IF(AND('Cap Table'!DB$63=0,DH19&gt;0),DE19/'Cap Table'!DB$62,IFERROR(IF(DE19=0,'Cap Table'!DB$63*(1-DD19),MIN('Cap Table'!DB$63*(1-DD19),DE19/'Cap Table'!DB$62)),0))</f>
        <v>0</v>
      </c>
      <c r="DL19" s="170">
        <f t="shared" ca="1" si="94"/>
        <v>0</v>
      </c>
      <c r="DM19" s="170">
        <v>0</v>
      </c>
      <c r="DN19" s="146">
        <f t="shared" ca="1" si="51"/>
        <v>0</v>
      </c>
      <c r="DO19" s="146">
        <f t="shared" si="52"/>
        <v>0</v>
      </c>
      <c r="DP19" s="146">
        <f t="shared" ca="1" si="95"/>
        <v>0</v>
      </c>
      <c r="DQ19" s="147">
        <f t="shared" ca="1" si="53"/>
        <v>0</v>
      </c>
      <c r="DR19" s="146">
        <f ca="1">DP19*'Cap Table'!DB$63</f>
        <v>0</v>
      </c>
      <c r="DS19" s="173">
        <f ca="1">IFERROR(IF(OR(DA19='Cap Table'!$B$40,DA19='Cap Table'!$B$41,DA19='Cap Table'!$B$42,DA19='Cap Table'!$B$43),IF(SUM(DC19,CG19,BK19,AO19,S19,)&lt;SUM(DB19,CF19,BJ19,AN19,R19),FV(MAX(DF19,CJ19,BN19,AR19,V19)/12,DATEDIF(CZ19,'Cap Table'!$DB$61,"m"),0,-MAX(DB19,CF19,BJ19,AN19,R19))/(MAX(DE19,CI19,BM19,AQ19,U19,)/'Cap Table'!$DB$62)/IF(DA19=$B$42,(1-MAX(DG$29,CK$29,BO$29,AS$29,W$29)),1),DP19),DP19),0)</f>
        <v>0</v>
      </c>
      <c r="DT19" s="147">
        <f t="shared" ca="1" si="54"/>
        <v>0</v>
      </c>
      <c r="DV19" s="168">
        <f t="shared" ca="1" si="55"/>
        <v>46012</v>
      </c>
      <c r="DW19" s="168" t="str">
        <f t="shared" si="96"/>
        <v>Equity</v>
      </c>
      <c r="DX19" s="169">
        <v>0</v>
      </c>
      <c r="DY19" s="169">
        <f>IF('Cap Table'!DX$80&lt;&gt;"na",IF(OR(DA19='Cap Table'!$B$40,DA19='Cap Table'!$B$41,DA19='Cap Table'!$B$42),DB19-DC19,0),0)</f>
        <v>0</v>
      </c>
      <c r="DZ19" s="171">
        <f t="shared" si="102"/>
        <v>0</v>
      </c>
      <c r="EA19" s="169">
        <f t="shared" si="103"/>
        <v>0</v>
      </c>
      <c r="EB19" s="172">
        <f t="shared" si="104"/>
        <v>0</v>
      </c>
      <c r="EC19" s="293">
        <f t="shared" si="59"/>
        <v>0</v>
      </c>
      <c r="ED19" s="170">
        <f ca="1">FV(EB19/12,DATEDIF(DV19,'Cap Table'!DX$61,"m"),0,-DY19)</f>
        <v>0</v>
      </c>
      <c r="EE19" s="170">
        <f ca="1">IF('Cap Table'!DX$81="no",IFERROR(ED19/(1-DZ19),0),IFERROR(ED19/(1-(MAX(DZ19,IF(EA19=0,0,('Cap Table'!DX$63-EA19/'Cap Table'!DX$62)/'Cap Table'!DX$63)))),0))</f>
        <v>0</v>
      </c>
      <c r="EF19" s="146">
        <f t="shared" ca="1" si="60"/>
        <v>0</v>
      </c>
      <c r="EG19" s="149">
        <f ca="1">IF(AND('Cap Table'!DX$63=0,ED19&gt;0),EA19/IF(DA19=$B$42,DS$56,'Cap Table'!DX$62),IFERROR(IF(EA19=0,'Cap Table'!DX$63*(1-DZ19),MIN('Cap Table'!DX$63*(1-DZ19),EA19/IF(DA19=$B$42,DS$56,'Cap Table'!DX$62))),0))</f>
        <v>0</v>
      </c>
      <c r="EH19" s="170">
        <f t="shared" ca="1" si="97"/>
        <v>0</v>
      </c>
      <c r="EI19" s="170">
        <v>0</v>
      </c>
      <c r="EJ19" s="146">
        <f t="shared" ca="1" si="98"/>
        <v>0</v>
      </c>
      <c r="EK19" s="146">
        <f t="shared" si="61"/>
        <v>0</v>
      </c>
      <c r="EL19" s="146">
        <f t="shared" ca="1" si="99"/>
        <v>0</v>
      </c>
      <c r="EM19" s="147">
        <f t="shared" ca="1" si="62"/>
        <v>0</v>
      </c>
      <c r="EN19" s="146">
        <f ca="1">EL19*'Cap Table'!DX$63</f>
        <v>0</v>
      </c>
      <c r="EO19" s="173">
        <f ca="1">IFERROR(IF(OR(DW19='Cap Table'!$B$40,DW19='Cap Table'!$B$41,DW19='Cap Table'!$B$42,DW19='Cap Table'!$B$43),IF(SUM(DY19,DC19,CG19,BK19,AO19,S19)&lt;SUM(DX19,DB19,CF19,BJ19,AN19,R19),FV(MAX(EB19,DF19,CJ19,BN19,AR19,V19)/12,DATEDIF(DV19,'Cap Table'!DX$61,"m"),0,-MAX(DX19,DB19,CF19,BJ19,AN19,R19))/(MAX(EA19,DE19,CI19,BM19,AQ19,U19)/'Cap Table'!$DX$62)/IF(DW19=$B$42,(1-MAX(EC$29,DG$29,CK$29,BO$29,AS$29,W$29)),1),EL19),EL19),0)</f>
        <v>0</v>
      </c>
      <c r="EP19" s="147">
        <f t="shared" ca="1" si="63"/>
        <v>0</v>
      </c>
      <c r="ER19" s="146">
        <f t="shared" si="64"/>
        <v>0</v>
      </c>
      <c r="ES19" s="146">
        <f t="shared" si="65"/>
        <v>0</v>
      </c>
      <c r="ET19" s="174" t="s">
        <v>27</v>
      </c>
      <c r="EU19" s="174" t="s">
        <v>27</v>
      </c>
      <c r="EV19" s="174" t="s">
        <v>27</v>
      </c>
      <c r="EW19" s="146">
        <f t="shared" ca="1" si="66"/>
        <v>0</v>
      </c>
      <c r="EX19" s="146">
        <f t="shared" ca="1" si="67"/>
        <v>0</v>
      </c>
      <c r="EY19" s="146">
        <f t="shared" ca="1" si="68"/>
        <v>0</v>
      </c>
      <c r="EZ19" s="149">
        <f t="shared" ca="1" si="105"/>
        <v>0</v>
      </c>
      <c r="FA19" s="146">
        <f t="shared" ca="1" si="69"/>
        <v>0</v>
      </c>
      <c r="FB19" s="146">
        <f t="shared" si="70"/>
        <v>0</v>
      </c>
      <c r="FC19" s="146">
        <f t="shared" ca="1" si="100"/>
        <v>0</v>
      </c>
      <c r="FD19" s="146">
        <f t="shared" si="100"/>
        <v>0</v>
      </c>
      <c r="FE19" s="146">
        <f t="shared" ca="1" si="100"/>
        <v>0</v>
      </c>
      <c r="FF19" s="147">
        <f t="shared" ca="1" si="71"/>
        <v>0</v>
      </c>
      <c r="FG19" s="146">
        <f t="shared" ca="1" si="101"/>
        <v>0</v>
      </c>
      <c r="FH19" s="146">
        <f t="shared" ca="1" si="101"/>
        <v>0</v>
      </c>
      <c r="FI19" s="147">
        <f t="shared" ca="1" si="72"/>
        <v>0</v>
      </c>
      <c r="FK19" s="149" t="str">
        <f t="shared" si="0"/>
        <v>Common</v>
      </c>
      <c r="FL19" s="146">
        <f t="shared" ca="1" si="73"/>
        <v>0</v>
      </c>
      <c r="FM19" s="146">
        <f t="shared" ca="1" si="74"/>
        <v>0</v>
      </c>
      <c r="FN19" s="146">
        <f t="shared" ca="1" si="75"/>
        <v>0</v>
      </c>
      <c r="FP19" s="146" t="str">
        <f t="shared" si="76"/>
        <v>Common</v>
      </c>
      <c r="FQ19" s="174" t="str">
        <f t="shared" ca="1" si="77"/>
        <v>na</v>
      </c>
      <c r="FR19" s="174" t="str">
        <f t="shared" ca="1" si="78"/>
        <v>na</v>
      </c>
      <c r="FS19" s="174" t="str">
        <f t="shared" ca="1" si="79"/>
        <v>na</v>
      </c>
    </row>
    <row r="20" spans="2:175">
      <c r="B20" s="145" t="s">
        <v>27</v>
      </c>
      <c r="D20" s="167" t="s">
        <v>27</v>
      </c>
      <c r="E20" s="167" t="str">
        <f t="shared" si="80"/>
        <v>Common</v>
      </c>
      <c r="G20" s="168">
        <f t="shared" ca="1" si="1"/>
        <v>43820</v>
      </c>
      <c r="H20" s="289" t="str">
        <f t="shared" si="2"/>
        <v>Equity</v>
      </c>
      <c r="I20" s="169">
        <v>0</v>
      </c>
      <c r="J20" s="170">
        <v>0</v>
      </c>
      <c r="K20" s="170">
        <f t="shared" si="81"/>
        <v>0</v>
      </c>
      <c r="L20" s="147">
        <f t="shared" si="3"/>
        <v>0</v>
      </c>
      <c r="M20" s="170">
        <f t="shared" si="82"/>
        <v>0</v>
      </c>
      <c r="N20" s="147">
        <f t="shared" si="4"/>
        <v>0</v>
      </c>
      <c r="O20" s="147"/>
      <c r="P20" s="168">
        <f t="shared" ca="1" si="5"/>
        <v>44186</v>
      </c>
      <c r="Q20" s="289" t="str">
        <f t="shared" si="6"/>
        <v>Equity</v>
      </c>
      <c r="R20" s="169">
        <v>0</v>
      </c>
      <c r="S20" s="169">
        <v>0</v>
      </c>
      <c r="T20" s="171">
        <v>0</v>
      </c>
      <c r="U20" s="145">
        <v>0</v>
      </c>
      <c r="V20" s="172">
        <v>0</v>
      </c>
      <c r="W20" s="293">
        <f t="shared" si="7"/>
        <v>0</v>
      </c>
      <c r="X20" s="170">
        <f ca="1">FV(V20/12,DATEDIF(P20,'Cap Table'!R$61,"m"),0,-S20)</f>
        <v>0</v>
      </c>
      <c r="Y20" s="170">
        <f t="shared" ca="1" si="8"/>
        <v>0</v>
      </c>
      <c r="Z20" s="146">
        <f t="shared" ca="1" si="9"/>
        <v>0</v>
      </c>
      <c r="AA20" s="149">
        <f ca="1">IF(AND('Cap Table'!R$63=0,X20&gt;0),U20/'Cap Table'!R$62,IFERROR(IF(U20=0,'Cap Table'!R$63*(1-T20),MIN('Cap Table'!R$63*(1-T20),U20/'Cap Table'!R$62)),0))</f>
        <v>0</v>
      </c>
      <c r="AB20" s="170">
        <f t="shared" ca="1" si="83"/>
        <v>0</v>
      </c>
      <c r="AC20" s="170">
        <v>0</v>
      </c>
      <c r="AD20" s="146">
        <f t="shared" ca="1" si="10"/>
        <v>0</v>
      </c>
      <c r="AE20" s="146">
        <f t="shared" si="11"/>
        <v>0</v>
      </c>
      <c r="AF20" s="146">
        <f t="shared" ca="1" si="84"/>
        <v>0</v>
      </c>
      <c r="AG20" s="147">
        <f t="shared" ca="1" si="12"/>
        <v>0</v>
      </c>
      <c r="AH20" s="146">
        <f ca="1">AF20*'Cap Table'!R$63</f>
        <v>0</v>
      </c>
      <c r="AI20" s="146">
        <f ca="1">IFERROR(IF(OR(Q20='Cap Table'!$B$40,Q20='Cap Table'!$B$41,Q20='Cap Table'!$B$42,Q20='Cap Table'!$B$43),IF(SUM(S20)&lt;SUM(R20),(FV(V20/12,DATEDIF(P20,'Cap Table'!R$61,"m"),0,-R20))/(U20/'Cap Table'!$R$62)/IF(Q20=$B$42,(1-W$29),1),AF20),AF20),0)</f>
        <v>0</v>
      </c>
      <c r="AJ20" s="147">
        <f t="shared" ca="1" si="13"/>
        <v>0</v>
      </c>
      <c r="AL20" s="168">
        <f t="shared" ca="1" si="14"/>
        <v>44551</v>
      </c>
      <c r="AM20" s="168" t="str">
        <f t="shared" si="15"/>
        <v>Equity</v>
      </c>
      <c r="AN20" s="169">
        <v>0</v>
      </c>
      <c r="AO20" s="169">
        <f>IF('Cap Table'!AN$80&lt;&gt;"na",IF(OR(Q20='Cap Table'!$B$40,Q20='Cap Table'!$B$41,Q20='Cap Table'!$B$42),R20-S20,0),0)</f>
        <v>0</v>
      </c>
      <c r="AP20" s="171">
        <f t="shared" si="16"/>
        <v>0</v>
      </c>
      <c r="AQ20" s="169">
        <f t="shared" si="17"/>
        <v>0</v>
      </c>
      <c r="AR20" s="172">
        <f t="shared" si="18"/>
        <v>0</v>
      </c>
      <c r="AS20" s="293">
        <f t="shared" si="19"/>
        <v>0</v>
      </c>
      <c r="AT20" s="170">
        <f ca="1">FV(AR20/12,DATEDIF(AL20,'Cap Table'!AN$61,"m"),0,-AO20)</f>
        <v>0</v>
      </c>
      <c r="AU20" s="170">
        <f ca="1">IF('Cap Table'!AN$81="no",IFERROR(AT20/(1-AP20),0),IFERROR(AT20/(1-(MAX(AP20,IF(AQ20=0,0,('Cap Table'!AN$63-AQ20/'Cap Table'!AN$62)/'Cap Table'!AN$63)))),0))</f>
        <v>0</v>
      </c>
      <c r="AV20" s="146">
        <f t="shared" ca="1" si="20"/>
        <v>0</v>
      </c>
      <c r="AW20" s="149">
        <f ca="1">IF(AND('Cap Table'!AN$63=0,AT20&gt;0),AQ20/IF(AM20=$B$42,AI$56,'Cap Table'!AN$62),IFERROR(IF(AQ20=0,'Cap Table'!AN$63*(1-AP20),MIN('Cap Table'!AN$63*(1-AP20),AQ20/IF(AM20=$B$42,AI$56,'Cap Table'!AN$62))),0))</f>
        <v>0</v>
      </c>
      <c r="AX20" s="170">
        <f t="shared" ca="1" si="85"/>
        <v>0</v>
      </c>
      <c r="AY20" s="170">
        <v>0</v>
      </c>
      <c r="AZ20" s="146">
        <f t="shared" ca="1" si="21"/>
        <v>0</v>
      </c>
      <c r="BA20" s="146">
        <f t="shared" si="22"/>
        <v>0</v>
      </c>
      <c r="BB20" s="146">
        <f t="shared" ca="1" si="86"/>
        <v>0</v>
      </c>
      <c r="BC20" s="147">
        <f t="shared" ca="1" si="23"/>
        <v>0</v>
      </c>
      <c r="BD20" s="146">
        <f ca="1">BB20*'Cap Table'!AN$63</f>
        <v>0</v>
      </c>
      <c r="BE20" s="173">
        <f ca="1">IFERROR(IF(OR(AM20='Cap Table'!$B$40,AM20='Cap Table'!$B$41,AM20='Cap Table'!$B$42,AM20='Cap Table'!$B$43),IF(SUM(AO20,S20)&lt;SUM(AN20,R20),FV(MAX(AR20,V20)/12,DATEDIF(AL20,'Cap Table'!$AN$61,"m"),0,-MAX(AN20,R20))/(MAX(AQ20,U20)/'Cap Table'!$AN$62)/IF(AM20=$B$42,(1-MAX(W41,AS$29)),1),BB20),BB20),0)</f>
        <v>0</v>
      </c>
      <c r="BF20" s="147">
        <f t="shared" ca="1" si="24"/>
        <v>0</v>
      </c>
      <c r="BH20" s="168">
        <f t="shared" ca="1" si="25"/>
        <v>44916</v>
      </c>
      <c r="BI20" s="168" t="str">
        <f t="shared" si="87"/>
        <v>Equity</v>
      </c>
      <c r="BJ20" s="169">
        <v>0</v>
      </c>
      <c r="BK20" s="169">
        <f>IF('Cap Table'!BJ$80&lt;&gt;"na",IF(OR(AM20='Cap Table'!$B$40,AM20='Cap Table'!$B$41,AM20='Cap Table'!$B$42),AN20-AO20,0),0)</f>
        <v>0</v>
      </c>
      <c r="BL20" s="171">
        <f t="shared" si="26"/>
        <v>0</v>
      </c>
      <c r="BM20" s="169">
        <f t="shared" si="27"/>
        <v>0</v>
      </c>
      <c r="BN20" s="172">
        <f t="shared" si="28"/>
        <v>0</v>
      </c>
      <c r="BO20" s="293">
        <f t="shared" si="29"/>
        <v>0</v>
      </c>
      <c r="BP20" s="170">
        <f ca="1">FV(BN20/12,DATEDIF(BH20,'Cap Table'!BJ$61,"m"),0,-BK20)</f>
        <v>0</v>
      </c>
      <c r="BQ20" s="170">
        <f ca="1">IF('Cap Table'!BJ$81="no",IFERROR(BP20/(1-BL20),0),IFERROR(BP20/(1-(MAX(BL20,IF(BM20=0,0,('Cap Table'!BJ$63-BM20/'Cap Table'!BJ$62)/'Cap Table'!BJ$63)))),0))</f>
        <v>0</v>
      </c>
      <c r="BR20" s="146">
        <f t="shared" ca="1" si="30"/>
        <v>0</v>
      </c>
      <c r="BS20" s="149">
        <f ca="1">IF(AND('Cap Table'!BJ$63=0,BP20&gt;0),BM20/IF(BI20=$B$42,BE$56,'Cap Table'!BJ$62),IFERROR(IF(BM20=0,'Cap Table'!BJ$63*(1-BL20),MIN('Cap Table'!BJ$63*(1-BL20),BM20/IF(BI20=$B$42,BE$56,'Cap Table'!BJ$62))),0))</f>
        <v>0</v>
      </c>
      <c r="BT20" s="170">
        <f t="shared" ca="1" si="88"/>
        <v>0</v>
      </c>
      <c r="BU20" s="170">
        <v>0</v>
      </c>
      <c r="BV20" s="146">
        <f t="shared" ca="1" si="31"/>
        <v>0</v>
      </c>
      <c r="BW20" s="146">
        <f t="shared" si="32"/>
        <v>0</v>
      </c>
      <c r="BX20" s="146">
        <f t="shared" ca="1" si="89"/>
        <v>0</v>
      </c>
      <c r="BY20" s="147">
        <f t="shared" ca="1" si="33"/>
        <v>0</v>
      </c>
      <c r="BZ20" s="146">
        <f ca="1">BX20*'Cap Table'!BJ$63</f>
        <v>0</v>
      </c>
      <c r="CA20" s="173">
        <f ca="1">IFERROR(IF(OR(BI20='Cap Table'!$B$40,BI20='Cap Table'!$B$41,BI20='Cap Table'!$B$42,BI20='Cap Table'!$B$43),IF(SUM(BK20,AO20,S20)&lt;SUM(BJ20,AN20,R20),FV(MAX(BN20,AR20,V20)/12,DATEDIF(BH20,'Cap Table'!$BJ$61,"m"),0,-MAX(BJ20,AN20,R20))/(MAX(BM20,AQ20,U20)/'Cap Table'!$BJ$62)/IF(BI20=$B$42,(1-MAX(BO$29,AS$29,W$29)),1),BX20),BX20),0)</f>
        <v>0</v>
      </c>
      <c r="CB20" s="147">
        <f t="shared" ca="1" si="34"/>
        <v>0</v>
      </c>
      <c r="CD20" s="168">
        <f t="shared" ca="1" si="35"/>
        <v>45281</v>
      </c>
      <c r="CE20" s="168" t="str">
        <f t="shared" si="90"/>
        <v>Equity</v>
      </c>
      <c r="CF20" s="169">
        <v>0</v>
      </c>
      <c r="CG20" s="169">
        <f>IF('Cap Table'!CF$80&lt;&gt;"na",IF(OR(BI20='Cap Table'!$B$40,BI20='Cap Table'!$B$41,BI20='Cap Table'!$B$42),BJ20-BK20,0),0)</f>
        <v>0</v>
      </c>
      <c r="CH20" s="171">
        <f t="shared" si="36"/>
        <v>0</v>
      </c>
      <c r="CI20" s="169">
        <f t="shared" si="37"/>
        <v>0</v>
      </c>
      <c r="CJ20" s="172">
        <f t="shared" si="38"/>
        <v>0</v>
      </c>
      <c r="CK20" s="293">
        <f t="shared" si="39"/>
        <v>0</v>
      </c>
      <c r="CL20" s="170">
        <f ca="1">FV(CJ20/12,DATEDIF(CD20,'Cap Table'!CF$61,"m"),0,-CG20)</f>
        <v>0</v>
      </c>
      <c r="CM20" s="170">
        <f ca="1">IF('Cap Table'!CF$81="no",IFERROR(CL20/(1-CH20),0),IFERROR(CL20/(1-(MAX(CH20,IF(CI20=0,0,('Cap Table'!CF$63-CI20/'Cap Table'!CF$62)/'Cap Table'!CF$63)))),0))</f>
        <v>0</v>
      </c>
      <c r="CN20" s="146">
        <f t="shared" ca="1" si="40"/>
        <v>0</v>
      </c>
      <c r="CO20" s="149">
        <f ca="1">IF(AND('Cap Table'!CF$63=0,CL20&gt;0),CI20/IF(CE20=$B$42,CA$56,'Cap Table'!CF$62),IFERROR(IF(CI20=0,'Cap Table'!CF$63*(1-CH20),MIN('Cap Table'!CF$63*(1-CH20),CI20/IF(CE20=$B$42,CA$56,'Cap Table'!CF$62))),0))</f>
        <v>0</v>
      </c>
      <c r="CP20" s="170">
        <f t="shared" ca="1" si="91"/>
        <v>0</v>
      </c>
      <c r="CQ20" s="170">
        <v>0</v>
      </c>
      <c r="CR20" s="146">
        <f t="shared" ca="1" si="41"/>
        <v>0</v>
      </c>
      <c r="CS20" s="146">
        <f t="shared" si="42"/>
        <v>0</v>
      </c>
      <c r="CT20" s="146">
        <f t="shared" ca="1" si="92"/>
        <v>0</v>
      </c>
      <c r="CU20" s="147">
        <f t="shared" ca="1" si="43"/>
        <v>0</v>
      </c>
      <c r="CV20" s="146">
        <f ca="1">CT20*'Cap Table'!CF$63</f>
        <v>0</v>
      </c>
      <c r="CW20" s="173">
        <f ca="1">IFERROR(IF(OR(CE20='Cap Table'!$B$40,CE20='Cap Table'!$B$41,CE20='Cap Table'!$B$42,CE20='Cap Table'!$B$43),IF(SUM(CG20,BK20,AO20,S20)&lt;SUM(CF20,BJ20,AN20,R20),FV(MAX(CJ20,BN20,AR20,V20)/12,DATEDIF(CD20,'Cap Table'!$CF$61,"m"),0,-MAX(CF20,BJ20,AN20,R20))/(MAX(CI20,BM20,AQ20,U20)/'Cap Table'!$CF$62)/IF(CE20=$B$42,(1-MAX(CK$29,BO$29,AS$29,W$29)),1),CT20),CT20),0)</f>
        <v>0</v>
      </c>
      <c r="CX20" s="147">
        <f t="shared" ca="1" si="44"/>
        <v>0</v>
      </c>
      <c r="CZ20" s="168">
        <f t="shared" ca="1" si="45"/>
        <v>45647</v>
      </c>
      <c r="DA20" s="168" t="str">
        <f t="shared" si="93"/>
        <v>Equity</v>
      </c>
      <c r="DB20" s="169">
        <v>0</v>
      </c>
      <c r="DC20" s="169">
        <f>IF('Cap Table'!DB$80&lt;&gt;"na",IF(OR(CE20='Cap Table'!$B$40,CE20='Cap Table'!$B$41,CE20='Cap Table'!$B$42),CF20-CG20,0),0)</f>
        <v>0</v>
      </c>
      <c r="DD20" s="171">
        <f t="shared" si="46"/>
        <v>0</v>
      </c>
      <c r="DE20" s="169">
        <f t="shared" si="47"/>
        <v>0</v>
      </c>
      <c r="DF20" s="172">
        <f t="shared" si="48"/>
        <v>0</v>
      </c>
      <c r="DG20" s="293">
        <f t="shared" si="49"/>
        <v>0</v>
      </c>
      <c r="DH20" s="170">
        <f ca="1">FV(DF20/12,DATEDIF(CZ20,'Cap Table'!DB$61,"m"),0,-DC20)</f>
        <v>0</v>
      </c>
      <c r="DI20" s="170">
        <f ca="1">IF('Cap Table'!DB$81="no",IFERROR(DH20/(1-DD20),0),IFERROR(DH20/(1-(MAX(DD20,IF(DE20=0,0,('Cap Table'!DB$63-DE20/'Cap Table'!DB$62)/'Cap Table'!DB$63)))),0))</f>
        <v>0</v>
      </c>
      <c r="DJ20" s="146">
        <f t="shared" ca="1" si="50"/>
        <v>0</v>
      </c>
      <c r="DK20" s="149">
        <f ca="1">IF(AND('Cap Table'!DB$63=0,DH20&gt;0),DE20/'Cap Table'!DB$62,IFERROR(IF(DE20=0,'Cap Table'!DB$63*(1-DD20),MIN('Cap Table'!DB$63*(1-DD20),DE20/'Cap Table'!DB$62)),0))</f>
        <v>0</v>
      </c>
      <c r="DL20" s="170">
        <f t="shared" ca="1" si="94"/>
        <v>0</v>
      </c>
      <c r="DM20" s="170">
        <v>0</v>
      </c>
      <c r="DN20" s="146">
        <f t="shared" ca="1" si="51"/>
        <v>0</v>
      </c>
      <c r="DO20" s="146">
        <f t="shared" si="52"/>
        <v>0</v>
      </c>
      <c r="DP20" s="146">
        <f t="shared" ca="1" si="95"/>
        <v>0</v>
      </c>
      <c r="DQ20" s="147">
        <f t="shared" ca="1" si="53"/>
        <v>0</v>
      </c>
      <c r="DR20" s="146">
        <f ca="1">DP20*'Cap Table'!DB$63</f>
        <v>0</v>
      </c>
      <c r="DS20" s="173">
        <f ca="1">IFERROR(IF(OR(DA20='Cap Table'!$B$40,DA20='Cap Table'!$B$41,DA20='Cap Table'!$B$42,DA20='Cap Table'!$B$43),IF(SUM(DC20,CG20,BK20,AO20,S20,)&lt;SUM(DB20,CF20,BJ20,AN20,R20),FV(MAX(DF20,CJ20,BN20,AR20,V20)/12,DATEDIF(CZ20,'Cap Table'!$DB$61,"m"),0,-MAX(DB20,CF20,BJ20,AN20,R20))/(MAX(DE20,CI20,BM20,AQ20,U20,)/'Cap Table'!$DB$62)/IF(DA20=$B$42,(1-MAX(DG$29,CK$29,BO$29,AS$29,W$29)),1),DP20),DP20),0)</f>
        <v>0</v>
      </c>
      <c r="DT20" s="147">
        <f t="shared" ca="1" si="54"/>
        <v>0</v>
      </c>
      <c r="DV20" s="168">
        <f t="shared" ca="1" si="55"/>
        <v>46012</v>
      </c>
      <c r="DW20" s="168" t="str">
        <f t="shared" si="96"/>
        <v>Equity</v>
      </c>
      <c r="DX20" s="169">
        <v>0</v>
      </c>
      <c r="DY20" s="169">
        <f>IF('Cap Table'!DX$80&lt;&gt;"na",IF(OR(DA20='Cap Table'!$B$40,DA20='Cap Table'!$B$41,DA20='Cap Table'!$B$42),DB20-DC20,0),0)</f>
        <v>0</v>
      </c>
      <c r="DZ20" s="171">
        <f t="shared" si="102"/>
        <v>0</v>
      </c>
      <c r="EA20" s="169">
        <f t="shared" si="103"/>
        <v>0</v>
      </c>
      <c r="EB20" s="172">
        <f t="shared" si="104"/>
        <v>0</v>
      </c>
      <c r="EC20" s="293">
        <f t="shared" si="59"/>
        <v>0</v>
      </c>
      <c r="ED20" s="170">
        <f ca="1">FV(EB20/12,DATEDIF(DV20,'Cap Table'!DX$61,"m"),0,-DY20)</f>
        <v>0</v>
      </c>
      <c r="EE20" s="170">
        <f ca="1">IF('Cap Table'!DX$81="no",IFERROR(ED20/(1-DZ20),0),IFERROR(ED20/(1-(MAX(DZ20,IF(EA20=0,0,('Cap Table'!DX$63-EA20/'Cap Table'!DX$62)/'Cap Table'!DX$63)))),0))</f>
        <v>0</v>
      </c>
      <c r="EF20" s="146">
        <f t="shared" ca="1" si="60"/>
        <v>0</v>
      </c>
      <c r="EG20" s="149">
        <f ca="1">IF(AND('Cap Table'!DX$63=0,ED20&gt;0),EA20/IF(DA20=$B$42,DS$56,'Cap Table'!DX$62),IFERROR(IF(EA20=0,'Cap Table'!DX$63*(1-DZ20),MIN('Cap Table'!DX$63*(1-DZ20),EA20/IF(DA20=$B$42,DS$56,'Cap Table'!DX$62))),0))</f>
        <v>0</v>
      </c>
      <c r="EH20" s="170">
        <f t="shared" ca="1" si="97"/>
        <v>0</v>
      </c>
      <c r="EI20" s="170">
        <v>0</v>
      </c>
      <c r="EJ20" s="146">
        <f t="shared" ca="1" si="98"/>
        <v>0</v>
      </c>
      <c r="EK20" s="146">
        <f t="shared" si="61"/>
        <v>0</v>
      </c>
      <c r="EL20" s="146">
        <f t="shared" ca="1" si="99"/>
        <v>0</v>
      </c>
      <c r="EM20" s="147">
        <f t="shared" ca="1" si="62"/>
        <v>0</v>
      </c>
      <c r="EN20" s="146">
        <f ca="1">EL20*'Cap Table'!DX$63</f>
        <v>0</v>
      </c>
      <c r="EO20" s="173">
        <f ca="1">IFERROR(IF(OR(DW20='Cap Table'!$B$40,DW20='Cap Table'!$B$41,DW20='Cap Table'!$B$42,DW20='Cap Table'!$B$43),IF(SUM(DY20,DC20,CG20,BK20,AO20,S20)&lt;SUM(DX20,DB20,CF20,BJ20,AN20,R20),FV(MAX(EB20,DF20,CJ20,BN20,AR20,V20)/12,DATEDIF(DV20,'Cap Table'!DX$61,"m"),0,-MAX(DX20,DB20,CF20,BJ20,AN20,R20))/(MAX(EA20,DE20,CI20,BM20,AQ20,U20)/'Cap Table'!$DX$62)/IF(DW20=$B$42,(1-MAX(EC$29,DG$29,CK$29,BO$29,AS$29,W$29)),1),EL20),EL20),0)</f>
        <v>0</v>
      </c>
      <c r="EP20" s="147">
        <f t="shared" ca="1" si="63"/>
        <v>0</v>
      </c>
      <c r="ER20" s="146">
        <f t="shared" si="64"/>
        <v>0</v>
      </c>
      <c r="ES20" s="146">
        <f t="shared" si="65"/>
        <v>0</v>
      </c>
      <c r="ET20" s="174" t="s">
        <v>27</v>
      </c>
      <c r="EU20" s="174" t="s">
        <v>27</v>
      </c>
      <c r="EV20" s="174" t="s">
        <v>27</v>
      </c>
      <c r="EW20" s="146">
        <f t="shared" ca="1" si="66"/>
        <v>0</v>
      </c>
      <c r="EX20" s="146">
        <f t="shared" ca="1" si="67"/>
        <v>0</v>
      </c>
      <c r="EY20" s="146">
        <f t="shared" ca="1" si="68"/>
        <v>0</v>
      </c>
      <c r="EZ20" s="149">
        <f t="shared" ca="1" si="105"/>
        <v>0</v>
      </c>
      <c r="FA20" s="146">
        <f t="shared" ca="1" si="69"/>
        <v>0</v>
      </c>
      <c r="FB20" s="146">
        <f t="shared" si="70"/>
        <v>0</v>
      </c>
      <c r="FC20" s="146">
        <f t="shared" ca="1" si="100"/>
        <v>0</v>
      </c>
      <c r="FD20" s="146">
        <f t="shared" si="100"/>
        <v>0</v>
      </c>
      <c r="FE20" s="146">
        <f t="shared" ca="1" si="100"/>
        <v>0</v>
      </c>
      <c r="FF20" s="147">
        <f t="shared" ca="1" si="71"/>
        <v>0</v>
      </c>
      <c r="FG20" s="146">
        <f t="shared" ca="1" si="101"/>
        <v>0</v>
      </c>
      <c r="FH20" s="146">
        <f t="shared" ca="1" si="101"/>
        <v>0</v>
      </c>
      <c r="FI20" s="147">
        <f t="shared" ca="1" si="72"/>
        <v>0</v>
      </c>
      <c r="FK20" s="149" t="str">
        <f t="shared" si="0"/>
        <v>Common</v>
      </c>
      <c r="FL20" s="146">
        <f t="shared" ca="1" si="73"/>
        <v>0</v>
      </c>
      <c r="FM20" s="146">
        <f t="shared" ca="1" si="74"/>
        <v>0</v>
      </c>
      <c r="FN20" s="146">
        <f t="shared" ca="1" si="75"/>
        <v>0</v>
      </c>
      <c r="FP20" s="146" t="str">
        <f t="shared" si="76"/>
        <v>Common</v>
      </c>
      <c r="FQ20" s="174" t="str">
        <f t="shared" ca="1" si="77"/>
        <v>na</v>
      </c>
      <c r="FR20" s="174" t="str">
        <f t="shared" ca="1" si="78"/>
        <v>na</v>
      </c>
      <c r="FS20" s="174" t="str">
        <f t="shared" ca="1" si="79"/>
        <v>na</v>
      </c>
    </row>
    <row r="21" spans="2:175">
      <c r="B21" s="145" t="s">
        <v>27</v>
      </c>
      <c r="D21" s="167" t="s">
        <v>27</v>
      </c>
      <c r="E21" s="167" t="str">
        <f t="shared" si="80"/>
        <v>Common</v>
      </c>
      <c r="G21" s="168">
        <f t="shared" ca="1" si="1"/>
        <v>43820</v>
      </c>
      <c r="H21" s="289" t="str">
        <f t="shared" si="2"/>
        <v>Equity</v>
      </c>
      <c r="I21" s="169">
        <v>0</v>
      </c>
      <c r="J21" s="170">
        <v>0</v>
      </c>
      <c r="K21" s="170">
        <f t="shared" si="81"/>
        <v>0</v>
      </c>
      <c r="L21" s="147">
        <f t="shared" si="3"/>
        <v>0</v>
      </c>
      <c r="M21" s="170">
        <f t="shared" si="82"/>
        <v>0</v>
      </c>
      <c r="N21" s="147">
        <f t="shared" si="4"/>
        <v>0</v>
      </c>
      <c r="O21" s="147"/>
      <c r="P21" s="168">
        <f t="shared" ca="1" si="5"/>
        <v>44186</v>
      </c>
      <c r="Q21" s="289" t="str">
        <f t="shared" si="6"/>
        <v>Equity</v>
      </c>
      <c r="R21" s="169">
        <v>0</v>
      </c>
      <c r="S21" s="169">
        <v>0</v>
      </c>
      <c r="T21" s="171">
        <v>0</v>
      </c>
      <c r="U21" s="145">
        <v>0</v>
      </c>
      <c r="V21" s="172">
        <v>0</v>
      </c>
      <c r="W21" s="293">
        <f t="shared" si="7"/>
        <v>0</v>
      </c>
      <c r="X21" s="170">
        <f ca="1">FV(V21/12,DATEDIF(P21,'Cap Table'!R$61,"m"),0,-S21)</f>
        <v>0</v>
      </c>
      <c r="Y21" s="170">
        <f t="shared" ca="1" si="8"/>
        <v>0</v>
      </c>
      <c r="Z21" s="146">
        <f t="shared" ca="1" si="9"/>
        <v>0</v>
      </c>
      <c r="AA21" s="149">
        <f ca="1">IF(AND('Cap Table'!R$63=0,X21&gt;0),U21/'Cap Table'!R$62,IFERROR(IF(U21=0,'Cap Table'!R$63*(1-T21),MIN('Cap Table'!R$63*(1-T21),U21/'Cap Table'!R$62)),0))</f>
        <v>0</v>
      </c>
      <c r="AB21" s="170">
        <f t="shared" ca="1" si="83"/>
        <v>0</v>
      </c>
      <c r="AC21" s="170">
        <v>0</v>
      </c>
      <c r="AD21" s="146">
        <f t="shared" ca="1" si="10"/>
        <v>0</v>
      </c>
      <c r="AE21" s="146">
        <f t="shared" si="11"/>
        <v>0</v>
      </c>
      <c r="AF21" s="146">
        <f t="shared" ca="1" si="84"/>
        <v>0</v>
      </c>
      <c r="AG21" s="147">
        <f t="shared" ca="1" si="12"/>
        <v>0</v>
      </c>
      <c r="AH21" s="146">
        <f ca="1">AF21*'Cap Table'!R$63</f>
        <v>0</v>
      </c>
      <c r="AI21" s="146">
        <f ca="1">IFERROR(IF(OR(Q21='Cap Table'!$B$40,Q21='Cap Table'!$B$41,Q21='Cap Table'!$B$42,Q21='Cap Table'!$B$43),IF(SUM(S21)&lt;SUM(R21),(FV(V21/12,DATEDIF(P21,'Cap Table'!R$61,"m"),0,-R21))/(U21/'Cap Table'!$R$62)/IF(Q21=$B$42,(1-W$29),1),AF21),AF21),0)</f>
        <v>0</v>
      </c>
      <c r="AJ21" s="147">
        <f t="shared" ca="1" si="13"/>
        <v>0</v>
      </c>
      <c r="AL21" s="168">
        <f t="shared" ca="1" si="14"/>
        <v>44551</v>
      </c>
      <c r="AM21" s="168" t="str">
        <f t="shared" si="15"/>
        <v>Equity</v>
      </c>
      <c r="AN21" s="169">
        <v>0</v>
      </c>
      <c r="AO21" s="169">
        <f>IF('Cap Table'!AN$80&lt;&gt;"na",IF(OR(Q21='Cap Table'!$B$40,Q21='Cap Table'!$B$41,Q21='Cap Table'!$B$42),R21-S21,0),0)</f>
        <v>0</v>
      </c>
      <c r="AP21" s="171">
        <f t="shared" si="16"/>
        <v>0</v>
      </c>
      <c r="AQ21" s="169">
        <f t="shared" si="17"/>
        <v>0</v>
      </c>
      <c r="AR21" s="172">
        <f t="shared" si="18"/>
        <v>0</v>
      </c>
      <c r="AS21" s="293">
        <f t="shared" si="19"/>
        <v>0</v>
      </c>
      <c r="AT21" s="170">
        <f ca="1">FV(AR21/12,DATEDIF(AL21,'Cap Table'!AN$61,"m"),0,-AO21)</f>
        <v>0</v>
      </c>
      <c r="AU21" s="170">
        <f ca="1">IF('Cap Table'!AN$81="no",IFERROR(AT21/(1-AP21),0),IFERROR(AT21/(1-(MAX(AP21,IF(AQ21=0,0,('Cap Table'!AN$63-AQ21/'Cap Table'!AN$62)/'Cap Table'!AN$63)))),0))</f>
        <v>0</v>
      </c>
      <c r="AV21" s="146">
        <f t="shared" ca="1" si="20"/>
        <v>0</v>
      </c>
      <c r="AW21" s="149">
        <f ca="1">IF(AND('Cap Table'!AN$63=0,AT21&gt;0),AQ21/IF(AM21=$B$42,AI$56,'Cap Table'!AN$62),IFERROR(IF(AQ21=0,'Cap Table'!AN$63*(1-AP21),MIN('Cap Table'!AN$63*(1-AP21),AQ21/IF(AM21=$B$42,AI$56,'Cap Table'!AN$62))),0))</f>
        <v>0</v>
      </c>
      <c r="AX21" s="170">
        <f t="shared" ca="1" si="85"/>
        <v>0</v>
      </c>
      <c r="AY21" s="170">
        <v>0</v>
      </c>
      <c r="AZ21" s="146">
        <f t="shared" ca="1" si="21"/>
        <v>0</v>
      </c>
      <c r="BA21" s="146">
        <f t="shared" si="22"/>
        <v>0</v>
      </c>
      <c r="BB21" s="146">
        <f t="shared" ca="1" si="86"/>
        <v>0</v>
      </c>
      <c r="BC21" s="147">
        <f t="shared" ca="1" si="23"/>
        <v>0</v>
      </c>
      <c r="BD21" s="146">
        <f ca="1">BB21*'Cap Table'!AN$63</f>
        <v>0</v>
      </c>
      <c r="BE21" s="173">
        <f ca="1">IFERROR(IF(OR(AM21='Cap Table'!$B$40,AM21='Cap Table'!$B$41,AM21='Cap Table'!$B$42,AM21='Cap Table'!$B$43),IF(SUM(AO21,S21)&lt;SUM(AN21,R21),FV(MAX(AR21,V21)/12,DATEDIF(AL21,'Cap Table'!$AN$61,"m"),0,-MAX(AN21,R21))/(MAX(AQ21,U21)/'Cap Table'!$AN$62)/IF(AM21=$B$42,(1-MAX(W42,AS$29)),1),BB21),BB21),0)</f>
        <v>0</v>
      </c>
      <c r="BF21" s="147">
        <f t="shared" ca="1" si="24"/>
        <v>0</v>
      </c>
      <c r="BH21" s="168">
        <f t="shared" ca="1" si="25"/>
        <v>44916</v>
      </c>
      <c r="BI21" s="168" t="str">
        <f t="shared" si="87"/>
        <v>Equity</v>
      </c>
      <c r="BJ21" s="169">
        <v>0</v>
      </c>
      <c r="BK21" s="169">
        <f>IF('Cap Table'!BJ$80&lt;&gt;"na",IF(OR(AM21='Cap Table'!$B$40,AM21='Cap Table'!$B$41,AM21='Cap Table'!$B$42),AN21-AO21,0),0)</f>
        <v>0</v>
      </c>
      <c r="BL21" s="171">
        <f t="shared" si="26"/>
        <v>0</v>
      </c>
      <c r="BM21" s="169">
        <f t="shared" si="27"/>
        <v>0</v>
      </c>
      <c r="BN21" s="172">
        <f t="shared" si="28"/>
        <v>0</v>
      </c>
      <c r="BO21" s="293">
        <f t="shared" si="29"/>
        <v>0</v>
      </c>
      <c r="BP21" s="170">
        <f ca="1">FV(BN21/12,DATEDIF(BH21,'Cap Table'!BJ$61,"m"),0,-BK21)</f>
        <v>0</v>
      </c>
      <c r="BQ21" s="170">
        <f ca="1">IF('Cap Table'!BJ$81="no",IFERROR(BP21/(1-BL21),0),IFERROR(BP21/(1-(MAX(BL21,IF(BM21=0,0,('Cap Table'!BJ$63-BM21/'Cap Table'!BJ$62)/'Cap Table'!BJ$63)))),0))</f>
        <v>0</v>
      </c>
      <c r="BR21" s="146">
        <f t="shared" ca="1" si="30"/>
        <v>0</v>
      </c>
      <c r="BS21" s="149">
        <f ca="1">IF(AND('Cap Table'!BJ$63=0,BP21&gt;0),BM21/IF(BI21=$B$42,BE$56,'Cap Table'!BJ$62),IFERROR(IF(BM21=0,'Cap Table'!BJ$63*(1-BL21),MIN('Cap Table'!BJ$63*(1-BL21),BM21/IF(BI21=$B$42,BE$56,'Cap Table'!BJ$62))),0))</f>
        <v>0</v>
      </c>
      <c r="BT21" s="170">
        <f t="shared" ca="1" si="88"/>
        <v>0</v>
      </c>
      <c r="BU21" s="170">
        <v>0</v>
      </c>
      <c r="BV21" s="146">
        <f t="shared" ca="1" si="31"/>
        <v>0</v>
      </c>
      <c r="BW21" s="146">
        <f t="shared" si="32"/>
        <v>0</v>
      </c>
      <c r="BX21" s="146">
        <f t="shared" ca="1" si="89"/>
        <v>0</v>
      </c>
      <c r="BY21" s="147">
        <f t="shared" ca="1" si="33"/>
        <v>0</v>
      </c>
      <c r="BZ21" s="146">
        <f ca="1">BX21*'Cap Table'!BJ$63</f>
        <v>0</v>
      </c>
      <c r="CA21" s="173">
        <f ca="1">IFERROR(IF(OR(BI21='Cap Table'!$B$40,BI21='Cap Table'!$B$41,BI21='Cap Table'!$B$42,BI21='Cap Table'!$B$43),IF(SUM(BK21,AO21,S21)&lt;SUM(BJ21,AN21,R21),FV(MAX(BN21,AR21,V21)/12,DATEDIF(BH21,'Cap Table'!$BJ$61,"m"),0,-MAX(BJ21,AN21,R21))/(MAX(BM21,AQ21,U21)/'Cap Table'!$BJ$62)/IF(BI21=$B$42,(1-MAX(BO$29,AS$29,W$29)),1),BX21),BX21),0)</f>
        <v>0</v>
      </c>
      <c r="CB21" s="147">
        <f t="shared" ca="1" si="34"/>
        <v>0</v>
      </c>
      <c r="CD21" s="168">
        <f t="shared" ca="1" si="35"/>
        <v>45281</v>
      </c>
      <c r="CE21" s="168" t="str">
        <f t="shared" si="90"/>
        <v>Equity</v>
      </c>
      <c r="CF21" s="169">
        <v>0</v>
      </c>
      <c r="CG21" s="169">
        <f>IF('Cap Table'!CF$80&lt;&gt;"na",IF(OR(BI21='Cap Table'!$B$40,BI21='Cap Table'!$B$41,BI21='Cap Table'!$B$42),BJ21-BK21,0),0)</f>
        <v>0</v>
      </c>
      <c r="CH21" s="171">
        <f t="shared" si="36"/>
        <v>0</v>
      </c>
      <c r="CI21" s="169">
        <f t="shared" si="37"/>
        <v>0</v>
      </c>
      <c r="CJ21" s="172">
        <f t="shared" si="38"/>
        <v>0</v>
      </c>
      <c r="CK21" s="293">
        <f t="shared" si="39"/>
        <v>0</v>
      </c>
      <c r="CL21" s="170">
        <f ca="1">FV(CJ21/12,DATEDIF(CD21,'Cap Table'!CF$61,"m"),0,-CG21)</f>
        <v>0</v>
      </c>
      <c r="CM21" s="170">
        <f ca="1">IF('Cap Table'!CF$81="no",IFERROR(CL21/(1-CH21),0),IFERROR(CL21/(1-(MAX(CH21,IF(CI21=0,0,('Cap Table'!CF$63-CI21/'Cap Table'!CF$62)/'Cap Table'!CF$63)))),0))</f>
        <v>0</v>
      </c>
      <c r="CN21" s="146">
        <f t="shared" ca="1" si="40"/>
        <v>0</v>
      </c>
      <c r="CO21" s="149">
        <f ca="1">IF(AND('Cap Table'!CF$63=0,CL21&gt;0),CI21/IF(CE21=$B$42,CA$56,'Cap Table'!CF$62),IFERROR(IF(CI21=0,'Cap Table'!CF$63*(1-CH21),MIN('Cap Table'!CF$63*(1-CH21),CI21/IF(CE21=$B$42,CA$56,'Cap Table'!CF$62))),0))</f>
        <v>0</v>
      </c>
      <c r="CP21" s="170">
        <f t="shared" ca="1" si="91"/>
        <v>0</v>
      </c>
      <c r="CQ21" s="170">
        <v>0</v>
      </c>
      <c r="CR21" s="146">
        <f t="shared" ca="1" si="41"/>
        <v>0</v>
      </c>
      <c r="CS21" s="146">
        <f t="shared" si="42"/>
        <v>0</v>
      </c>
      <c r="CT21" s="146">
        <f t="shared" ca="1" si="92"/>
        <v>0</v>
      </c>
      <c r="CU21" s="147">
        <f t="shared" ca="1" si="43"/>
        <v>0</v>
      </c>
      <c r="CV21" s="146">
        <f ca="1">CT21*'Cap Table'!CF$63</f>
        <v>0</v>
      </c>
      <c r="CW21" s="173">
        <f ca="1">IFERROR(IF(OR(CE21='Cap Table'!$B$40,CE21='Cap Table'!$B$41,CE21='Cap Table'!$B$42,CE21='Cap Table'!$B$43),IF(SUM(CG21,BK21,AO21,S21)&lt;SUM(CF21,BJ21,AN21,R21),FV(MAX(CJ21,BN21,AR21,V21)/12,DATEDIF(CD21,'Cap Table'!$CF$61,"m"),0,-MAX(CF21,BJ21,AN21,R21))/(MAX(CI21,BM21,AQ21,U21)/'Cap Table'!$CF$62)/IF(CE21=$B$42,(1-MAX(CK$29,BO$29,AS$29,W$29)),1),CT21),CT21),0)</f>
        <v>0</v>
      </c>
      <c r="CX21" s="147">
        <f t="shared" ca="1" si="44"/>
        <v>0</v>
      </c>
      <c r="CZ21" s="168">
        <f t="shared" ca="1" si="45"/>
        <v>45647</v>
      </c>
      <c r="DA21" s="168" t="str">
        <f t="shared" si="93"/>
        <v>Equity</v>
      </c>
      <c r="DB21" s="169">
        <v>0</v>
      </c>
      <c r="DC21" s="169">
        <f>IF('Cap Table'!DB$80&lt;&gt;"na",IF(OR(CE21='Cap Table'!$B$40,CE21='Cap Table'!$B$41,CE21='Cap Table'!$B$42),CF21-CG21,0),0)</f>
        <v>0</v>
      </c>
      <c r="DD21" s="171">
        <f t="shared" si="46"/>
        <v>0</v>
      </c>
      <c r="DE21" s="169">
        <f t="shared" si="47"/>
        <v>0</v>
      </c>
      <c r="DF21" s="172">
        <f t="shared" si="48"/>
        <v>0</v>
      </c>
      <c r="DG21" s="293">
        <f t="shared" si="49"/>
        <v>0</v>
      </c>
      <c r="DH21" s="170">
        <f ca="1">FV(DF21/12,DATEDIF(CZ21,'Cap Table'!DB$61,"m"),0,-DC21)</f>
        <v>0</v>
      </c>
      <c r="DI21" s="170">
        <f ca="1">IF('Cap Table'!DB$81="no",IFERROR(DH21/(1-DD21),0),IFERROR(DH21/(1-(MAX(DD21,IF(DE21=0,0,('Cap Table'!DB$63-DE21/'Cap Table'!DB$62)/'Cap Table'!DB$63)))),0))</f>
        <v>0</v>
      </c>
      <c r="DJ21" s="146">
        <f t="shared" ca="1" si="50"/>
        <v>0</v>
      </c>
      <c r="DK21" s="149">
        <f ca="1">IF(AND('Cap Table'!DB$63=0,DH21&gt;0),DE21/'Cap Table'!DB$62,IFERROR(IF(DE21=0,'Cap Table'!DB$63*(1-DD21),MIN('Cap Table'!DB$63*(1-DD21),DE21/'Cap Table'!DB$62)),0))</f>
        <v>0</v>
      </c>
      <c r="DL21" s="170">
        <f t="shared" ca="1" si="94"/>
        <v>0</v>
      </c>
      <c r="DM21" s="170">
        <v>0</v>
      </c>
      <c r="DN21" s="146">
        <f t="shared" ca="1" si="51"/>
        <v>0</v>
      </c>
      <c r="DO21" s="146">
        <f t="shared" si="52"/>
        <v>0</v>
      </c>
      <c r="DP21" s="146">
        <f t="shared" ca="1" si="95"/>
        <v>0</v>
      </c>
      <c r="DQ21" s="147">
        <f t="shared" ca="1" si="53"/>
        <v>0</v>
      </c>
      <c r="DR21" s="146">
        <f ca="1">DP21*'Cap Table'!DB$63</f>
        <v>0</v>
      </c>
      <c r="DS21" s="173">
        <f ca="1">IFERROR(IF(OR(DA21='Cap Table'!$B$40,DA21='Cap Table'!$B$41,DA21='Cap Table'!$B$42,DA21='Cap Table'!$B$43),IF(SUM(DC21,CG21,BK21,AO21,S21,)&lt;SUM(DB21,CF21,BJ21,AN21,R21),FV(MAX(DF21,CJ21,BN21,AR21,V21)/12,DATEDIF(CZ21,'Cap Table'!$DB$61,"m"),0,-MAX(DB21,CF21,BJ21,AN21,R21))/(MAX(DE21,CI21,BM21,AQ21,U21,)/'Cap Table'!$DB$62)/IF(DA21=$B$42,(1-MAX(DG$29,CK$29,BO$29,AS$29,W$29)),1),DP21),DP21),0)</f>
        <v>0</v>
      </c>
      <c r="DT21" s="147">
        <f t="shared" ca="1" si="54"/>
        <v>0</v>
      </c>
      <c r="DV21" s="168">
        <f t="shared" ca="1" si="55"/>
        <v>46012</v>
      </c>
      <c r="DW21" s="168" t="str">
        <f t="shared" si="96"/>
        <v>Equity</v>
      </c>
      <c r="DX21" s="169">
        <v>0</v>
      </c>
      <c r="DY21" s="169">
        <f>IF('Cap Table'!DX$80&lt;&gt;"na",IF(OR(DA21='Cap Table'!$B$40,DA21='Cap Table'!$B$41,DA21='Cap Table'!$B$42),DB21-DC21,0),0)</f>
        <v>0</v>
      </c>
      <c r="DZ21" s="171">
        <f t="shared" si="102"/>
        <v>0</v>
      </c>
      <c r="EA21" s="169">
        <f t="shared" si="103"/>
        <v>0</v>
      </c>
      <c r="EB21" s="172">
        <f t="shared" si="104"/>
        <v>0</v>
      </c>
      <c r="EC21" s="293">
        <f t="shared" si="59"/>
        <v>0</v>
      </c>
      <c r="ED21" s="170">
        <f ca="1">FV(EB21/12,DATEDIF(DV21,'Cap Table'!DX$61,"m"),0,-DY21)</f>
        <v>0</v>
      </c>
      <c r="EE21" s="170">
        <f ca="1">IF('Cap Table'!DX$81="no",IFERROR(ED21/(1-DZ21),0),IFERROR(ED21/(1-(MAX(DZ21,IF(EA21=0,0,('Cap Table'!DX$63-EA21/'Cap Table'!DX$62)/'Cap Table'!DX$63)))),0))</f>
        <v>0</v>
      </c>
      <c r="EF21" s="146">
        <f t="shared" ca="1" si="60"/>
        <v>0</v>
      </c>
      <c r="EG21" s="149">
        <f ca="1">IF(AND('Cap Table'!DX$63=0,ED21&gt;0),EA21/IF(DA21=$B$42,DS$56,'Cap Table'!DX$62),IFERROR(IF(EA21=0,'Cap Table'!DX$63*(1-DZ21),MIN('Cap Table'!DX$63*(1-DZ21),EA21/IF(DA21=$B$42,DS$56,'Cap Table'!DX$62))),0))</f>
        <v>0</v>
      </c>
      <c r="EH21" s="170">
        <f t="shared" ca="1" si="97"/>
        <v>0</v>
      </c>
      <c r="EI21" s="170">
        <v>0</v>
      </c>
      <c r="EJ21" s="146">
        <f t="shared" ca="1" si="98"/>
        <v>0</v>
      </c>
      <c r="EK21" s="146">
        <f t="shared" si="61"/>
        <v>0</v>
      </c>
      <c r="EL21" s="146">
        <f t="shared" ca="1" si="99"/>
        <v>0</v>
      </c>
      <c r="EM21" s="147">
        <f t="shared" ca="1" si="62"/>
        <v>0</v>
      </c>
      <c r="EN21" s="146">
        <f ca="1">EL21*'Cap Table'!DX$63</f>
        <v>0</v>
      </c>
      <c r="EO21" s="173">
        <f ca="1">IFERROR(IF(OR(DW21='Cap Table'!$B$40,DW21='Cap Table'!$B$41,DW21='Cap Table'!$B$42,DW21='Cap Table'!$B$43),IF(SUM(DY21,DC21,CG21,BK21,AO21,S21)&lt;SUM(DX21,DB21,CF21,BJ21,AN21,R21),FV(MAX(EB21,DF21,CJ21,BN21,AR21,V21)/12,DATEDIF(DV21,'Cap Table'!DX$61,"m"),0,-MAX(DX21,DB21,CF21,BJ21,AN21,R21))/(MAX(EA21,DE21,CI21,BM21,AQ21,U21)/'Cap Table'!$DX$62)/IF(DW21=$B$42,(1-MAX(EC$29,DG$29,CK$29,BO$29,AS$29,W$29)),1),EL21),EL21),0)</f>
        <v>0</v>
      </c>
      <c r="EP21" s="147">
        <f t="shared" ca="1" si="63"/>
        <v>0</v>
      </c>
      <c r="ER21" s="146">
        <f t="shared" si="64"/>
        <v>0</v>
      </c>
      <c r="ES21" s="146">
        <f t="shared" si="65"/>
        <v>0</v>
      </c>
      <c r="ET21" s="174" t="s">
        <v>27</v>
      </c>
      <c r="EU21" s="174" t="s">
        <v>27</v>
      </c>
      <c r="EV21" s="174" t="s">
        <v>27</v>
      </c>
      <c r="EW21" s="146">
        <f t="shared" ca="1" si="66"/>
        <v>0</v>
      </c>
      <c r="EX21" s="146">
        <f t="shared" ca="1" si="67"/>
        <v>0</v>
      </c>
      <c r="EY21" s="146">
        <f t="shared" ca="1" si="68"/>
        <v>0</v>
      </c>
      <c r="EZ21" s="149">
        <f t="shared" ca="1" si="105"/>
        <v>0</v>
      </c>
      <c r="FA21" s="146">
        <f t="shared" ca="1" si="69"/>
        <v>0</v>
      </c>
      <c r="FB21" s="146">
        <f t="shared" si="70"/>
        <v>0</v>
      </c>
      <c r="FC21" s="146">
        <f t="shared" ca="1" si="100"/>
        <v>0</v>
      </c>
      <c r="FD21" s="146">
        <f t="shared" si="100"/>
        <v>0</v>
      </c>
      <c r="FE21" s="146">
        <f t="shared" ca="1" si="100"/>
        <v>0</v>
      </c>
      <c r="FF21" s="147">
        <f t="shared" ca="1" si="71"/>
        <v>0</v>
      </c>
      <c r="FG21" s="146">
        <f t="shared" ca="1" si="101"/>
        <v>0</v>
      </c>
      <c r="FH21" s="146">
        <f t="shared" ca="1" si="101"/>
        <v>0</v>
      </c>
      <c r="FI21" s="147">
        <f t="shared" ca="1" si="72"/>
        <v>0</v>
      </c>
      <c r="FK21" s="149" t="str">
        <f t="shared" si="0"/>
        <v>Common</v>
      </c>
      <c r="FL21" s="146">
        <f t="shared" ca="1" si="73"/>
        <v>0</v>
      </c>
      <c r="FM21" s="146">
        <f t="shared" ca="1" si="74"/>
        <v>0</v>
      </c>
      <c r="FN21" s="146">
        <f t="shared" ca="1" si="75"/>
        <v>0</v>
      </c>
      <c r="FP21" s="146" t="str">
        <f t="shared" si="76"/>
        <v>Common</v>
      </c>
      <c r="FQ21" s="174" t="str">
        <f t="shared" ca="1" si="77"/>
        <v>na</v>
      </c>
      <c r="FR21" s="174" t="str">
        <f t="shared" ca="1" si="78"/>
        <v>na</v>
      </c>
      <c r="FS21" s="174" t="str">
        <f t="shared" ca="1" si="79"/>
        <v>na</v>
      </c>
    </row>
    <row r="22" spans="2:175">
      <c r="B22" s="145" t="s">
        <v>27</v>
      </c>
      <c r="D22" s="167" t="s">
        <v>27</v>
      </c>
      <c r="E22" s="167" t="str">
        <f t="shared" si="80"/>
        <v>Common</v>
      </c>
      <c r="G22" s="168">
        <f t="shared" ca="1" si="1"/>
        <v>43820</v>
      </c>
      <c r="H22" s="289" t="str">
        <f t="shared" si="2"/>
        <v>Equity</v>
      </c>
      <c r="I22" s="169">
        <v>0</v>
      </c>
      <c r="J22" s="170">
        <v>0</v>
      </c>
      <c r="K22" s="170">
        <f t="shared" si="81"/>
        <v>0</v>
      </c>
      <c r="L22" s="147">
        <f t="shared" si="3"/>
        <v>0</v>
      </c>
      <c r="M22" s="170">
        <f t="shared" si="82"/>
        <v>0</v>
      </c>
      <c r="N22" s="147">
        <f t="shared" si="4"/>
        <v>0</v>
      </c>
      <c r="O22" s="147"/>
      <c r="P22" s="168">
        <f t="shared" ca="1" si="5"/>
        <v>44186</v>
      </c>
      <c r="Q22" s="289" t="str">
        <f t="shared" si="6"/>
        <v>Equity</v>
      </c>
      <c r="R22" s="169">
        <v>0</v>
      </c>
      <c r="S22" s="169">
        <v>0</v>
      </c>
      <c r="T22" s="171">
        <v>0</v>
      </c>
      <c r="U22" s="145">
        <v>0</v>
      </c>
      <c r="V22" s="172">
        <v>0</v>
      </c>
      <c r="W22" s="293">
        <f t="shared" si="7"/>
        <v>0</v>
      </c>
      <c r="X22" s="170">
        <f ca="1">FV(V22/12,DATEDIF(P22,'Cap Table'!R$61,"m"),0,-S22)</f>
        <v>0</v>
      </c>
      <c r="Y22" s="170">
        <f t="shared" ca="1" si="8"/>
        <v>0</v>
      </c>
      <c r="Z22" s="146">
        <f t="shared" ca="1" si="9"/>
        <v>0</v>
      </c>
      <c r="AA22" s="149">
        <f ca="1">IF(AND('Cap Table'!R$63=0,X22&gt;0),U22/'Cap Table'!R$62,IFERROR(IF(U22=0,'Cap Table'!R$63*(1-T22),MIN('Cap Table'!R$63*(1-T22),U22/'Cap Table'!R$62)),0))</f>
        <v>0</v>
      </c>
      <c r="AB22" s="170">
        <f t="shared" ca="1" si="83"/>
        <v>0</v>
      </c>
      <c r="AC22" s="170">
        <v>0</v>
      </c>
      <c r="AD22" s="146">
        <f t="shared" ca="1" si="10"/>
        <v>0</v>
      </c>
      <c r="AE22" s="146">
        <f t="shared" si="11"/>
        <v>0</v>
      </c>
      <c r="AF22" s="146">
        <f t="shared" ca="1" si="84"/>
        <v>0</v>
      </c>
      <c r="AG22" s="147">
        <f t="shared" ca="1" si="12"/>
        <v>0</v>
      </c>
      <c r="AH22" s="146">
        <f ca="1">AF22*'Cap Table'!R$63</f>
        <v>0</v>
      </c>
      <c r="AI22" s="146">
        <f ca="1">IFERROR(IF(OR(Q22='Cap Table'!$B$40,Q22='Cap Table'!$B$41,Q22='Cap Table'!$B$42,Q22='Cap Table'!$B$43),IF(SUM(S22)&lt;SUM(R22),(FV(V22/12,DATEDIF(P22,'Cap Table'!R$61,"m"),0,-R22))/(U22/'Cap Table'!$R$62)/IF(Q22=$B$42,(1-W$29),1),AF22),AF22),0)</f>
        <v>0</v>
      </c>
      <c r="AJ22" s="147">
        <f t="shared" ca="1" si="13"/>
        <v>0</v>
      </c>
      <c r="AL22" s="168">
        <f t="shared" ca="1" si="14"/>
        <v>44551</v>
      </c>
      <c r="AM22" s="168" t="str">
        <f t="shared" si="15"/>
        <v>Equity</v>
      </c>
      <c r="AN22" s="169">
        <v>0</v>
      </c>
      <c r="AO22" s="169">
        <f>IF('Cap Table'!AN$80&lt;&gt;"na",IF(OR(Q22='Cap Table'!$B$40,Q22='Cap Table'!$B$41,Q22='Cap Table'!$B$42),R22-S22,0),0)</f>
        <v>0</v>
      </c>
      <c r="AP22" s="171">
        <f t="shared" si="16"/>
        <v>0</v>
      </c>
      <c r="AQ22" s="169">
        <f t="shared" si="17"/>
        <v>0</v>
      </c>
      <c r="AR22" s="172">
        <f t="shared" si="18"/>
        <v>0</v>
      </c>
      <c r="AS22" s="293">
        <f t="shared" si="19"/>
        <v>0</v>
      </c>
      <c r="AT22" s="170">
        <f ca="1">FV(AR22/12,DATEDIF(AL22,'Cap Table'!AN$61,"m"),0,-AO22)</f>
        <v>0</v>
      </c>
      <c r="AU22" s="170">
        <f ca="1">IF('Cap Table'!AN$81="no",IFERROR(AT22/(1-AP22),0),IFERROR(AT22/(1-(MAX(AP22,IF(AQ22=0,0,('Cap Table'!AN$63-AQ22/'Cap Table'!AN$62)/'Cap Table'!AN$63)))),0))</f>
        <v>0</v>
      </c>
      <c r="AV22" s="146">
        <f t="shared" ca="1" si="20"/>
        <v>0</v>
      </c>
      <c r="AW22" s="149">
        <f ca="1">IF(AND('Cap Table'!AN$63=0,AT22&gt;0),AQ22/IF(AM22=$B$42,AI$56,'Cap Table'!AN$62),IFERROR(IF(AQ22=0,'Cap Table'!AN$63*(1-AP22),MIN('Cap Table'!AN$63*(1-AP22),AQ22/IF(AM22=$B$42,AI$56,'Cap Table'!AN$62))),0))</f>
        <v>0</v>
      </c>
      <c r="AX22" s="170">
        <f t="shared" ca="1" si="85"/>
        <v>0</v>
      </c>
      <c r="AY22" s="170">
        <v>0</v>
      </c>
      <c r="AZ22" s="146">
        <f t="shared" ca="1" si="21"/>
        <v>0</v>
      </c>
      <c r="BA22" s="146">
        <f t="shared" si="22"/>
        <v>0</v>
      </c>
      <c r="BB22" s="146">
        <f t="shared" ca="1" si="86"/>
        <v>0</v>
      </c>
      <c r="BC22" s="147">
        <f t="shared" ca="1" si="23"/>
        <v>0</v>
      </c>
      <c r="BD22" s="146">
        <f ca="1">BB22*'Cap Table'!AN$63</f>
        <v>0</v>
      </c>
      <c r="BE22" s="173">
        <f ca="1">IFERROR(IF(OR(AM22='Cap Table'!$B$40,AM22='Cap Table'!$B$41,AM22='Cap Table'!$B$42,AM22='Cap Table'!$B$43),IF(SUM(AO22,S22)&lt;SUM(AN22,R22),FV(MAX(AR22,V22)/12,DATEDIF(AL22,'Cap Table'!$AN$61,"m"),0,-MAX(AN22,R22))/(MAX(AQ22,U22)/'Cap Table'!$AN$62)/IF(AM22=$B$42,(1-MAX(W43,AS$29)),1),BB22),BB22),0)</f>
        <v>0</v>
      </c>
      <c r="BF22" s="147">
        <f t="shared" ca="1" si="24"/>
        <v>0</v>
      </c>
      <c r="BH22" s="168">
        <f t="shared" ca="1" si="25"/>
        <v>44916</v>
      </c>
      <c r="BI22" s="168" t="str">
        <f t="shared" si="87"/>
        <v>Equity</v>
      </c>
      <c r="BJ22" s="169">
        <v>0</v>
      </c>
      <c r="BK22" s="169">
        <f>IF('Cap Table'!BJ$80&lt;&gt;"na",IF(OR(AM22='Cap Table'!$B$40,AM22='Cap Table'!$B$41,AM22='Cap Table'!$B$42),AN22-AO22,0),0)</f>
        <v>0</v>
      </c>
      <c r="BL22" s="171">
        <f t="shared" si="26"/>
        <v>0</v>
      </c>
      <c r="BM22" s="169">
        <f t="shared" si="27"/>
        <v>0</v>
      </c>
      <c r="BN22" s="172">
        <f t="shared" si="28"/>
        <v>0</v>
      </c>
      <c r="BO22" s="293">
        <f t="shared" si="29"/>
        <v>0</v>
      </c>
      <c r="BP22" s="170">
        <f ca="1">FV(BN22/12,DATEDIF(BH22,'Cap Table'!BJ$61,"m"),0,-BK22)</f>
        <v>0</v>
      </c>
      <c r="BQ22" s="170">
        <f ca="1">IF('Cap Table'!BJ$81="no",IFERROR(BP22/(1-BL22),0),IFERROR(BP22/(1-(MAX(BL22,IF(BM22=0,0,('Cap Table'!BJ$63-BM22/'Cap Table'!BJ$62)/'Cap Table'!BJ$63)))),0))</f>
        <v>0</v>
      </c>
      <c r="BR22" s="146">
        <f t="shared" ca="1" si="30"/>
        <v>0</v>
      </c>
      <c r="BS22" s="149">
        <f ca="1">IF(AND('Cap Table'!BJ$63=0,BP22&gt;0),BM22/IF(BI22=$B$42,BE$56,'Cap Table'!BJ$62),IFERROR(IF(BM22=0,'Cap Table'!BJ$63*(1-BL22),MIN('Cap Table'!BJ$63*(1-BL22),BM22/IF(BI22=$B$42,BE$56,'Cap Table'!BJ$62))),0))</f>
        <v>0</v>
      </c>
      <c r="BT22" s="170">
        <f t="shared" ca="1" si="88"/>
        <v>0</v>
      </c>
      <c r="BU22" s="170">
        <v>0</v>
      </c>
      <c r="BV22" s="146">
        <f t="shared" ca="1" si="31"/>
        <v>0</v>
      </c>
      <c r="BW22" s="146">
        <f t="shared" si="32"/>
        <v>0</v>
      </c>
      <c r="BX22" s="146">
        <f t="shared" ca="1" si="89"/>
        <v>0</v>
      </c>
      <c r="BY22" s="147">
        <f t="shared" ca="1" si="33"/>
        <v>0</v>
      </c>
      <c r="BZ22" s="146">
        <f ca="1">BX22*'Cap Table'!BJ$63</f>
        <v>0</v>
      </c>
      <c r="CA22" s="173">
        <f ca="1">IFERROR(IF(OR(BI22='Cap Table'!$B$40,BI22='Cap Table'!$B$41,BI22='Cap Table'!$B$42,BI22='Cap Table'!$B$43),IF(SUM(BK22,AO22,S22)&lt;SUM(BJ22,AN22,R22),FV(MAX(BN22,AR22,V22)/12,DATEDIF(BH22,'Cap Table'!$BJ$61,"m"),0,-MAX(BJ22,AN22,R22))/(MAX(BM22,AQ22,U22)/'Cap Table'!$BJ$62)/IF(BI22=$B$42,(1-MAX(BO$29,AS$29,W$29)),1),BX22),BX22),0)</f>
        <v>0</v>
      </c>
      <c r="CB22" s="147">
        <f t="shared" ca="1" si="34"/>
        <v>0</v>
      </c>
      <c r="CD22" s="168">
        <f t="shared" ca="1" si="35"/>
        <v>45281</v>
      </c>
      <c r="CE22" s="168" t="str">
        <f t="shared" si="90"/>
        <v>Equity</v>
      </c>
      <c r="CF22" s="169">
        <v>0</v>
      </c>
      <c r="CG22" s="169">
        <f>IF('Cap Table'!CF$80&lt;&gt;"na",IF(OR(BI22='Cap Table'!$B$40,BI22='Cap Table'!$B$41,BI22='Cap Table'!$B$42),BJ22-BK22,0),0)</f>
        <v>0</v>
      </c>
      <c r="CH22" s="171">
        <f t="shared" si="36"/>
        <v>0</v>
      </c>
      <c r="CI22" s="169">
        <f t="shared" si="37"/>
        <v>0</v>
      </c>
      <c r="CJ22" s="172">
        <f t="shared" si="38"/>
        <v>0</v>
      </c>
      <c r="CK22" s="293">
        <f t="shared" si="39"/>
        <v>0</v>
      </c>
      <c r="CL22" s="170">
        <f ca="1">FV(CJ22/12,DATEDIF(CD22,'Cap Table'!CF$61,"m"),0,-CG22)</f>
        <v>0</v>
      </c>
      <c r="CM22" s="170">
        <f ca="1">IF('Cap Table'!CF$81="no",IFERROR(CL22/(1-CH22),0),IFERROR(CL22/(1-(MAX(CH22,IF(CI22=0,0,('Cap Table'!CF$63-CI22/'Cap Table'!CF$62)/'Cap Table'!CF$63)))),0))</f>
        <v>0</v>
      </c>
      <c r="CN22" s="146">
        <f t="shared" ca="1" si="40"/>
        <v>0</v>
      </c>
      <c r="CO22" s="149">
        <f ca="1">IF(AND('Cap Table'!CF$63=0,CL22&gt;0),CI22/IF(CE22=$B$42,CA$56,'Cap Table'!CF$62),IFERROR(IF(CI22=0,'Cap Table'!CF$63*(1-CH22),MIN('Cap Table'!CF$63*(1-CH22),CI22/IF(CE22=$B$42,CA$56,'Cap Table'!CF$62))),0))</f>
        <v>0</v>
      </c>
      <c r="CP22" s="170">
        <f t="shared" ca="1" si="91"/>
        <v>0</v>
      </c>
      <c r="CQ22" s="170">
        <v>0</v>
      </c>
      <c r="CR22" s="146">
        <f t="shared" ca="1" si="41"/>
        <v>0</v>
      </c>
      <c r="CS22" s="146">
        <f t="shared" si="42"/>
        <v>0</v>
      </c>
      <c r="CT22" s="146">
        <f t="shared" ca="1" si="92"/>
        <v>0</v>
      </c>
      <c r="CU22" s="147">
        <f t="shared" ca="1" si="43"/>
        <v>0</v>
      </c>
      <c r="CV22" s="146">
        <f ca="1">CT22*'Cap Table'!CF$63</f>
        <v>0</v>
      </c>
      <c r="CW22" s="173">
        <f ca="1">IFERROR(IF(OR(CE22='Cap Table'!$B$40,CE22='Cap Table'!$B$41,CE22='Cap Table'!$B$42,CE22='Cap Table'!$B$43),IF(SUM(CG22,BK22,AO22,S22)&lt;SUM(CF22,BJ22,AN22,R22),FV(MAX(CJ22,BN22,AR22,V22)/12,DATEDIF(CD22,'Cap Table'!$CF$61,"m"),0,-MAX(CF22,BJ22,AN22,R22))/(MAX(CI22,BM22,AQ22,U22)/'Cap Table'!$CF$62)/IF(CE22=$B$42,(1-MAX(CK$29,BO$29,AS$29,W$29)),1),CT22),CT22),0)</f>
        <v>0</v>
      </c>
      <c r="CX22" s="147">
        <f t="shared" ca="1" si="44"/>
        <v>0</v>
      </c>
      <c r="CZ22" s="168">
        <f t="shared" ca="1" si="45"/>
        <v>45647</v>
      </c>
      <c r="DA22" s="168" t="str">
        <f t="shared" si="93"/>
        <v>Equity</v>
      </c>
      <c r="DB22" s="169">
        <v>0</v>
      </c>
      <c r="DC22" s="169">
        <f>IF('Cap Table'!DB$80&lt;&gt;"na",IF(OR(CE22='Cap Table'!$B$40,CE22='Cap Table'!$B$41,CE22='Cap Table'!$B$42),CF22-CG22,0),0)</f>
        <v>0</v>
      </c>
      <c r="DD22" s="171">
        <f t="shared" si="46"/>
        <v>0</v>
      </c>
      <c r="DE22" s="169">
        <f t="shared" si="47"/>
        <v>0</v>
      </c>
      <c r="DF22" s="172">
        <f t="shared" si="48"/>
        <v>0</v>
      </c>
      <c r="DG22" s="293">
        <f t="shared" si="49"/>
        <v>0</v>
      </c>
      <c r="DH22" s="170">
        <f ca="1">FV(DF22/12,DATEDIF(CZ22,'Cap Table'!DB$61,"m"),0,-DC22)</f>
        <v>0</v>
      </c>
      <c r="DI22" s="170">
        <f ca="1">IF('Cap Table'!DB$81="no",IFERROR(DH22/(1-DD22),0),IFERROR(DH22/(1-(MAX(DD22,IF(DE22=0,0,('Cap Table'!DB$63-DE22/'Cap Table'!DB$62)/'Cap Table'!DB$63)))),0))</f>
        <v>0</v>
      </c>
      <c r="DJ22" s="146">
        <f t="shared" ca="1" si="50"/>
        <v>0</v>
      </c>
      <c r="DK22" s="149">
        <f ca="1">IF(AND('Cap Table'!DB$63=0,DH22&gt;0),DE22/'Cap Table'!DB$62,IFERROR(IF(DE22=0,'Cap Table'!DB$63*(1-DD22),MIN('Cap Table'!DB$63*(1-DD22),DE22/'Cap Table'!DB$62)),0))</f>
        <v>0</v>
      </c>
      <c r="DL22" s="170">
        <f t="shared" ca="1" si="94"/>
        <v>0</v>
      </c>
      <c r="DM22" s="170">
        <v>0</v>
      </c>
      <c r="DN22" s="146">
        <f t="shared" ca="1" si="51"/>
        <v>0</v>
      </c>
      <c r="DO22" s="146">
        <f t="shared" si="52"/>
        <v>0</v>
      </c>
      <c r="DP22" s="146">
        <f t="shared" ca="1" si="95"/>
        <v>0</v>
      </c>
      <c r="DQ22" s="147">
        <f t="shared" ca="1" si="53"/>
        <v>0</v>
      </c>
      <c r="DR22" s="146">
        <f ca="1">DP22*'Cap Table'!DB$63</f>
        <v>0</v>
      </c>
      <c r="DS22" s="173">
        <f ca="1">IFERROR(IF(OR(DA22='Cap Table'!$B$40,DA22='Cap Table'!$B$41,DA22='Cap Table'!$B$42,DA22='Cap Table'!$B$43),IF(SUM(DC22,CG22,BK22,AO22,S22,)&lt;SUM(DB22,CF22,BJ22,AN22,R22),FV(MAX(DF22,CJ22,BN22,AR22,V22)/12,DATEDIF(CZ22,'Cap Table'!$DB$61,"m"),0,-MAX(DB22,CF22,BJ22,AN22,R22))/(MAX(DE22,CI22,BM22,AQ22,U22,)/'Cap Table'!$DB$62)/IF(DA22=$B$42,(1-MAX(DG$29,CK$29,BO$29,AS$29,W$29)),1),DP22),DP22),0)</f>
        <v>0</v>
      </c>
      <c r="DT22" s="147">
        <f t="shared" ca="1" si="54"/>
        <v>0</v>
      </c>
      <c r="DV22" s="168">
        <f t="shared" ca="1" si="55"/>
        <v>46012</v>
      </c>
      <c r="DW22" s="168" t="str">
        <f t="shared" si="96"/>
        <v>Equity</v>
      </c>
      <c r="DX22" s="169">
        <v>0</v>
      </c>
      <c r="DY22" s="169">
        <f>IF('Cap Table'!DX$80&lt;&gt;"na",IF(OR(DA22='Cap Table'!$B$40,DA22='Cap Table'!$B$41,DA22='Cap Table'!$B$42),DB22-DC22,0),0)</f>
        <v>0</v>
      </c>
      <c r="DZ22" s="171">
        <f t="shared" si="102"/>
        <v>0</v>
      </c>
      <c r="EA22" s="169">
        <f t="shared" si="103"/>
        <v>0</v>
      </c>
      <c r="EB22" s="172">
        <f t="shared" si="104"/>
        <v>0</v>
      </c>
      <c r="EC22" s="293">
        <f t="shared" si="59"/>
        <v>0</v>
      </c>
      <c r="ED22" s="170">
        <f ca="1">FV(EB22/12,DATEDIF(DV22,'Cap Table'!DX$61,"m"),0,-DY22)</f>
        <v>0</v>
      </c>
      <c r="EE22" s="170">
        <f ca="1">IF('Cap Table'!DX$81="no",IFERROR(ED22/(1-DZ22),0),IFERROR(ED22/(1-(MAX(DZ22,IF(EA22=0,0,('Cap Table'!DX$63-EA22/'Cap Table'!DX$62)/'Cap Table'!DX$63)))),0))</f>
        <v>0</v>
      </c>
      <c r="EF22" s="146">
        <f t="shared" ca="1" si="60"/>
        <v>0</v>
      </c>
      <c r="EG22" s="149">
        <f ca="1">IF(AND('Cap Table'!DX$63=0,ED22&gt;0),EA22/IF(DA22=$B$42,DS$56,'Cap Table'!DX$62),IFERROR(IF(EA22=0,'Cap Table'!DX$63*(1-DZ22),MIN('Cap Table'!DX$63*(1-DZ22),EA22/IF(DA22=$B$42,DS$56,'Cap Table'!DX$62))),0))</f>
        <v>0</v>
      </c>
      <c r="EH22" s="170">
        <f t="shared" ca="1" si="97"/>
        <v>0</v>
      </c>
      <c r="EI22" s="170">
        <v>0</v>
      </c>
      <c r="EJ22" s="146">
        <f t="shared" ca="1" si="98"/>
        <v>0</v>
      </c>
      <c r="EK22" s="146">
        <f t="shared" si="61"/>
        <v>0</v>
      </c>
      <c r="EL22" s="146">
        <f t="shared" ca="1" si="99"/>
        <v>0</v>
      </c>
      <c r="EM22" s="147">
        <f t="shared" ca="1" si="62"/>
        <v>0</v>
      </c>
      <c r="EN22" s="146">
        <f ca="1">EL22*'Cap Table'!DX$63</f>
        <v>0</v>
      </c>
      <c r="EO22" s="173">
        <f ca="1">IFERROR(IF(OR(DW22='Cap Table'!$B$40,DW22='Cap Table'!$B$41,DW22='Cap Table'!$B$42,DW22='Cap Table'!$B$43),IF(SUM(DY22,DC22,CG22,BK22,AO22,S22)&lt;SUM(DX22,DB22,CF22,BJ22,AN22,R22),FV(MAX(EB22,DF22,CJ22,BN22,AR22,V22)/12,DATEDIF(DV22,'Cap Table'!DX$61,"m"),0,-MAX(DX22,DB22,CF22,BJ22,AN22,R22))/(MAX(EA22,DE22,CI22,BM22,AQ22,U22)/'Cap Table'!$DX$62)/IF(DW22=$B$42,(1-MAX(EC$29,DG$29,CK$29,BO$29,AS$29,W$29)),1),EL22),EL22),0)</f>
        <v>0</v>
      </c>
      <c r="EP22" s="147">
        <f t="shared" ca="1" si="63"/>
        <v>0</v>
      </c>
      <c r="ER22" s="146">
        <f t="shared" si="64"/>
        <v>0</v>
      </c>
      <c r="ES22" s="146">
        <f t="shared" si="65"/>
        <v>0</v>
      </c>
      <c r="ET22" s="174" t="s">
        <v>27</v>
      </c>
      <c r="EU22" s="174" t="s">
        <v>27</v>
      </c>
      <c r="EV22" s="174" t="s">
        <v>27</v>
      </c>
      <c r="EW22" s="146">
        <f t="shared" ca="1" si="66"/>
        <v>0</v>
      </c>
      <c r="EX22" s="146">
        <f t="shared" ca="1" si="67"/>
        <v>0</v>
      </c>
      <c r="EY22" s="146">
        <f t="shared" ca="1" si="68"/>
        <v>0</v>
      </c>
      <c r="EZ22" s="149">
        <f t="shared" ca="1" si="105"/>
        <v>0</v>
      </c>
      <c r="FA22" s="146">
        <f t="shared" ca="1" si="69"/>
        <v>0</v>
      </c>
      <c r="FB22" s="146">
        <f t="shared" si="70"/>
        <v>0</v>
      </c>
      <c r="FC22" s="146">
        <f t="shared" ca="1" si="100"/>
        <v>0</v>
      </c>
      <c r="FD22" s="146">
        <f t="shared" si="100"/>
        <v>0</v>
      </c>
      <c r="FE22" s="146">
        <f t="shared" ca="1" si="100"/>
        <v>0</v>
      </c>
      <c r="FF22" s="147">
        <f t="shared" ca="1" si="71"/>
        <v>0</v>
      </c>
      <c r="FG22" s="146">
        <f t="shared" ca="1" si="101"/>
        <v>0</v>
      </c>
      <c r="FH22" s="146">
        <f t="shared" ca="1" si="101"/>
        <v>0</v>
      </c>
      <c r="FI22" s="147">
        <f t="shared" ca="1" si="72"/>
        <v>0</v>
      </c>
      <c r="FK22" s="149" t="str">
        <f t="shared" si="0"/>
        <v>Common</v>
      </c>
      <c r="FL22" s="146">
        <f t="shared" ca="1" si="73"/>
        <v>0</v>
      </c>
      <c r="FM22" s="146">
        <f t="shared" ca="1" si="74"/>
        <v>0</v>
      </c>
      <c r="FN22" s="146">
        <f t="shared" ca="1" si="75"/>
        <v>0</v>
      </c>
      <c r="FP22" s="146" t="str">
        <f t="shared" si="76"/>
        <v>Common</v>
      </c>
      <c r="FQ22" s="174" t="str">
        <f t="shared" ca="1" si="77"/>
        <v>na</v>
      </c>
      <c r="FR22" s="174" t="str">
        <f t="shared" ca="1" si="78"/>
        <v>na</v>
      </c>
      <c r="FS22" s="174" t="str">
        <f t="shared" ca="1" si="79"/>
        <v>na</v>
      </c>
    </row>
    <row r="23" spans="2:175">
      <c r="B23" s="145" t="s">
        <v>27</v>
      </c>
      <c r="D23" s="167" t="s">
        <v>27</v>
      </c>
      <c r="E23" s="167" t="str">
        <f t="shared" si="80"/>
        <v>Common</v>
      </c>
      <c r="G23" s="168">
        <f t="shared" ca="1" si="1"/>
        <v>43820</v>
      </c>
      <c r="H23" s="289" t="str">
        <f t="shared" si="2"/>
        <v>Equity</v>
      </c>
      <c r="I23" s="169">
        <v>0</v>
      </c>
      <c r="J23" s="170">
        <v>0</v>
      </c>
      <c r="K23" s="170">
        <f t="shared" si="81"/>
        <v>0</v>
      </c>
      <c r="L23" s="147">
        <f t="shared" si="3"/>
        <v>0</v>
      </c>
      <c r="M23" s="170">
        <f t="shared" si="82"/>
        <v>0</v>
      </c>
      <c r="N23" s="147">
        <f t="shared" si="4"/>
        <v>0</v>
      </c>
      <c r="O23" s="147"/>
      <c r="P23" s="168">
        <f t="shared" ca="1" si="5"/>
        <v>44186</v>
      </c>
      <c r="Q23" s="289" t="str">
        <f t="shared" si="6"/>
        <v>Equity</v>
      </c>
      <c r="R23" s="169">
        <v>0</v>
      </c>
      <c r="S23" s="169">
        <v>0</v>
      </c>
      <c r="T23" s="171">
        <v>0</v>
      </c>
      <c r="U23" s="145">
        <v>0</v>
      </c>
      <c r="V23" s="172">
        <v>0</v>
      </c>
      <c r="W23" s="293">
        <f t="shared" si="7"/>
        <v>0</v>
      </c>
      <c r="X23" s="170">
        <f ca="1">FV(V23/12,DATEDIF(P23,'Cap Table'!R$61,"m"),0,-S23)</f>
        <v>0</v>
      </c>
      <c r="Y23" s="170">
        <f t="shared" ca="1" si="8"/>
        <v>0</v>
      </c>
      <c r="Z23" s="146">
        <f t="shared" ca="1" si="9"/>
        <v>0</v>
      </c>
      <c r="AA23" s="149">
        <f ca="1">IF(AND('Cap Table'!R$63=0,X23&gt;0),U23/'Cap Table'!R$62,IFERROR(IF(U23=0,'Cap Table'!R$63*(1-T23),MIN('Cap Table'!R$63*(1-T23),U23/'Cap Table'!R$62)),0))</f>
        <v>0</v>
      </c>
      <c r="AB23" s="170">
        <f t="shared" ca="1" si="83"/>
        <v>0</v>
      </c>
      <c r="AC23" s="170">
        <v>0</v>
      </c>
      <c r="AD23" s="146">
        <f t="shared" ca="1" si="10"/>
        <v>0</v>
      </c>
      <c r="AE23" s="146">
        <f t="shared" si="11"/>
        <v>0</v>
      </c>
      <c r="AF23" s="146">
        <f t="shared" ca="1" si="84"/>
        <v>0</v>
      </c>
      <c r="AG23" s="147">
        <f t="shared" ca="1" si="12"/>
        <v>0</v>
      </c>
      <c r="AH23" s="146">
        <f ca="1">AF23*'Cap Table'!R$63</f>
        <v>0</v>
      </c>
      <c r="AI23" s="146">
        <f ca="1">IFERROR(IF(OR(Q23='Cap Table'!$B$40,Q23='Cap Table'!$B$41,Q23='Cap Table'!$B$42,Q23='Cap Table'!$B$43),IF(SUM(S23)&lt;SUM(R23),(FV(V23/12,DATEDIF(P23,'Cap Table'!R$61,"m"),0,-R23))/(U23/'Cap Table'!$R$62)/IF(Q23=$B$42,(1-W$29),1),AF23),AF23),0)</f>
        <v>0</v>
      </c>
      <c r="AJ23" s="147">
        <f t="shared" ca="1" si="13"/>
        <v>0</v>
      </c>
      <c r="AL23" s="168">
        <f t="shared" ca="1" si="14"/>
        <v>44551</v>
      </c>
      <c r="AM23" s="168" t="str">
        <f t="shared" si="15"/>
        <v>Equity</v>
      </c>
      <c r="AN23" s="169">
        <v>0</v>
      </c>
      <c r="AO23" s="169">
        <f>IF('Cap Table'!AN$80&lt;&gt;"na",IF(OR(Q23='Cap Table'!$B$40,Q23='Cap Table'!$B$41,Q23='Cap Table'!$B$42),R23-S23,0),0)</f>
        <v>0</v>
      </c>
      <c r="AP23" s="171">
        <f t="shared" si="16"/>
        <v>0</v>
      </c>
      <c r="AQ23" s="169">
        <f t="shared" si="17"/>
        <v>0</v>
      </c>
      <c r="AR23" s="172">
        <f t="shared" si="18"/>
        <v>0</v>
      </c>
      <c r="AS23" s="293">
        <f t="shared" si="19"/>
        <v>0</v>
      </c>
      <c r="AT23" s="170">
        <f ca="1">FV(AR23/12,DATEDIF(AL23,'Cap Table'!AN$61,"m"),0,-AO23)</f>
        <v>0</v>
      </c>
      <c r="AU23" s="170">
        <f ca="1">IF('Cap Table'!AN$81="no",IFERROR(AT23/(1-AP23),0),IFERROR(AT23/(1-(MAX(AP23,IF(AQ23=0,0,('Cap Table'!AN$63-AQ23/'Cap Table'!AN$62)/'Cap Table'!AN$63)))),0))</f>
        <v>0</v>
      </c>
      <c r="AV23" s="146">
        <f t="shared" ca="1" si="20"/>
        <v>0</v>
      </c>
      <c r="AW23" s="149">
        <f ca="1">IF(AND('Cap Table'!AN$63=0,AT23&gt;0),AQ23/IF(AM23=$B$42,AI$56,'Cap Table'!AN$62),IFERROR(IF(AQ23=0,'Cap Table'!AN$63*(1-AP23),MIN('Cap Table'!AN$63*(1-AP23),AQ23/IF(AM23=$B$42,AI$56,'Cap Table'!AN$62))),0))</f>
        <v>0</v>
      </c>
      <c r="AX23" s="170">
        <f t="shared" ca="1" si="85"/>
        <v>0</v>
      </c>
      <c r="AY23" s="170">
        <v>0</v>
      </c>
      <c r="AZ23" s="146">
        <f t="shared" ca="1" si="21"/>
        <v>0</v>
      </c>
      <c r="BA23" s="146">
        <f t="shared" si="22"/>
        <v>0</v>
      </c>
      <c r="BB23" s="146">
        <f t="shared" ca="1" si="86"/>
        <v>0</v>
      </c>
      <c r="BC23" s="147">
        <f t="shared" ca="1" si="23"/>
        <v>0</v>
      </c>
      <c r="BD23" s="146">
        <f ca="1">BB23*'Cap Table'!AN$63</f>
        <v>0</v>
      </c>
      <c r="BE23" s="173">
        <f ca="1">IFERROR(IF(OR(AM23='Cap Table'!$B$40,AM23='Cap Table'!$B$41,AM23='Cap Table'!$B$42,AM23='Cap Table'!$B$43),IF(SUM(AO23,S23)&lt;SUM(AN23,R23),FV(MAX(AR23,V23)/12,DATEDIF(AL23,'Cap Table'!$AN$61,"m"),0,-MAX(AN23,R23))/(MAX(AQ23,U23)/'Cap Table'!$AN$62)/IF(AM23=$B$42,(1-MAX(W44,AS$29)),1),BB23),BB23),0)</f>
        <v>0</v>
      </c>
      <c r="BF23" s="147">
        <f t="shared" ca="1" si="24"/>
        <v>0</v>
      </c>
      <c r="BH23" s="168">
        <f t="shared" ca="1" si="25"/>
        <v>44916</v>
      </c>
      <c r="BI23" s="168" t="str">
        <f t="shared" si="87"/>
        <v>Equity</v>
      </c>
      <c r="BJ23" s="169">
        <v>0</v>
      </c>
      <c r="BK23" s="169">
        <f>IF('Cap Table'!BJ$80&lt;&gt;"na",IF(OR(AM23='Cap Table'!$B$40,AM23='Cap Table'!$B$41,AM23='Cap Table'!$B$42),AN23-AO23,0),0)</f>
        <v>0</v>
      </c>
      <c r="BL23" s="171">
        <f t="shared" si="26"/>
        <v>0</v>
      </c>
      <c r="BM23" s="169">
        <f t="shared" si="27"/>
        <v>0</v>
      </c>
      <c r="BN23" s="172">
        <f t="shared" si="28"/>
        <v>0</v>
      </c>
      <c r="BO23" s="293">
        <f t="shared" si="29"/>
        <v>0</v>
      </c>
      <c r="BP23" s="170">
        <f ca="1">FV(BN23/12,DATEDIF(BH23,'Cap Table'!BJ$61,"m"),0,-BK23)</f>
        <v>0</v>
      </c>
      <c r="BQ23" s="170">
        <f ca="1">IF('Cap Table'!BJ$81="no",IFERROR(BP23/(1-BL23),0),IFERROR(BP23/(1-(MAX(BL23,IF(BM23=0,0,('Cap Table'!BJ$63-BM23/'Cap Table'!BJ$62)/'Cap Table'!BJ$63)))),0))</f>
        <v>0</v>
      </c>
      <c r="BR23" s="146">
        <f t="shared" ca="1" si="30"/>
        <v>0</v>
      </c>
      <c r="BS23" s="149">
        <f ca="1">IF(AND('Cap Table'!BJ$63=0,BP23&gt;0),BM23/IF(BI23=$B$42,BE$56,'Cap Table'!BJ$62),IFERROR(IF(BM23=0,'Cap Table'!BJ$63*(1-BL23),MIN('Cap Table'!BJ$63*(1-BL23),BM23/IF(BI23=$B$42,BE$56,'Cap Table'!BJ$62))),0))</f>
        <v>0</v>
      </c>
      <c r="BT23" s="170">
        <f t="shared" ca="1" si="88"/>
        <v>0</v>
      </c>
      <c r="BU23" s="170">
        <v>0</v>
      </c>
      <c r="BV23" s="146">
        <f t="shared" ca="1" si="31"/>
        <v>0</v>
      </c>
      <c r="BW23" s="146">
        <f t="shared" si="32"/>
        <v>0</v>
      </c>
      <c r="BX23" s="146">
        <f t="shared" ca="1" si="89"/>
        <v>0</v>
      </c>
      <c r="BY23" s="147">
        <f t="shared" ca="1" si="33"/>
        <v>0</v>
      </c>
      <c r="BZ23" s="146">
        <f ca="1">BX23*'Cap Table'!BJ$63</f>
        <v>0</v>
      </c>
      <c r="CA23" s="173">
        <f ca="1">IFERROR(IF(OR(BI23='Cap Table'!$B$40,BI23='Cap Table'!$B$41,BI23='Cap Table'!$B$42,BI23='Cap Table'!$B$43),IF(SUM(BK23,AO23,S23)&lt;SUM(BJ23,AN23,R23),FV(MAX(BN23,AR23,V23)/12,DATEDIF(BH23,'Cap Table'!$BJ$61,"m"),0,-MAX(BJ23,AN23,R23))/(MAX(BM23,AQ23,U23)/'Cap Table'!$BJ$62)/IF(BI23=$B$42,(1-MAX(BO$29,AS$29,W$29)),1),BX23),BX23),0)</f>
        <v>0</v>
      </c>
      <c r="CB23" s="147">
        <f t="shared" ca="1" si="34"/>
        <v>0</v>
      </c>
      <c r="CD23" s="168">
        <f t="shared" ca="1" si="35"/>
        <v>45281</v>
      </c>
      <c r="CE23" s="168" t="str">
        <f t="shared" si="90"/>
        <v>Equity</v>
      </c>
      <c r="CF23" s="169">
        <v>0</v>
      </c>
      <c r="CG23" s="169">
        <f>IF('Cap Table'!CF$80&lt;&gt;"na",IF(OR(BI23='Cap Table'!$B$40,BI23='Cap Table'!$B$41,BI23='Cap Table'!$B$42),BJ23-BK23,0),0)</f>
        <v>0</v>
      </c>
      <c r="CH23" s="171">
        <f t="shared" si="36"/>
        <v>0</v>
      </c>
      <c r="CI23" s="169">
        <f t="shared" si="37"/>
        <v>0</v>
      </c>
      <c r="CJ23" s="172">
        <f t="shared" si="38"/>
        <v>0</v>
      </c>
      <c r="CK23" s="293">
        <f t="shared" si="39"/>
        <v>0</v>
      </c>
      <c r="CL23" s="170">
        <f ca="1">FV(CJ23/12,DATEDIF(CD23,'Cap Table'!CF$61,"m"),0,-CG23)</f>
        <v>0</v>
      </c>
      <c r="CM23" s="170">
        <f ca="1">IF('Cap Table'!CF$81="no",IFERROR(CL23/(1-CH23),0),IFERROR(CL23/(1-(MAX(CH23,IF(CI23=0,0,('Cap Table'!CF$63-CI23/'Cap Table'!CF$62)/'Cap Table'!CF$63)))),0))</f>
        <v>0</v>
      </c>
      <c r="CN23" s="146">
        <f t="shared" ca="1" si="40"/>
        <v>0</v>
      </c>
      <c r="CO23" s="149">
        <f ca="1">IF(AND('Cap Table'!CF$63=0,CL23&gt;0),CI23/IF(CE23=$B$42,CA$56,'Cap Table'!CF$62),IFERROR(IF(CI23=0,'Cap Table'!CF$63*(1-CH23),MIN('Cap Table'!CF$63*(1-CH23),CI23/IF(CE23=$B$42,CA$56,'Cap Table'!CF$62))),0))</f>
        <v>0</v>
      </c>
      <c r="CP23" s="170">
        <f t="shared" ca="1" si="91"/>
        <v>0</v>
      </c>
      <c r="CQ23" s="170">
        <v>0</v>
      </c>
      <c r="CR23" s="146">
        <f t="shared" ca="1" si="41"/>
        <v>0</v>
      </c>
      <c r="CS23" s="146">
        <f t="shared" si="42"/>
        <v>0</v>
      </c>
      <c r="CT23" s="146">
        <f t="shared" ca="1" si="92"/>
        <v>0</v>
      </c>
      <c r="CU23" s="147">
        <f t="shared" ca="1" si="43"/>
        <v>0</v>
      </c>
      <c r="CV23" s="146">
        <f ca="1">CT23*'Cap Table'!CF$63</f>
        <v>0</v>
      </c>
      <c r="CW23" s="173">
        <f ca="1">IFERROR(IF(OR(CE23='Cap Table'!$B$40,CE23='Cap Table'!$B$41,CE23='Cap Table'!$B$42,CE23='Cap Table'!$B$43),IF(SUM(CG23,BK23,AO23,S23)&lt;SUM(CF23,BJ23,AN23,R23),FV(MAX(CJ23,BN23,AR23,V23)/12,DATEDIF(CD23,'Cap Table'!$CF$61,"m"),0,-MAX(CF23,BJ23,AN23,R23))/(MAX(CI23,BM23,AQ23,U23)/'Cap Table'!$CF$62)/IF(CE23=$B$42,(1-MAX(CK$29,BO$29,AS$29,W$29)),1),CT23),CT23),0)</f>
        <v>0</v>
      </c>
      <c r="CX23" s="147">
        <f t="shared" ca="1" si="44"/>
        <v>0</v>
      </c>
      <c r="CZ23" s="168">
        <f t="shared" ca="1" si="45"/>
        <v>45647</v>
      </c>
      <c r="DA23" s="168" t="str">
        <f t="shared" si="93"/>
        <v>Equity</v>
      </c>
      <c r="DB23" s="169">
        <v>0</v>
      </c>
      <c r="DC23" s="169">
        <f>IF('Cap Table'!DB$80&lt;&gt;"na",IF(OR(CE23='Cap Table'!$B$40,CE23='Cap Table'!$B$41,CE23='Cap Table'!$B$42),CF23-CG23,0),0)</f>
        <v>0</v>
      </c>
      <c r="DD23" s="171">
        <f t="shared" si="46"/>
        <v>0</v>
      </c>
      <c r="DE23" s="169">
        <f t="shared" si="47"/>
        <v>0</v>
      </c>
      <c r="DF23" s="172">
        <f t="shared" si="48"/>
        <v>0</v>
      </c>
      <c r="DG23" s="293">
        <f t="shared" si="49"/>
        <v>0</v>
      </c>
      <c r="DH23" s="170">
        <f ca="1">FV(DF23/12,DATEDIF(CZ23,'Cap Table'!DB$61,"m"),0,-DC23)</f>
        <v>0</v>
      </c>
      <c r="DI23" s="170">
        <f ca="1">IF('Cap Table'!DB$81="no",IFERROR(DH23/(1-DD23),0),IFERROR(DH23/(1-(MAX(DD23,IF(DE23=0,0,('Cap Table'!DB$63-DE23/'Cap Table'!DB$62)/'Cap Table'!DB$63)))),0))</f>
        <v>0</v>
      </c>
      <c r="DJ23" s="146">
        <f t="shared" ca="1" si="50"/>
        <v>0</v>
      </c>
      <c r="DK23" s="149">
        <f ca="1">IF(AND('Cap Table'!DB$63=0,DH23&gt;0),DE23/'Cap Table'!DB$62,IFERROR(IF(DE23=0,'Cap Table'!DB$63*(1-DD23),MIN('Cap Table'!DB$63*(1-DD23),DE23/'Cap Table'!DB$62)),0))</f>
        <v>0</v>
      </c>
      <c r="DL23" s="170">
        <f t="shared" ca="1" si="94"/>
        <v>0</v>
      </c>
      <c r="DM23" s="170">
        <v>0</v>
      </c>
      <c r="DN23" s="146">
        <f t="shared" ca="1" si="51"/>
        <v>0</v>
      </c>
      <c r="DO23" s="146">
        <f t="shared" si="52"/>
        <v>0</v>
      </c>
      <c r="DP23" s="146">
        <f t="shared" ca="1" si="95"/>
        <v>0</v>
      </c>
      <c r="DQ23" s="147">
        <f t="shared" ca="1" si="53"/>
        <v>0</v>
      </c>
      <c r="DR23" s="146">
        <f ca="1">DP23*'Cap Table'!DB$63</f>
        <v>0</v>
      </c>
      <c r="DS23" s="173">
        <f ca="1">IFERROR(IF(OR(DA23='Cap Table'!$B$40,DA23='Cap Table'!$B$41,DA23='Cap Table'!$B$42,DA23='Cap Table'!$B$43),IF(SUM(DC23,CG23,BK23,AO23,S23,)&lt;SUM(DB23,CF23,BJ23,AN23,R23),FV(MAX(DF23,CJ23,BN23,AR23,V23)/12,DATEDIF(CZ23,'Cap Table'!$DB$61,"m"),0,-MAX(DB23,CF23,BJ23,AN23,R23))/(MAX(DE23,CI23,BM23,AQ23,U23,)/'Cap Table'!$DB$62)/IF(DA23=$B$42,(1-MAX(DG$29,CK$29,BO$29,AS$29,W$29)),1),DP23),DP23),0)</f>
        <v>0</v>
      </c>
      <c r="DT23" s="147">
        <f t="shared" ca="1" si="54"/>
        <v>0</v>
      </c>
      <c r="DV23" s="168">
        <f t="shared" ca="1" si="55"/>
        <v>46012</v>
      </c>
      <c r="DW23" s="168" t="str">
        <f t="shared" si="96"/>
        <v>Equity</v>
      </c>
      <c r="DX23" s="169">
        <v>0</v>
      </c>
      <c r="DY23" s="169">
        <f>IF('Cap Table'!DX$80&lt;&gt;"na",IF(OR(DA23='Cap Table'!$B$40,DA23='Cap Table'!$B$41,DA23='Cap Table'!$B$42),DB23-DC23,0),0)</f>
        <v>0</v>
      </c>
      <c r="DZ23" s="171">
        <f t="shared" si="102"/>
        <v>0</v>
      </c>
      <c r="EA23" s="169">
        <f t="shared" si="103"/>
        <v>0</v>
      </c>
      <c r="EB23" s="172">
        <f t="shared" si="104"/>
        <v>0</v>
      </c>
      <c r="EC23" s="293">
        <f t="shared" si="59"/>
        <v>0</v>
      </c>
      <c r="ED23" s="170">
        <f ca="1">FV(EB23/12,DATEDIF(DV23,'Cap Table'!DX$61,"m"),0,-DY23)</f>
        <v>0</v>
      </c>
      <c r="EE23" s="170">
        <f ca="1">IF('Cap Table'!DX$81="no",IFERROR(ED23/(1-DZ23),0),IFERROR(ED23/(1-(MAX(DZ23,IF(EA23=0,0,('Cap Table'!DX$63-EA23/'Cap Table'!DX$62)/'Cap Table'!DX$63)))),0))</f>
        <v>0</v>
      </c>
      <c r="EF23" s="146">
        <f t="shared" ca="1" si="60"/>
        <v>0</v>
      </c>
      <c r="EG23" s="149">
        <f ca="1">IF(AND('Cap Table'!DX$63=0,ED23&gt;0),EA23/IF(DA23=$B$42,DS$56,'Cap Table'!DX$62),IFERROR(IF(EA23=0,'Cap Table'!DX$63*(1-DZ23),MIN('Cap Table'!DX$63*(1-DZ23),EA23/IF(DA23=$B$42,DS$56,'Cap Table'!DX$62))),0))</f>
        <v>0</v>
      </c>
      <c r="EH23" s="170">
        <f t="shared" ca="1" si="97"/>
        <v>0</v>
      </c>
      <c r="EI23" s="170">
        <v>0</v>
      </c>
      <c r="EJ23" s="146">
        <f t="shared" ca="1" si="98"/>
        <v>0</v>
      </c>
      <c r="EK23" s="146">
        <f t="shared" si="61"/>
        <v>0</v>
      </c>
      <c r="EL23" s="146">
        <f t="shared" ca="1" si="99"/>
        <v>0</v>
      </c>
      <c r="EM23" s="147">
        <f t="shared" ca="1" si="62"/>
        <v>0</v>
      </c>
      <c r="EN23" s="146">
        <f ca="1">EL23*'Cap Table'!DX$63</f>
        <v>0</v>
      </c>
      <c r="EO23" s="173">
        <f ca="1">IFERROR(IF(OR(DW23='Cap Table'!$B$40,DW23='Cap Table'!$B$41,DW23='Cap Table'!$B$42,DW23='Cap Table'!$B$43),IF(SUM(DY23,DC23,CG23,BK23,AO23,S23)&lt;SUM(DX23,DB23,CF23,BJ23,AN23,R23),FV(MAX(EB23,DF23,CJ23,BN23,AR23,V23)/12,DATEDIF(DV23,'Cap Table'!DX$61,"m"),0,-MAX(DX23,DB23,CF23,BJ23,AN23,R23))/(MAX(EA23,DE23,CI23,BM23,AQ23,U23)/'Cap Table'!$DX$62)/IF(DW23=$B$42,(1-MAX(EC$29,DG$29,CK$29,BO$29,AS$29,W$29)),1),EL23),EL23),0)</f>
        <v>0</v>
      </c>
      <c r="EP23" s="147">
        <f t="shared" ca="1" si="63"/>
        <v>0</v>
      </c>
      <c r="ER23" s="146">
        <f t="shared" si="64"/>
        <v>0</v>
      </c>
      <c r="ES23" s="146">
        <f t="shared" si="65"/>
        <v>0</v>
      </c>
      <c r="ET23" s="174" t="s">
        <v>27</v>
      </c>
      <c r="EU23" s="174" t="s">
        <v>27</v>
      </c>
      <c r="EV23" s="174" t="s">
        <v>27</v>
      </c>
      <c r="EW23" s="146">
        <f t="shared" ca="1" si="66"/>
        <v>0</v>
      </c>
      <c r="EX23" s="146">
        <f t="shared" ca="1" si="67"/>
        <v>0</v>
      </c>
      <c r="EY23" s="146">
        <f t="shared" ca="1" si="68"/>
        <v>0</v>
      </c>
      <c r="EZ23" s="149">
        <f t="shared" ca="1" si="105"/>
        <v>0</v>
      </c>
      <c r="FA23" s="146">
        <f t="shared" ca="1" si="69"/>
        <v>0</v>
      </c>
      <c r="FB23" s="146">
        <f t="shared" si="70"/>
        <v>0</v>
      </c>
      <c r="FC23" s="146">
        <f t="shared" ca="1" si="100"/>
        <v>0</v>
      </c>
      <c r="FD23" s="146">
        <f t="shared" si="100"/>
        <v>0</v>
      </c>
      <c r="FE23" s="146">
        <f t="shared" ca="1" si="100"/>
        <v>0</v>
      </c>
      <c r="FF23" s="147">
        <f t="shared" ca="1" si="71"/>
        <v>0</v>
      </c>
      <c r="FG23" s="146">
        <f t="shared" ca="1" si="101"/>
        <v>0</v>
      </c>
      <c r="FH23" s="146">
        <f t="shared" ca="1" si="101"/>
        <v>0</v>
      </c>
      <c r="FI23" s="147">
        <f t="shared" ca="1" si="72"/>
        <v>0</v>
      </c>
      <c r="FK23" s="149" t="str">
        <f t="shared" si="0"/>
        <v>Common</v>
      </c>
      <c r="FL23" s="146">
        <f t="shared" ca="1" si="73"/>
        <v>0</v>
      </c>
      <c r="FM23" s="146">
        <f t="shared" ca="1" si="74"/>
        <v>0</v>
      </c>
      <c r="FN23" s="146">
        <f t="shared" ca="1" si="75"/>
        <v>0</v>
      </c>
      <c r="FP23" s="146" t="str">
        <f t="shared" si="76"/>
        <v>Common</v>
      </c>
      <c r="FQ23" s="174" t="str">
        <f t="shared" ca="1" si="77"/>
        <v>na</v>
      </c>
      <c r="FR23" s="174" t="str">
        <f t="shared" ca="1" si="78"/>
        <v>na</v>
      </c>
      <c r="FS23" s="174" t="str">
        <f t="shared" ca="1" si="79"/>
        <v>na</v>
      </c>
    </row>
    <row r="24" spans="2:175">
      <c r="B24" s="145" t="s">
        <v>27</v>
      </c>
      <c r="D24" s="167" t="s">
        <v>27</v>
      </c>
      <c r="E24" s="167" t="str">
        <f t="shared" si="80"/>
        <v>Common</v>
      </c>
      <c r="G24" s="168">
        <f t="shared" ca="1" si="1"/>
        <v>43820</v>
      </c>
      <c r="H24" s="289" t="str">
        <f t="shared" si="2"/>
        <v>Equity</v>
      </c>
      <c r="I24" s="169">
        <v>0</v>
      </c>
      <c r="J24" s="170">
        <v>0</v>
      </c>
      <c r="K24" s="170">
        <f t="shared" si="81"/>
        <v>0</v>
      </c>
      <c r="L24" s="147">
        <f t="shared" si="3"/>
        <v>0</v>
      </c>
      <c r="M24" s="170">
        <f t="shared" si="82"/>
        <v>0</v>
      </c>
      <c r="N24" s="147">
        <f t="shared" si="4"/>
        <v>0</v>
      </c>
      <c r="O24" s="147"/>
      <c r="P24" s="168">
        <f t="shared" ca="1" si="5"/>
        <v>44186</v>
      </c>
      <c r="Q24" s="289" t="str">
        <f t="shared" si="6"/>
        <v>Equity</v>
      </c>
      <c r="R24" s="169">
        <v>0</v>
      </c>
      <c r="S24" s="169">
        <v>0</v>
      </c>
      <c r="T24" s="171">
        <v>0</v>
      </c>
      <c r="U24" s="145">
        <v>0</v>
      </c>
      <c r="V24" s="172">
        <v>0</v>
      </c>
      <c r="W24" s="293">
        <f t="shared" si="7"/>
        <v>0</v>
      </c>
      <c r="X24" s="170">
        <f ca="1">FV(V24/12,DATEDIF(P24,'Cap Table'!R$61,"m"),0,-S24)</f>
        <v>0</v>
      </c>
      <c r="Y24" s="170">
        <f t="shared" ca="1" si="8"/>
        <v>0</v>
      </c>
      <c r="Z24" s="146">
        <f t="shared" ca="1" si="9"/>
        <v>0</v>
      </c>
      <c r="AA24" s="149">
        <f ca="1">IF(AND('Cap Table'!R$63=0,X24&gt;0),U24/'Cap Table'!R$62,IFERROR(IF(U24=0,'Cap Table'!R$63*(1-T24),MIN('Cap Table'!R$63*(1-T24),U24/'Cap Table'!R$62)),0))</f>
        <v>0</v>
      </c>
      <c r="AB24" s="170">
        <f t="shared" ca="1" si="83"/>
        <v>0</v>
      </c>
      <c r="AC24" s="170">
        <v>0</v>
      </c>
      <c r="AD24" s="146">
        <f t="shared" ca="1" si="10"/>
        <v>0</v>
      </c>
      <c r="AE24" s="146">
        <f t="shared" si="11"/>
        <v>0</v>
      </c>
      <c r="AF24" s="146">
        <f t="shared" ca="1" si="84"/>
        <v>0</v>
      </c>
      <c r="AG24" s="147">
        <f t="shared" ca="1" si="12"/>
        <v>0</v>
      </c>
      <c r="AH24" s="146">
        <f ca="1">AF24*'Cap Table'!R$63</f>
        <v>0</v>
      </c>
      <c r="AI24" s="146">
        <f ca="1">IFERROR(IF(OR(Q24='Cap Table'!$B$40,Q24='Cap Table'!$B$41,Q24='Cap Table'!$B$42,Q24='Cap Table'!$B$43),IF(SUM(S24)&lt;SUM(R24),(FV(V24/12,DATEDIF(P24,'Cap Table'!R$61,"m"),0,-R24))/(U24/'Cap Table'!$R$62)/IF(Q24=$B$42,(1-W$29),1),AF24),AF24),0)</f>
        <v>0</v>
      </c>
      <c r="AJ24" s="147">
        <f t="shared" ca="1" si="13"/>
        <v>0</v>
      </c>
      <c r="AL24" s="168">
        <f t="shared" ca="1" si="14"/>
        <v>44551</v>
      </c>
      <c r="AM24" s="168" t="str">
        <f t="shared" si="15"/>
        <v>Equity</v>
      </c>
      <c r="AN24" s="169">
        <v>0</v>
      </c>
      <c r="AO24" s="169">
        <f>IF('Cap Table'!AN$80&lt;&gt;"na",IF(OR(Q24='Cap Table'!$B$40,Q24='Cap Table'!$B$41,Q24='Cap Table'!$B$42),R24-S24,0),0)</f>
        <v>0</v>
      </c>
      <c r="AP24" s="171">
        <f t="shared" si="16"/>
        <v>0</v>
      </c>
      <c r="AQ24" s="169">
        <f t="shared" si="17"/>
        <v>0</v>
      </c>
      <c r="AR24" s="172">
        <f t="shared" si="18"/>
        <v>0</v>
      </c>
      <c r="AS24" s="293">
        <f t="shared" si="19"/>
        <v>0</v>
      </c>
      <c r="AT24" s="170">
        <f ca="1">FV(AR24/12,DATEDIF(AL24,'Cap Table'!AN$61,"m"),0,-AO24)</f>
        <v>0</v>
      </c>
      <c r="AU24" s="170">
        <f ca="1">IF('Cap Table'!AN$81="no",IFERROR(AT24/(1-AP24),0),IFERROR(AT24/(1-(MAX(AP24,IF(AQ24=0,0,('Cap Table'!AN$63-AQ24/'Cap Table'!AN$62)/'Cap Table'!AN$63)))),0))</f>
        <v>0</v>
      </c>
      <c r="AV24" s="146">
        <f t="shared" ca="1" si="20"/>
        <v>0</v>
      </c>
      <c r="AW24" s="149">
        <f ca="1">IF(AND('Cap Table'!AN$63=0,AT24&gt;0),AQ24/IF(AM24=$B$42,AI$56,'Cap Table'!AN$62),IFERROR(IF(AQ24=0,'Cap Table'!AN$63*(1-AP24),MIN('Cap Table'!AN$63*(1-AP24),AQ24/IF(AM24=$B$42,AI$56,'Cap Table'!AN$62))),0))</f>
        <v>0</v>
      </c>
      <c r="AX24" s="170">
        <f t="shared" ca="1" si="85"/>
        <v>0</v>
      </c>
      <c r="AY24" s="170">
        <v>0</v>
      </c>
      <c r="AZ24" s="146">
        <f t="shared" ca="1" si="21"/>
        <v>0</v>
      </c>
      <c r="BA24" s="146">
        <f t="shared" si="22"/>
        <v>0</v>
      </c>
      <c r="BB24" s="146">
        <f t="shared" ca="1" si="86"/>
        <v>0</v>
      </c>
      <c r="BC24" s="147">
        <f t="shared" ca="1" si="23"/>
        <v>0</v>
      </c>
      <c r="BD24" s="146">
        <f ca="1">BB24*'Cap Table'!AN$63</f>
        <v>0</v>
      </c>
      <c r="BE24" s="173">
        <f ca="1">IFERROR(IF(OR(AM24='Cap Table'!$B$40,AM24='Cap Table'!$B$41,AM24='Cap Table'!$B$42,AM24='Cap Table'!$B$43),IF(SUM(AO24,S24)&lt;SUM(AN24,R24),FV(MAX(AR24,V24)/12,DATEDIF(AL24,'Cap Table'!$AN$61,"m"),0,-MAX(AN24,R24))/(MAX(AQ24,U24)/'Cap Table'!$AN$62)/IF(AM24=$B$42,(1-MAX(W45,AS$29)),1),BB24),BB24),0)</f>
        <v>0</v>
      </c>
      <c r="BF24" s="147">
        <f t="shared" ca="1" si="24"/>
        <v>0</v>
      </c>
      <c r="BH24" s="168">
        <f t="shared" ca="1" si="25"/>
        <v>44916</v>
      </c>
      <c r="BI24" s="168" t="str">
        <f t="shared" si="87"/>
        <v>Equity</v>
      </c>
      <c r="BJ24" s="169">
        <v>0</v>
      </c>
      <c r="BK24" s="169">
        <f>IF('Cap Table'!BJ$80&lt;&gt;"na",IF(OR(AM24='Cap Table'!$B$40,AM24='Cap Table'!$B$41,AM24='Cap Table'!$B$42),AN24-AO24,0),0)</f>
        <v>0</v>
      </c>
      <c r="BL24" s="171">
        <f t="shared" si="26"/>
        <v>0</v>
      </c>
      <c r="BM24" s="169">
        <f t="shared" si="27"/>
        <v>0</v>
      </c>
      <c r="BN24" s="172">
        <f t="shared" si="28"/>
        <v>0</v>
      </c>
      <c r="BO24" s="293">
        <f t="shared" si="29"/>
        <v>0</v>
      </c>
      <c r="BP24" s="170">
        <f ca="1">FV(BN24/12,DATEDIF(BH24,'Cap Table'!BJ$61,"m"),0,-BK24)</f>
        <v>0</v>
      </c>
      <c r="BQ24" s="170">
        <f ca="1">IF('Cap Table'!BJ$81="no",IFERROR(BP24/(1-BL24),0),IFERROR(BP24/(1-(MAX(BL24,IF(BM24=0,0,('Cap Table'!BJ$63-BM24/'Cap Table'!BJ$62)/'Cap Table'!BJ$63)))),0))</f>
        <v>0</v>
      </c>
      <c r="BR24" s="146">
        <f t="shared" ca="1" si="30"/>
        <v>0</v>
      </c>
      <c r="BS24" s="149">
        <f ca="1">IF(AND('Cap Table'!BJ$63=0,BP24&gt;0),BM24/IF(BI24=$B$42,BE$56,'Cap Table'!BJ$62),IFERROR(IF(BM24=0,'Cap Table'!BJ$63*(1-BL24),MIN('Cap Table'!BJ$63*(1-BL24),BM24/IF(BI24=$B$42,BE$56,'Cap Table'!BJ$62))),0))</f>
        <v>0</v>
      </c>
      <c r="BT24" s="170">
        <f t="shared" ca="1" si="88"/>
        <v>0</v>
      </c>
      <c r="BU24" s="170">
        <v>0</v>
      </c>
      <c r="BV24" s="146">
        <f t="shared" ca="1" si="31"/>
        <v>0</v>
      </c>
      <c r="BW24" s="146">
        <f t="shared" si="32"/>
        <v>0</v>
      </c>
      <c r="BX24" s="146">
        <f t="shared" ca="1" si="89"/>
        <v>0</v>
      </c>
      <c r="BY24" s="147">
        <f t="shared" ca="1" si="33"/>
        <v>0</v>
      </c>
      <c r="BZ24" s="146">
        <f ca="1">BX24*'Cap Table'!BJ$63</f>
        <v>0</v>
      </c>
      <c r="CA24" s="173">
        <f ca="1">IFERROR(IF(OR(BI24='Cap Table'!$B$40,BI24='Cap Table'!$B$41,BI24='Cap Table'!$B$42,BI24='Cap Table'!$B$43),IF(SUM(BK24,AO24,S24)&lt;SUM(BJ24,AN24,R24),FV(MAX(BN24,AR24,V24)/12,DATEDIF(BH24,'Cap Table'!$BJ$61,"m"),0,-MAX(BJ24,AN24,R24))/(MAX(BM24,AQ24,U24)/'Cap Table'!$BJ$62)/IF(BI24=$B$42,(1-MAX(BO$29,AS$29,W$29)),1),BX24),BX24),0)</f>
        <v>0</v>
      </c>
      <c r="CB24" s="147">
        <f t="shared" ca="1" si="34"/>
        <v>0</v>
      </c>
      <c r="CD24" s="168">
        <f t="shared" ca="1" si="35"/>
        <v>45281</v>
      </c>
      <c r="CE24" s="168" t="str">
        <f t="shared" si="90"/>
        <v>Equity</v>
      </c>
      <c r="CF24" s="169">
        <v>0</v>
      </c>
      <c r="CG24" s="169">
        <f>IF('Cap Table'!CF$80&lt;&gt;"na",IF(OR(BI24='Cap Table'!$B$40,BI24='Cap Table'!$B$41,BI24='Cap Table'!$B$42),BJ24-BK24,0),0)</f>
        <v>0</v>
      </c>
      <c r="CH24" s="171">
        <f t="shared" si="36"/>
        <v>0</v>
      </c>
      <c r="CI24" s="169">
        <f t="shared" si="37"/>
        <v>0</v>
      </c>
      <c r="CJ24" s="172">
        <f t="shared" si="38"/>
        <v>0</v>
      </c>
      <c r="CK24" s="293">
        <f t="shared" si="39"/>
        <v>0</v>
      </c>
      <c r="CL24" s="170">
        <f ca="1">FV(CJ24/12,DATEDIF(CD24,'Cap Table'!CF$61,"m"),0,-CG24)</f>
        <v>0</v>
      </c>
      <c r="CM24" s="170">
        <f ca="1">IF('Cap Table'!CF$81="no",IFERROR(CL24/(1-CH24),0),IFERROR(CL24/(1-(MAX(CH24,IF(CI24=0,0,('Cap Table'!CF$63-CI24/'Cap Table'!CF$62)/'Cap Table'!CF$63)))),0))</f>
        <v>0</v>
      </c>
      <c r="CN24" s="146">
        <f t="shared" ca="1" si="40"/>
        <v>0</v>
      </c>
      <c r="CO24" s="149">
        <f ca="1">IF(AND('Cap Table'!CF$63=0,CL24&gt;0),CI24/IF(CE24=$B$42,CA$56,'Cap Table'!CF$62),IFERROR(IF(CI24=0,'Cap Table'!CF$63*(1-CH24),MIN('Cap Table'!CF$63*(1-CH24),CI24/IF(CE24=$B$42,CA$56,'Cap Table'!CF$62))),0))</f>
        <v>0</v>
      </c>
      <c r="CP24" s="170">
        <f t="shared" ca="1" si="91"/>
        <v>0</v>
      </c>
      <c r="CQ24" s="170">
        <v>0</v>
      </c>
      <c r="CR24" s="146">
        <f t="shared" ca="1" si="41"/>
        <v>0</v>
      </c>
      <c r="CS24" s="146">
        <f t="shared" si="42"/>
        <v>0</v>
      </c>
      <c r="CT24" s="146">
        <f t="shared" ca="1" si="92"/>
        <v>0</v>
      </c>
      <c r="CU24" s="147">
        <f t="shared" ca="1" si="43"/>
        <v>0</v>
      </c>
      <c r="CV24" s="146">
        <f ca="1">CT24*'Cap Table'!CF$63</f>
        <v>0</v>
      </c>
      <c r="CW24" s="173">
        <f ca="1">IFERROR(IF(OR(CE24='Cap Table'!$B$40,CE24='Cap Table'!$B$41,CE24='Cap Table'!$B$42,CE24='Cap Table'!$B$43),IF(SUM(CG24,BK24,AO24,S24)&lt;SUM(CF24,BJ24,AN24,R24),FV(MAX(CJ24,BN24,AR24,V24)/12,DATEDIF(CD24,'Cap Table'!$CF$61,"m"),0,-MAX(CF24,BJ24,AN24,R24))/(MAX(CI24,BM24,AQ24,U24)/'Cap Table'!$CF$62)/IF(CE24=$B$42,(1-MAX(CK$29,BO$29,AS$29,W$29)),1),CT24),CT24),0)</f>
        <v>0</v>
      </c>
      <c r="CX24" s="147">
        <f t="shared" ca="1" si="44"/>
        <v>0</v>
      </c>
      <c r="CZ24" s="168">
        <f t="shared" ca="1" si="45"/>
        <v>45647</v>
      </c>
      <c r="DA24" s="168" t="str">
        <f t="shared" si="93"/>
        <v>Equity</v>
      </c>
      <c r="DB24" s="169">
        <v>0</v>
      </c>
      <c r="DC24" s="169">
        <f>IF('Cap Table'!DB$80&lt;&gt;"na",IF(OR(CE24='Cap Table'!$B$40,CE24='Cap Table'!$B$41,CE24='Cap Table'!$B$42),CF24-CG24,0),0)</f>
        <v>0</v>
      </c>
      <c r="DD24" s="171">
        <f t="shared" si="46"/>
        <v>0</v>
      </c>
      <c r="DE24" s="169">
        <f t="shared" si="47"/>
        <v>0</v>
      </c>
      <c r="DF24" s="172">
        <f t="shared" si="48"/>
        <v>0</v>
      </c>
      <c r="DG24" s="293">
        <f t="shared" si="49"/>
        <v>0</v>
      </c>
      <c r="DH24" s="170">
        <f ca="1">FV(DF24/12,DATEDIF(CZ24,'Cap Table'!DB$61,"m"),0,-DC24)</f>
        <v>0</v>
      </c>
      <c r="DI24" s="170">
        <f ca="1">IF('Cap Table'!DB$81="no",IFERROR(DH24/(1-DD24),0),IFERROR(DH24/(1-(MAX(DD24,IF(DE24=0,0,('Cap Table'!DB$63-DE24/'Cap Table'!DB$62)/'Cap Table'!DB$63)))),0))</f>
        <v>0</v>
      </c>
      <c r="DJ24" s="146">
        <f t="shared" ca="1" si="50"/>
        <v>0</v>
      </c>
      <c r="DK24" s="149">
        <f ca="1">IF(AND('Cap Table'!DB$63=0,DH24&gt;0),DE24/'Cap Table'!DB$62,IFERROR(IF(DE24=0,'Cap Table'!DB$63*(1-DD24),MIN('Cap Table'!DB$63*(1-DD24),DE24/'Cap Table'!DB$62)),0))</f>
        <v>0</v>
      </c>
      <c r="DL24" s="170">
        <f t="shared" ca="1" si="94"/>
        <v>0</v>
      </c>
      <c r="DM24" s="170">
        <v>0</v>
      </c>
      <c r="DN24" s="146">
        <f t="shared" ca="1" si="51"/>
        <v>0</v>
      </c>
      <c r="DO24" s="146">
        <f t="shared" si="52"/>
        <v>0</v>
      </c>
      <c r="DP24" s="146">
        <f t="shared" ca="1" si="95"/>
        <v>0</v>
      </c>
      <c r="DQ24" s="147">
        <f t="shared" ca="1" si="53"/>
        <v>0</v>
      </c>
      <c r="DR24" s="146">
        <f ca="1">DP24*'Cap Table'!DB$63</f>
        <v>0</v>
      </c>
      <c r="DS24" s="173">
        <f ca="1">IFERROR(IF(OR(DA24='Cap Table'!$B$40,DA24='Cap Table'!$B$41,DA24='Cap Table'!$B$42,DA24='Cap Table'!$B$43),IF(SUM(DC24,CG24,BK24,AO24,S24,)&lt;SUM(DB24,CF24,BJ24,AN24,R24),FV(MAX(DF24,CJ24,BN24,AR24,V24)/12,DATEDIF(CZ24,'Cap Table'!$DB$61,"m"),0,-MAX(DB24,CF24,BJ24,AN24,R24))/(MAX(DE24,CI24,BM24,AQ24,U24,)/'Cap Table'!$DB$62)/IF(DA24=$B$42,(1-MAX(DG$29,CK$29,BO$29,AS$29,W$29)),1),DP24),DP24),0)</f>
        <v>0</v>
      </c>
      <c r="DT24" s="147">
        <f t="shared" ca="1" si="54"/>
        <v>0</v>
      </c>
      <c r="DV24" s="168">
        <f t="shared" ca="1" si="55"/>
        <v>46012</v>
      </c>
      <c r="DW24" s="168" t="str">
        <f t="shared" si="96"/>
        <v>Equity</v>
      </c>
      <c r="DX24" s="169">
        <v>0</v>
      </c>
      <c r="DY24" s="169">
        <f>IF('Cap Table'!DX$80&lt;&gt;"na",IF(OR(DA24='Cap Table'!$B$40,DA24='Cap Table'!$B$41,DA24='Cap Table'!$B$42),DB24-DC24,0),0)</f>
        <v>0</v>
      </c>
      <c r="DZ24" s="171">
        <f t="shared" si="102"/>
        <v>0</v>
      </c>
      <c r="EA24" s="169">
        <f t="shared" si="103"/>
        <v>0</v>
      </c>
      <c r="EB24" s="172">
        <f t="shared" si="104"/>
        <v>0</v>
      </c>
      <c r="EC24" s="293">
        <f t="shared" si="59"/>
        <v>0</v>
      </c>
      <c r="ED24" s="170">
        <f ca="1">FV(EB24/12,DATEDIF(DV24,'Cap Table'!DX$61,"m"),0,-DY24)</f>
        <v>0</v>
      </c>
      <c r="EE24" s="170">
        <f ca="1">IF('Cap Table'!DX$81="no",IFERROR(ED24/(1-DZ24),0),IFERROR(ED24/(1-(MAX(DZ24,IF(EA24=0,0,('Cap Table'!DX$63-EA24/'Cap Table'!DX$62)/'Cap Table'!DX$63)))),0))</f>
        <v>0</v>
      </c>
      <c r="EF24" s="146">
        <f t="shared" ca="1" si="60"/>
        <v>0</v>
      </c>
      <c r="EG24" s="149">
        <f ca="1">IF(AND('Cap Table'!DX$63=0,ED24&gt;0),EA24/IF(DA24=$B$42,DS$56,'Cap Table'!DX$62),IFERROR(IF(EA24=0,'Cap Table'!DX$63*(1-DZ24),MIN('Cap Table'!DX$63*(1-DZ24),EA24/IF(DA24=$B$42,DS$56,'Cap Table'!DX$62))),0))</f>
        <v>0</v>
      </c>
      <c r="EH24" s="170">
        <f t="shared" ca="1" si="97"/>
        <v>0</v>
      </c>
      <c r="EI24" s="170">
        <v>0</v>
      </c>
      <c r="EJ24" s="146">
        <f t="shared" ca="1" si="98"/>
        <v>0</v>
      </c>
      <c r="EK24" s="146">
        <f t="shared" si="61"/>
        <v>0</v>
      </c>
      <c r="EL24" s="146">
        <f t="shared" ca="1" si="99"/>
        <v>0</v>
      </c>
      <c r="EM24" s="147">
        <f t="shared" ca="1" si="62"/>
        <v>0</v>
      </c>
      <c r="EN24" s="146">
        <f ca="1">EL24*'Cap Table'!DX$63</f>
        <v>0</v>
      </c>
      <c r="EO24" s="173">
        <f ca="1">IFERROR(IF(OR(DW24='Cap Table'!$B$40,DW24='Cap Table'!$B$41,DW24='Cap Table'!$B$42,DW24='Cap Table'!$B$43),IF(SUM(DY24,DC24,CG24,BK24,AO24,S24)&lt;SUM(DX24,DB24,CF24,BJ24,AN24,R24),FV(MAX(EB24,DF24,CJ24,BN24,AR24,V24)/12,DATEDIF(DV24,'Cap Table'!DX$61,"m"),0,-MAX(DX24,DB24,CF24,BJ24,AN24,R24))/(MAX(EA24,DE24,CI24,BM24,AQ24,U24)/'Cap Table'!$DX$62)/IF(DW24=$B$42,(1-MAX(EC$29,DG$29,CK$29,BO$29,AS$29,W$29)),1),EL24),EL24),0)</f>
        <v>0</v>
      </c>
      <c r="EP24" s="147">
        <f t="shared" ca="1" si="63"/>
        <v>0</v>
      </c>
      <c r="ER24" s="146">
        <f t="shared" si="64"/>
        <v>0</v>
      </c>
      <c r="ES24" s="146">
        <f t="shared" si="65"/>
        <v>0</v>
      </c>
      <c r="ET24" s="174" t="s">
        <v>27</v>
      </c>
      <c r="EU24" s="174" t="s">
        <v>27</v>
      </c>
      <c r="EV24" s="174" t="s">
        <v>27</v>
      </c>
      <c r="EW24" s="146">
        <f t="shared" ca="1" si="66"/>
        <v>0</v>
      </c>
      <c r="EX24" s="146">
        <f t="shared" ca="1" si="67"/>
        <v>0</v>
      </c>
      <c r="EY24" s="146">
        <f t="shared" ca="1" si="68"/>
        <v>0</v>
      </c>
      <c r="EZ24" s="149">
        <f t="shared" ca="1" si="105"/>
        <v>0</v>
      </c>
      <c r="FA24" s="146">
        <f t="shared" ca="1" si="69"/>
        <v>0</v>
      </c>
      <c r="FB24" s="146">
        <f t="shared" si="70"/>
        <v>0</v>
      </c>
      <c r="FC24" s="146">
        <f t="shared" ca="1" si="100"/>
        <v>0</v>
      </c>
      <c r="FD24" s="146">
        <f t="shared" si="100"/>
        <v>0</v>
      </c>
      <c r="FE24" s="146">
        <f t="shared" ca="1" si="100"/>
        <v>0</v>
      </c>
      <c r="FF24" s="147">
        <f t="shared" ca="1" si="71"/>
        <v>0</v>
      </c>
      <c r="FG24" s="146">
        <f t="shared" ca="1" si="101"/>
        <v>0</v>
      </c>
      <c r="FH24" s="146">
        <f t="shared" ca="1" si="101"/>
        <v>0</v>
      </c>
      <c r="FI24" s="147">
        <f t="shared" ca="1" si="72"/>
        <v>0</v>
      </c>
      <c r="FK24" s="149" t="str">
        <f t="shared" si="0"/>
        <v>Common</v>
      </c>
      <c r="FL24" s="146">
        <f t="shared" ca="1" si="73"/>
        <v>0</v>
      </c>
      <c r="FM24" s="146">
        <f t="shared" ca="1" si="74"/>
        <v>0</v>
      </c>
      <c r="FN24" s="146">
        <f t="shared" ca="1" si="75"/>
        <v>0</v>
      </c>
      <c r="FP24" s="146" t="str">
        <f t="shared" si="76"/>
        <v>Common</v>
      </c>
      <c r="FQ24" s="174" t="str">
        <f t="shared" ca="1" si="77"/>
        <v>na</v>
      </c>
      <c r="FR24" s="174" t="str">
        <f t="shared" ca="1" si="78"/>
        <v>na</v>
      </c>
      <c r="FS24" s="174" t="str">
        <f t="shared" ca="1" si="79"/>
        <v>na</v>
      </c>
    </row>
    <row r="25" spans="2:175">
      <c r="B25" s="145" t="s">
        <v>27</v>
      </c>
      <c r="D25" s="167" t="s">
        <v>27</v>
      </c>
      <c r="E25" s="167" t="str">
        <f t="shared" si="80"/>
        <v>Common</v>
      </c>
      <c r="G25" s="168">
        <f t="shared" ca="1" si="1"/>
        <v>43820</v>
      </c>
      <c r="H25" s="289" t="str">
        <f t="shared" si="2"/>
        <v>Equity</v>
      </c>
      <c r="I25" s="169">
        <v>0</v>
      </c>
      <c r="J25" s="170">
        <v>0</v>
      </c>
      <c r="K25" s="170">
        <f t="shared" si="81"/>
        <v>0</v>
      </c>
      <c r="L25" s="147">
        <f t="shared" si="3"/>
        <v>0</v>
      </c>
      <c r="M25" s="170">
        <f t="shared" si="82"/>
        <v>0</v>
      </c>
      <c r="N25" s="147">
        <f t="shared" si="4"/>
        <v>0</v>
      </c>
      <c r="O25" s="147"/>
      <c r="P25" s="168">
        <f t="shared" ca="1" si="5"/>
        <v>44186</v>
      </c>
      <c r="Q25" s="289" t="str">
        <f t="shared" si="6"/>
        <v>Equity</v>
      </c>
      <c r="R25" s="169">
        <v>0</v>
      </c>
      <c r="S25" s="169">
        <v>0</v>
      </c>
      <c r="T25" s="171">
        <v>0</v>
      </c>
      <c r="U25" s="145">
        <v>0</v>
      </c>
      <c r="V25" s="172">
        <v>0</v>
      </c>
      <c r="W25" s="293">
        <f t="shared" si="7"/>
        <v>0</v>
      </c>
      <c r="X25" s="170">
        <f ca="1">FV(V25/12,DATEDIF(P25,'Cap Table'!R$61,"m"),0,-S25)</f>
        <v>0</v>
      </c>
      <c r="Y25" s="170">
        <f t="shared" ca="1" si="8"/>
        <v>0</v>
      </c>
      <c r="Z25" s="146">
        <f t="shared" ca="1" si="9"/>
        <v>0</v>
      </c>
      <c r="AA25" s="149">
        <f ca="1">IF(AND('Cap Table'!R$63=0,X25&gt;0),U25/'Cap Table'!R$62,IFERROR(IF(U25=0,'Cap Table'!R$63*(1-T25),MIN('Cap Table'!R$63*(1-T25),U25/'Cap Table'!R$62)),0))</f>
        <v>0</v>
      </c>
      <c r="AB25" s="170">
        <f t="shared" ca="1" si="83"/>
        <v>0</v>
      </c>
      <c r="AC25" s="170">
        <v>0</v>
      </c>
      <c r="AD25" s="146">
        <f t="shared" ca="1" si="10"/>
        <v>0</v>
      </c>
      <c r="AE25" s="146">
        <f t="shared" si="11"/>
        <v>0</v>
      </c>
      <c r="AF25" s="146">
        <f t="shared" ca="1" si="84"/>
        <v>0</v>
      </c>
      <c r="AG25" s="147">
        <f t="shared" ca="1" si="12"/>
        <v>0</v>
      </c>
      <c r="AH25" s="146">
        <f ca="1">AF25*'Cap Table'!R$63</f>
        <v>0</v>
      </c>
      <c r="AI25" s="146">
        <f ca="1">IFERROR(IF(OR(Q25='Cap Table'!$B$40,Q25='Cap Table'!$B$41,Q25='Cap Table'!$B$42,Q25='Cap Table'!$B$43),IF(SUM(S25)&lt;SUM(R25),(FV(V25/12,DATEDIF(P25,'Cap Table'!R$61,"m"),0,-R25))/(U25/'Cap Table'!$R$62)/IF(Q25=$B$42,(1-W$29),1),AF25),AF25),0)</f>
        <v>0</v>
      </c>
      <c r="AJ25" s="147">
        <f t="shared" ca="1" si="13"/>
        <v>0</v>
      </c>
      <c r="AL25" s="168">
        <f t="shared" ca="1" si="14"/>
        <v>44551</v>
      </c>
      <c r="AM25" s="168" t="str">
        <f t="shared" si="15"/>
        <v>Equity</v>
      </c>
      <c r="AN25" s="169">
        <v>0</v>
      </c>
      <c r="AO25" s="169">
        <f>IF('Cap Table'!AN$80&lt;&gt;"na",IF(OR(Q25='Cap Table'!$B$40,Q25='Cap Table'!$B$41,Q25='Cap Table'!$B$42),R25-S25,0),0)</f>
        <v>0</v>
      </c>
      <c r="AP25" s="171">
        <f t="shared" si="16"/>
        <v>0</v>
      </c>
      <c r="AQ25" s="169">
        <f t="shared" si="17"/>
        <v>0</v>
      </c>
      <c r="AR25" s="172">
        <f t="shared" si="18"/>
        <v>0</v>
      </c>
      <c r="AS25" s="293">
        <f t="shared" si="19"/>
        <v>0</v>
      </c>
      <c r="AT25" s="170">
        <f ca="1">FV(AR25/12,DATEDIF(AL25,'Cap Table'!AN$61,"m"),0,-AO25)</f>
        <v>0</v>
      </c>
      <c r="AU25" s="170">
        <f ca="1">IF('Cap Table'!AN$81="no",IFERROR(AT25/(1-AP25),0),IFERROR(AT25/(1-(MAX(AP25,IF(AQ25=0,0,('Cap Table'!AN$63-AQ25/'Cap Table'!AN$62)/'Cap Table'!AN$63)))),0))</f>
        <v>0</v>
      </c>
      <c r="AV25" s="146">
        <f t="shared" ca="1" si="20"/>
        <v>0</v>
      </c>
      <c r="AW25" s="149">
        <f ca="1">IF(AND('Cap Table'!AN$63=0,AT25&gt;0),AQ25/IF(AM25=$B$42,AI$56,'Cap Table'!AN$62),IFERROR(IF(AQ25=0,'Cap Table'!AN$63*(1-AP25),MIN('Cap Table'!AN$63*(1-AP25),AQ25/IF(AM25=$B$42,AI$56,'Cap Table'!AN$62))),0))</f>
        <v>0</v>
      </c>
      <c r="AX25" s="170">
        <f t="shared" ca="1" si="85"/>
        <v>0</v>
      </c>
      <c r="AY25" s="170">
        <v>0</v>
      </c>
      <c r="AZ25" s="146">
        <f t="shared" ca="1" si="21"/>
        <v>0</v>
      </c>
      <c r="BA25" s="146">
        <f t="shared" si="22"/>
        <v>0</v>
      </c>
      <c r="BB25" s="146">
        <f t="shared" ca="1" si="86"/>
        <v>0</v>
      </c>
      <c r="BC25" s="147">
        <f t="shared" ca="1" si="23"/>
        <v>0</v>
      </c>
      <c r="BD25" s="146">
        <f ca="1">BB25*'Cap Table'!AN$63</f>
        <v>0</v>
      </c>
      <c r="BE25" s="173">
        <f ca="1">IFERROR(IF(OR(AM25='Cap Table'!$B$40,AM25='Cap Table'!$B$41,AM25='Cap Table'!$B$42,AM25='Cap Table'!$B$43),IF(SUM(AO25,S25)&lt;SUM(AN25,R25),FV(MAX(AR25,V25)/12,DATEDIF(AL25,'Cap Table'!$AN$61,"m"),0,-MAX(AN25,R25))/(MAX(AQ25,U25)/'Cap Table'!$AN$62)/IF(AM25=$B$42,(1-MAX(W46,AS$29)),1),BB25),BB25),0)</f>
        <v>0</v>
      </c>
      <c r="BF25" s="147">
        <f t="shared" ca="1" si="24"/>
        <v>0</v>
      </c>
      <c r="BH25" s="168">
        <f t="shared" ca="1" si="25"/>
        <v>44916</v>
      </c>
      <c r="BI25" s="168" t="str">
        <f t="shared" si="87"/>
        <v>Equity</v>
      </c>
      <c r="BJ25" s="169">
        <v>0</v>
      </c>
      <c r="BK25" s="169">
        <f>IF('Cap Table'!BJ$80&lt;&gt;"na",IF(OR(AM25='Cap Table'!$B$40,AM25='Cap Table'!$B$41,AM25='Cap Table'!$B$42),AN25-AO25,0),0)</f>
        <v>0</v>
      </c>
      <c r="BL25" s="171">
        <f t="shared" si="26"/>
        <v>0</v>
      </c>
      <c r="BM25" s="169">
        <f t="shared" si="27"/>
        <v>0</v>
      </c>
      <c r="BN25" s="172">
        <f t="shared" si="28"/>
        <v>0</v>
      </c>
      <c r="BO25" s="293">
        <f t="shared" si="29"/>
        <v>0</v>
      </c>
      <c r="BP25" s="170">
        <f ca="1">FV(BN25/12,DATEDIF(BH25,'Cap Table'!BJ$61,"m"),0,-BK25)</f>
        <v>0</v>
      </c>
      <c r="BQ25" s="170">
        <f ca="1">IF('Cap Table'!BJ$81="no",IFERROR(BP25/(1-BL25),0),IFERROR(BP25/(1-(MAX(BL25,IF(BM25=0,0,('Cap Table'!BJ$63-BM25/'Cap Table'!BJ$62)/'Cap Table'!BJ$63)))),0))</f>
        <v>0</v>
      </c>
      <c r="BR25" s="146">
        <f t="shared" ca="1" si="30"/>
        <v>0</v>
      </c>
      <c r="BS25" s="149">
        <f ca="1">IF(AND('Cap Table'!BJ$63=0,BP25&gt;0),BM25/IF(BI25=$B$42,BE$56,'Cap Table'!BJ$62),IFERROR(IF(BM25=0,'Cap Table'!BJ$63*(1-BL25),MIN('Cap Table'!BJ$63*(1-BL25),BM25/IF(BI25=$B$42,BE$56,'Cap Table'!BJ$62))),0))</f>
        <v>0</v>
      </c>
      <c r="BT25" s="170">
        <f t="shared" ca="1" si="88"/>
        <v>0</v>
      </c>
      <c r="BU25" s="170">
        <v>0</v>
      </c>
      <c r="BV25" s="146">
        <f t="shared" ca="1" si="31"/>
        <v>0</v>
      </c>
      <c r="BW25" s="146">
        <f t="shared" si="32"/>
        <v>0</v>
      </c>
      <c r="BX25" s="146">
        <f t="shared" ca="1" si="89"/>
        <v>0</v>
      </c>
      <c r="BY25" s="147">
        <f t="shared" ca="1" si="33"/>
        <v>0</v>
      </c>
      <c r="BZ25" s="146">
        <f ca="1">BX25*'Cap Table'!BJ$63</f>
        <v>0</v>
      </c>
      <c r="CA25" s="173">
        <f ca="1">IFERROR(IF(OR(BI25='Cap Table'!$B$40,BI25='Cap Table'!$B$41,BI25='Cap Table'!$B$42,BI25='Cap Table'!$B$43),IF(SUM(BK25,AO25,S25)&lt;SUM(BJ25,AN25,R25),FV(MAX(BN25,AR25,V25)/12,DATEDIF(BH25,'Cap Table'!$BJ$61,"m"),0,-MAX(BJ25,AN25,R25))/(MAX(BM25,AQ25,U25)/'Cap Table'!$BJ$62)/IF(BI25=$B$42,(1-MAX(BO$29,AS$29,W$29)),1),BX25),BX25),0)</f>
        <v>0</v>
      </c>
      <c r="CB25" s="147">
        <f t="shared" ca="1" si="34"/>
        <v>0</v>
      </c>
      <c r="CD25" s="168">
        <f t="shared" ca="1" si="35"/>
        <v>45281</v>
      </c>
      <c r="CE25" s="168" t="str">
        <f t="shared" si="90"/>
        <v>Equity</v>
      </c>
      <c r="CF25" s="169">
        <v>0</v>
      </c>
      <c r="CG25" s="169">
        <f>IF('Cap Table'!CF$80&lt;&gt;"na",IF(OR(BI25='Cap Table'!$B$40,BI25='Cap Table'!$B$41,BI25='Cap Table'!$B$42),BJ25-BK25,0),0)</f>
        <v>0</v>
      </c>
      <c r="CH25" s="171">
        <f t="shared" si="36"/>
        <v>0</v>
      </c>
      <c r="CI25" s="169">
        <f t="shared" si="37"/>
        <v>0</v>
      </c>
      <c r="CJ25" s="172">
        <f t="shared" si="38"/>
        <v>0</v>
      </c>
      <c r="CK25" s="293">
        <f t="shared" si="39"/>
        <v>0</v>
      </c>
      <c r="CL25" s="170">
        <f ca="1">FV(CJ25/12,DATEDIF(CD25,'Cap Table'!CF$61,"m"),0,-CG25)</f>
        <v>0</v>
      </c>
      <c r="CM25" s="170">
        <f ca="1">IF('Cap Table'!CF$81="no",IFERROR(CL25/(1-CH25),0),IFERROR(CL25/(1-(MAX(CH25,IF(CI25=0,0,('Cap Table'!CF$63-CI25/'Cap Table'!CF$62)/'Cap Table'!CF$63)))),0))</f>
        <v>0</v>
      </c>
      <c r="CN25" s="146">
        <f t="shared" ca="1" si="40"/>
        <v>0</v>
      </c>
      <c r="CO25" s="149">
        <f ca="1">IF(AND('Cap Table'!CF$63=0,CL25&gt;0),CI25/IF(CE25=$B$42,CA$56,'Cap Table'!CF$62),IFERROR(IF(CI25=0,'Cap Table'!CF$63*(1-CH25),MIN('Cap Table'!CF$63*(1-CH25),CI25/IF(CE25=$B$42,CA$56,'Cap Table'!CF$62))),0))</f>
        <v>0</v>
      </c>
      <c r="CP25" s="170">
        <f t="shared" ca="1" si="91"/>
        <v>0</v>
      </c>
      <c r="CQ25" s="170">
        <v>0</v>
      </c>
      <c r="CR25" s="146">
        <f t="shared" ca="1" si="41"/>
        <v>0</v>
      </c>
      <c r="CS25" s="146">
        <f t="shared" si="42"/>
        <v>0</v>
      </c>
      <c r="CT25" s="146">
        <f t="shared" ca="1" si="92"/>
        <v>0</v>
      </c>
      <c r="CU25" s="147">
        <f t="shared" ca="1" si="43"/>
        <v>0</v>
      </c>
      <c r="CV25" s="146">
        <f ca="1">CT25*'Cap Table'!CF$63</f>
        <v>0</v>
      </c>
      <c r="CW25" s="173">
        <f ca="1">IFERROR(IF(OR(CE25='Cap Table'!$B$40,CE25='Cap Table'!$B$41,CE25='Cap Table'!$B$42,CE25='Cap Table'!$B$43),IF(SUM(CG25,BK25,AO25,S25)&lt;SUM(CF25,BJ25,AN25,R25),FV(MAX(CJ25,BN25,AR25,V25)/12,DATEDIF(CD25,'Cap Table'!$CF$61,"m"),0,-MAX(CF25,BJ25,AN25,R25))/(MAX(CI25,BM25,AQ25,U25)/'Cap Table'!$CF$62)/IF(CE25=$B$42,(1-MAX(CK$29,BO$29,AS$29,W$29)),1),CT25),CT25),0)</f>
        <v>0</v>
      </c>
      <c r="CX25" s="147">
        <f t="shared" ca="1" si="44"/>
        <v>0</v>
      </c>
      <c r="CZ25" s="168">
        <f t="shared" ca="1" si="45"/>
        <v>45647</v>
      </c>
      <c r="DA25" s="168" t="str">
        <f t="shared" si="93"/>
        <v>Equity</v>
      </c>
      <c r="DB25" s="169">
        <v>0</v>
      </c>
      <c r="DC25" s="169">
        <f>IF('Cap Table'!DB$80&lt;&gt;"na",IF(OR(CE25='Cap Table'!$B$40,CE25='Cap Table'!$B$41,CE25='Cap Table'!$B$42),CF25-CG25,0),0)</f>
        <v>0</v>
      </c>
      <c r="DD25" s="171">
        <f t="shared" si="46"/>
        <v>0</v>
      </c>
      <c r="DE25" s="169">
        <f t="shared" si="47"/>
        <v>0</v>
      </c>
      <c r="DF25" s="172">
        <f t="shared" si="48"/>
        <v>0</v>
      </c>
      <c r="DG25" s="293">
        <f t="shared" si="49"/>
        <v>0</v>
      </c>
      <c r="DH25" s="170">
        <f ca="1">FV(DF25/12,DATEDIF(CZ25,'Cap Table'!DB$61,"m"),0,-DC25)</f>
        <v>0</v>
      </c>
      <c r="DI25" s="170">
        <f ca="1">IF('Cap Table'!DB$81="no",IFERROR(DH25/(1-DD25),0),IFERROR(DH25/(1-(MAX(DD25,IF(DE25=0,0,('Cap Table'!DB$63-DE25/'Cap Table'!DB$62)/'Cap Table'!DB$63)))),0))</f>
        <v>0</v>
      </c>
      <c r="DJ25" s="146">
        <f t="shared" ca="1" si="50"/>
        <v>0</v>
      </c>
      <c r="DK25" s="149">
        <f ca="1">IF(AND('Cap Table'!DB$63=0,DH25&gt;0),DE25/'Cap Table'!DB$62,IFERROR(IF(DE25=0,'Cap Table'!DB$63*(1-DD25),MIN('Cap Table'!DB$63*(1-DD25),DE25/'Cap Table'!DB$62)),0))</f>
        <v>0</v>
      </c>
      <c r="DL25" s="170">
        <f t="shared" ca="1" si="94"/>
        <v>0</v>
      </c>
      <c r="DM25" s="170">
        <v>0</v>
      </c>
      <c r="DN25" s="146">
        <f t="shared" ca="1" si="51"/>
        <v>0</v>
      </c>
      <c r="DO25" s="146">
        <f t="shared" si="52"/>
        <v>0</v>
      </c>
      <c r="DP25" s="146">
        <f t="shared" ca="1" si="95"/>
        <v>0</v>
      </c>
      <c r="DQ25" s="147">
        <f t="shared" ca="1" si="53"/>
        <v>0</v>
      </c>
      <c r="DR25" s="146">
        <f ca="1">DP25*'Cap Table'!DB$63</f>
        <v>0</v>
      </c>
      <c r="DS25" s="173">
        <f ca="1">IFERROR(IF(OR(DA25='Cap Table'!$B$40,DA25='Cap Table'!$B$41,DA25='Cap Table'!$B$42,DA25='Cap Table'!$B$43),IF(SUM(DC25,CG25,BK25,AO25,S25,)&lt;SUM(DB25,CF25,BJ25,AN25,R25),FV(MAX(DF25,CJ25,BN25,AR25,V25)/12,DATEDIF(CZ25,'Cap Table'!$DB$61,"m"),0,-MAX(DB25,CF25,BJ25,AN25,R25))/(MAX(DE25,CI25,BM25,AQ25,U25,)/'Cap Table'!$DB$62)/IF(DA25=$B$42,(1-MAX(DG$29,CK$29,BO$29,AS$29,W$29)),1),DP25),DP25),0)</f>
        <v>0</v>
      </c>
      <c r="DT25" s="147">
        <f t="shared" ca="1" si="54"/>
        <v>0</v>
      </c>
      <c r="DV25" s="168">
        <f t="shared" ca="1" si="55"/>
        <v>46012</v>
      </c>
      <c r="DW25" s="168" t="str">
        <f t="shared" si="96"/>
        <v>Equity</v>
      </c>
      <c r="DX25" s="169">
        <v>0</v>
      </c>
      <c r="DY25" s="169">
        <f>IF('Cap Table'!DX$80&lt;&gt;"na",IF(OR(DA25='Cap Table'!$B$40,DA25='Cap Table'!$B$41,DA25='Cap Table'!$B$42),DB25-DC25,0),0)</f>
        <v>0</v>
      </c>
      <c r="DZ25" s="171">
        <f t="shared" si="102"/>
        <v>0</v>
      </c>
      <c r="EA25" s="169">
        <f t="shared" si="103"/>
        <v>0</v>
      </c>
      <c r="EB25" s="172">
        <f t="shared" si="104"/>
        <v>0</v>
      </c>
      <c r="EC25" s="293">
        <f t="shared" si="59"/>
        <v>0</v>
      </c>
      <c r="ED25" s="170">
        <f ca="1">FV(EB25/12,DATEDIF(DV25,'Cap Table'!DX$61,"m"),0,-DY25)</f>
        <v>0</v>
      </c>
      <c r="EE25" s="170">
        <f ca="1">IF('Cap Table'!DX$81="no",IFERROR(ED25/(1-DZ25),0),IFERROR(ED25/(1-(MAX(DZ25,IF(EA25=0,0,('Cap Table'!DX$63-EA25/'Cap Table'!DX$62)/'Cap Table'!DX$63)))),0))</f>
        <v>0</v>
      </c>
      <c r="EF25" s="146">
        <f t="shared" ca="1" si="60"/>
        <v>0</v>
      </c>
      <c r="EG25" s="149">
        <f ca="1">IF(AND('Cap Table'!DX$63=0,ED25&gt;0),EA25/IF(DA25=$B$42,DS$56,'Cap Table'!DX$62),IFERROR(IF(EA25=0,'Cap Table'!DX$63*(1-DZ25),MIN('Cap Table'!DX$63*(1-DZ25),EA25/IF(DA25=$B$42,DS$56,'Cap Table'!DX$62))),0))</f>
        <v>0</v>
      </c>
      <c r="EH25" s="170">
        <f t="shared" ca="1" si="97"/>
        <v>0</v>
      </c>
      <c r="EI25" s="170">
        <v>0</v>
      </c>
      <c r="EJ25" s="146">
        <f t="shared" ca="1" si="98"/>
        <v>0</v>
      </c>
      <c r="EK25" s="146">
        <f t="shared" si="61"/>
        <v>0</v>
      </c>
      <c r="EL25" s="146">
        <f t="shared" ca="1" si="99"/>
        <v>0</v>
      </c>
      <c r="EM25" s="147">
        <f t="shared" ca="1" si="62"/>
        <v>0</v>
      </c>
      <c r="EN25" s="146">
        <f ca="1">EL25*'Cap Table'!DX$63</f>
        <v>0</v>
      </c>
      <c r="EO25" s="173">
        <f ca="1">IFERROR(IF(OR(DW25='Cap Table'!$B$40,DW25='Cap Table'!$B$41,DW25='Cap Table'!$B$42,DW25='Cap Table'!$B$43),IF(SUM(DY25,DC25,CG25,BK25,AO25,S25)&lt;SUM(DX25,DB25,CF25,BJ25,AN25,R25),FV(MAX(EB25,DF25,CJ25,BN25,AR25,V25)/12,DATEDIF(DV25,'Cap Table'!DX$61,"m"),0,-MAX(DX25,DB25,CF25,BJ25,AN25,R25))/(MAX(EA25,DE25,CI25,BM25,AQ25,U25)/'Cap Table'!$DX$62)/IF(DW25=$B$42,(1-MAX(EC$29,DG$29,CK$29,BO$29,AS$29,W$29)),1),EL25),EL25),0)</f>
        <v>0</v>
      </c>
      <c r="EP25" s="147">
        <f t="shared" ca="1" si="63"/>
        <v>0</v>
      </c>
      <c r="ER25" s="146">
        <f t="shared" si="64"/>
        <v>0</v>
      </c>
      <c r="ES25" s="146">
        <f t="shared" si="65"/>
        <v>0</v>
      </c>
      <c r="ET25" s="174" t="s">
        <v>27</v>
      </c>
      <c r="EU25" s="174" t="s">
        <v>27</v>
      </c>
      <c r="EV25" s="174" t="s">
        <v>27</v>
      </c>
      <c r="EW25" s="146">
        <f t="shared" ca="1" si="66"/>
        <v>0</v>
      </c>
      <c r="EX25" s="146">
        <f t="shared" ca="1" si="67"/>
        <v>0</v>
      </c>
      <c r="EY25" s="146">
        <f t="shared" ca="1" si="68"/>
        <v>0</v>
      </c>
      <c r="EZ25" s="149">
        <f t="shared" ca="1" si="105"/>
        <v>0</v>
      </c>
      <c r="FA25" s="146">
        <f t="shared" ca="1" si="69"/>
        <v>0</v>
      </c>
      <c r="FB25" s="146">
        <f t="shared" si="70"/>
        <v>0</v>
      </c>
      <c r="FC25" s="146">
        <f t="shared" ca="1" si="100"/>
        <v>0</v>
      </c>
      <c r="FD25" s="146">
        <f t="shared" si="100"/>
        <v>0</v>
      </c>
      <c r="FE25" s="146">
        <f t="shared" ca="1" si="100"/>
        <v>0</v>
      </c>
      <c r="FF25" s="147">
        <f t="shared" ca="1" si="71"/>
        <v>0</v>
      </c>
      <c r="FG25" s="146">
        <f t="shared" ca="1" si="101"/>
        <v>0</v>
      </c>
      <c r="FH25" s="146">
        <f t="shared" ca="1" si="101"/>
        <v>0</v>
      </c>
      <c r="FI25" s="147">
        <f t="shared" ca="1" si="72"/>
        <v>0</v>
      </c>
      <c r="FK25" s="149" t="str">
        <f t="shared" si="0"/>
        <v>Common</v>
      </c>
      <c r="FL25" s="146">
        <f t="shared" ca="1" si="73"/>
        <v>0</v>
      </c>
      <c r="FM25" s="146">
        <f t="shared" ca="1" si="74"/>
        <v>0</v>
      </c>
      <c r="FN25" s="146">
        <f t="shared" ca="1" si="75"/>
        <v>0</v>
      </c>
      <c r="FP25" s="146" t="str">
        <f t="shared" si="76"/>
        <v>Common</v>
      </c>
      <c r="FQ25" s="174" t="str">
        <f t="shared" ca="1" si="77"/>
        <v>na</v>
      </c>
      <c r="FR25" s="174" t="str">
        <f t="shared" ca="1" si="78"/>
        <v>na</v>
      </c>
      <c r="FS25" s="174" t="str">
        <f t="shared" ca="1" si="79"/>
        <v>na</v>
      </c>
    </row>
    <row r="26" spans="2:175">
      <c r="B26" s="145" t="s">
        <v>27</v>
      </c>
      <c r="D26" s="167" t="s">
        <v>27</v>
      </c>
      <c r="E26" s="167" t="str">
        <f t="shared" si="80"/>
        <v>Common</v>
      </c>
      <c r="G26" s="168">
        <f t="shared" ca="1" si="1"/>
        <v>43820</v>
      </c>
      <c r="H26" s="289" t="str">
        <f t="shared" si="2"/>
        <v>Equity</v>
      </c>
      <c r="I26" s="169">
        <v>0</v>
      </c>
      <c r="J26" s="170">
        <v>0</v>
      </c>
      <c r="K26" s="170">
        <f t="shared" si="81"/>
        <v>0</v>
      </c>
      <c r="L26" s="147">
        <f t="shared" si="3"/>
        <v>0</v>
      </c>
      <c r="M26" s="170">
        <f t="shared" si="82"/>
        <v>0</v>
      </c>
      <c r="N26" s="147">
        <f t="shared" si="4"/>
        <v>0</v>
      </c>
      <c r="O26" s="147"/>
      <c r="P26" s="168">
        <f t="shared" ca="1" si="5"/>
        <v>44186</v>
      </c>
      <c r="Q26" s="289" t="str">
        <f t="shared" si="6"/>
        <v>Equity</v>
      </c>
      <c r="R26" s="169">
        <v>0</v>
      </c>
      <c r="S26" s="169">
        <v>0</v>
      </c>
      <c r="T26" s="171">
        <v>0</v>
      </c>
      <c r="U26" s="145">
        <v>0</v>
      </c>
      <c r="V26" s="172">
        <v>0</v>
      </c>
      <c r="W26" s="293">
        <f t="shared" si="7"/>
        <v>0</v>
      </c>
      <c r="X26" s="170">
        <f ca="1">FV(V26/12,DATEDIF(P26,'Cap Table'!R$61,"m"),0,-S26)</f>
        <v>0</v>
      </c>
      <c r="Y26" s="170">
        <f t="shared" ca="1" si="8"/>
        <v>0</v>
      </c>
      <c r="Z26" s="146">
        <f t="shared" ca="1" si="9"/>
        <v>0</v>
      </c>
      <c r="AA26" s="149">
        <f ca="1">IF(AND('Cap Table'!R$63=0,X26&gt;0),U26/'Cap Table'!R$62,IFERROR(IF(U26=0,'Cap Table'!R$63*(1-T26),MIN('Cap Table'!R$63*(1-T26),U26/'Cap Table'!R$62)),0))</f>
        <v>0</v>
      </c>
      <c r="AB26" s="170">
        <f t="shared" ca="1" si="83"/>
        <v>0</v>
      </c>
      <c r="AC26" s="170">
        <v>0</v>
      </c>
      <c r="AD26" s="146">
        <f t="shared" ca="1" si="10"/>
        <v>0</v>
      </c>
      <c r="AE26" s="146">
        <f t="shared" si="11"/>
        <v>0</v>
      </c>
      <c r="AF26" s="146">
        <f t="shared" ca="1" si="84"/>
        <v>0</v>
      </c>
      <c r="AG26" s="147">
        <f t="shared" ca="1" si="12"/>
        <v>0</v>
      </c>
      <c r="AH26" s="146">
        <f ca="1">AF26*'Cap Table'!R$63</f>
        <v>0</v>
      </c>
      <c r="AI26" s="146">
        <f ca="1">IFERROR(IF(OR(Q26='Cap Table'!$B$40,Q26='Cap Table'!$B$41,Q26='Cap Table'!$B$42,Q26='Cap Table'!$B$43),IF(SUM(S26)&lt;SUM(R26),(FV(V26/12,DATEDIF(P26,'Cap Table'!R$61,"m"),0,-R26))/(U26/'Cap Table'!$R$62)/IF(Q26=$B$42,(1-W$29),1),AF26),AF26),0)</f>
        <v>0</v>
      </c>
      <c r="AJ26" s="147">
        <f t="shared" ca="1" si="13"/>
        <v>0</v>
      </c>
      <c r="AL26" s="168">
        <f t="shared" ca="1" si="14"/>
        <v>44551</v>
      </c>
      <c r="AM26" s="168" t="str">
        <f t="shared" si="15"/>
        <v>Equity</v>
      </c>
      <c r="AN26" s="169">
        <v>0</v>
      </c>
      <c r="AO26" s="169">
        <f>IF('Cap Table'!AN$80&lt;&gt;"na",IF(OR(Q26='Cap Table'!$B$40,Q26='Cap Table'!$B$41,Q26='Cap Table'!$B$42),R26-S26,0),0)</f>
        <v>0</v>
      </c>
      <c r="AP26" s="171">
        <f t="shared" si="16"/>
        <v>0</v>
      </c>
      <c r="AQ26" s="169">
        <f t="shared" si="17"/>
        <v>0</v>
      </c>
      <c r="AR26" s="172">
        <f t="shared" si="18"/>
        <v>0</v>
      </c>
      <c r="AS26" s="293">
        <f t="shared" si="19"/>
        <v>0</v>
      </c>
      <c r="AT26" s="170">
        <f ca="1">FV(AR26/12,DATEDIF(AL26,'Cap Table'!AN$61,"m"),0,-AO26)</f>
        <v>0</v>
      </c>
      <c r="AU26" s="170">
        <f ca="1">IF('Cap Table'!AN$81="no",IFERROR(AT26/(1-AP26),0),IFERROR(AT26/(1-(MAX(AP26,IF(AQ26=0,0,('Cap Table'!AN$63-AQ26/'Cap Table'!AN$62)/'Cap Table'!AN$63)))),0))</f>
        <v>0</v>
      </c>
      <c r="AV26" s="146">
        <f t="shared" ca="1" si="20"/>
        <v>0</v>
      </c>
      <c r="AW26" s="149">
        <f ca="1">IF(AND('Cap Table'!AN$63=0,AT26&gt;0),AQ26/IF(AM26=$B$42,AI$56,'Cap Table'!AN$62),IFERROR(IF(AQ26=0,'Cap Table'!AN$63*(1-AP26),MIN('Cap Table'!AN$63*(1-AP26),AQ26/IF(AM26=$B$42,AI$56,'Cap Table'!AN$62))),0))</f>
        <v>0</v>
      </c>
      <c r="AX26" s="170">
        <f t="shared" ca="1" si="85"/>
        <v>0</v>
      </c>
      <c r="AY26" s="170">
        <v>0</v>
      </c>
      <c r="AZ26" s="146">
        <f t="shared" ca="1" si="21"/>
        <v>0</v>
      </c>
      <c r="BA26" s="146">
        <f t="shared" si="22"/>
        <v>0</v>
      </c>
      <c r="BB26" s="146">
        <f t="shared" ca="1" si="86"/>
        <v>0</v>
      </c>
      <c r="BC26" s="147">
        <f t="shared" ca="1" si="23"/>
        <v>0</v>
      </c>
      <c r="BD26" s="146">
        <f ca="1">BB26*'Cap Table'!AN$63</f>
        <v>0</v>
      </c>
      <c r="BE26" s="173">
        <f ca="1">IFERROR(IF(OR(AM26='Cap Table'!$B$40,AM26='Cap Table'!$B$41,AM26='Cap Table'!$B$42,AM26='Cap Table'!$B$43),IF(SUM(AO26,S26)&lt;SUM(AN26,R26),FV(MAX(AR26,V26)/12,DATEDIF(AL26,'Cap Table'!$AN$61,"m"),0,-MAX(AN26,R26))/(MAX(AQ26,U26)/'Cap Table'!$AN$62)/IF(AM26=$B$42,(1-MAX(W47,AS$29)),1),BB26),BB26),0)</f>
        <v>0</v>
      </c>
      <c r="BF26" s="147">
        <f t="shared" ca="1" si="24"/>
        <v>0</v>
      </c>
      <c r="BH26" s="168">
        <f t="shared" ca="1" si="25"/>
        <v>44916</v>
      </c>
      <c r="BI26" s="168" t="str">
        <f t="shared" si="87"/>
        <v>Equity</v>
      </c>
      <c r="BJ26" s="169">
        <v>0</v>
      </c>
      <c r="BK26" s="169">
        <f>IF('Cap Table'!BJ$80&lt;&gt;"na",IF(OR(AM26='Cap Table'!$B$40,AM26='Cap Table'!$B$41,AM26='Cap Table'!$B$42),AN26-AO26,0),0)</f>
        <v>0</v>
      </c>
      <c r="BL26" s="171">
        <f t="shared" si="26"/>
        <v>0</v>
      </c>
      <c r="BM26" s="169">
        <f t="shared" si="27"/>
        <v>0</v>
      </c>
      <c r="BN26" s="172">
        <f t="shared" si="28"/>
        <v>0</v>
      </c>
      <c r="BO26" s="293">
        <f t="shared" si="29"/>
        <v>0</v>
      </c>
      <c r="BP26" s="170">
        <f ca="1">FV(BN26/12,DATEDIF(BH26,'Cap Table'!BJ$61,"m"),0,-BK26)</f>
        <v>0</v>
      </c>
      <c r="BQ26" s="170">
        <f ca="1">IF('Cap Table'!BJ$81="no",IFERROR(BP26/(1-BL26),0),IFERROR(BP26/(1-(MAX(BL26,IF(BM26=0,0,('Cap Table'!BJ$63-BM26/'Cap Table'!BJ$62)/'Cap Table'!BJ$63)))),0))</f>
        <v>0</v>
      </c>
      <c r="BR26" s="146">
        <f t="shared" ca="1" si="30"/>
        <v>0</v>
      </c>
      <c r="BS26" s="149">
        <f ca="1">IF(AND('Cap Table'!BJ$63=0,BP26&gt;0),BM26/IF(BI26=$B$42,BE$56,'Cap Table'!BJ$62),IFERROR(IF(BM26=0,'Cap Table'!BJ$63*(1-BL26),MIN('Cap Table'!BJ$63*(1-BL26),BM26/IF(BI26=$B$42,BE$56,'Cap Table'!BJ$62))),0))</f>
        <v>0</v>
      </c>
      <c r="BT26" s="170">
        <f t="shared" ca="1" si="88"/>
        <v>0</v>
      </c>
      <c r="BU26" s="170">
        <v>0</v>
      </c>
      <c r="BV26" s="146">
        <f t="shared" ca="1" si="31"/>
        <v>0</v>
      </c>
      <c r="BW26" s="146">
        <f t="shared" si="32"/>
        <v>0</v>
      </c>
      <c r="BX26" s="146">
        <f t="shared" ca="1" si="89"/>
        <v>0</v>
      </c>
      <c r="BY26" s="147">
        <f t="shared" ca="1" si="33"/>
        <v>0</v>
      </c>
      <c r="BZ26" s="146">
        <f ca="1">BX26*'Cap Table'!BJ$63</f>
        <v>0</v>
      </c>
      <c r="CA26" s="173">
        <f ca="1">IFERROR(IF(OR(BI26='Cap Table'!$B$40,BI26='Cap Table'!$B$41,BI26='Cap Table'!$B$42,BI26='Cap Table'!$B$43),IF(SUM(BK26,AO26,S26)&lt;SUM(BJ26,AN26,R26),FV(MAX(BN26,AR26,V26)/12,DATEDIF(BH26,'Cap Table'!$BJ$61,"m"),0,-MAX(BJ26,AN26,R26))/(MAX(BM26,AQ26,U26)/'Cap Table'!$BJ$62)/IF(BI26=$B$42,(1-MAX(BO$29,AS$29,W$29)),1),BX26),BX26),0)</f>
        <v>0</v>
      </c>
      <c r="CB26" s="147">
        <f t="shared" ca="1" si="34"/>
        <v>0</v>
      </c>
      <c r="CD26" s="168">
        <f t="shared" ca="1" si="35"/>
        <v>45281</v>
      </c>
      <c r="CE26" s="168" t="str">
        <f t="shared" si="90"/>
        <v>Equity</v>
      </c>
      <c r="CF26" s="169">
        <v>0</v>
      </c>
      <c r="CG26" s="169">
        <f>IF('Cap Table'!CF$80&lt;&gt;"na",IF(OR(BI26='Cap Table'!$B$40,BI26='Cap Table'!$B$41,BI26='Cap Table'!$B$42),BJ26-BK26,0),0)</f>
        <v>0</v>
      </c>
      <c r="CH26" s="171">
        <f t="shared" si="36"/>
        <v>0</v>
      </c>
      <c r="CI26" s="169">
        <f t="shared" si="37"/>
        <v>0</v>
      </c>
      <c r="CJ26" s="172">
        <f t="shared" si="38"/>
        <v>0</v>
      </c>
      <c r="CK26" s="293">
        <f t="shared" si="39"/>
        <v>0</v>
      </c>
      <c r="CL26" s="170">
        <f ca="1">FV(CJ26/12,DATEDIF(CD26,'Cap Table'!CF$61,"m"),0,-CG26)</f>
        <v>0</v>
      </c>
      <c r="CM26" s="170">
        <f ca="1">IF('Cap Table'!CF$81="no",IFERROR(CL26/(1-CH26),0),IFERROR(CL26/(1-(MAX(CH26,IF(CI26=0,0,('Cap Table'!CF$63-CI26/'Cap Table'!CF$62)/'Cap Table'!CF$63)))),0))</f>
        <v>0</v>
      </c>
      <c r="CN26" s="146">
        <f t="shared" ca="1" si="40"/>
        <v>0</v>
      </c>
      <c r="CO26" s="149">
        <f ca="1">IF(AND('Cap Table'!CF$63=0,CL26&gt;0),CI26/IF(CE26=$B$42,CA$56,'Cap Table'!CF$62),IFERROR(IF(CI26=0,'Cap Table'!CF$63*(1-CH26),MIN('Cap Table'!CF$63*(1-CH26),CI26/IF(CE26=$B$42,CA$56,'Cap Table'!CF$62))),0))</f>
        <v>0</v>
      </c>
      <c r="CP26" s="170">
        <f t="shared" ca="1" si="91"/>
        <v>0</v>
      </c>
      <c r="CQ26" s="170">
        <v>0</v>
      </c>
      <c r="CR26" s="146">
        <f t="shared" ca="1" si="41"/>
        <v>0</v>
      </c>
      <c r="CS26" s="146">
        <f t="shared" si="42"/>
        <v>0</v>
      </c>
      <c r="CT26" s="146">
        <f t="shared" ca="1" si="92"/>
        <v>0</v>
      </c>
      <c r="CU26" s="147">
        <f t="shared" ca="1" si="43"/>
        <v>0</v>
      </c>
      <c r="CV26" s="146">
        <f ca="1">CT26*'Cap Table'!CF$63</f>
        <v>0</v>
      </c>
      <c r="CW26" s="173">
        <f ca="1">IFERROR(IF(OR(CE26='Cap Table'!$B$40,CE26='Cap Table'!$B$41,CE26='Cap Table'!$B$42,CE26='Cap Table'!$B$43),IF(SUM(CG26,BK26,AO26,S26)&lt;SUM(CF26,BJ26,AN26,R26),FV(MAX(CJ26,BN26,AR26,V26)/12,DATEDIF(CD26,'Cap Table'!$CF$61,"m"),0,-MAX(CF26,BJ26,AN26,R26))/(MAX(CI26,BM26,AQ26,U26)/'Cap Table'!$CF$62)/IF(CE26=$B$42,(1-MAX(CK$29,BO$29,AS$29,W$29)),1),CT26),CT26),0)</f>
        <v>0</v>
      </c>
      <c r="CX26" s="147">
        <f t="shared" ca="1" si="44"/>
        <v>0</v>
      </c>
      <c r="CZ26" s="168">
        <f t="shared" ca="1" si="45"/>
        <v>45647</v>
      </c>
      <c r="DA26" s="168" t="str">
        <f t="shared" si="93"/>
        <v>Equity</v>
      </c>
      <c r="DB26" s="169">
        <v>0</v>
      </c>
      <c r="DC26" s="169">
        <f>IF('Cap Table'!DB$80&lt;&gt;"na",IF(OR(CE26='Cap Table'!$B$40,CE26='Cap Table'!$B$41,CE26='Cap Table'!$B$42),CF26-CG26,0),0)</f>
        <v>0</v>
      </c>
      <c r="DD26" s="171">
        <f t="shared" si="46"/>
        <v>0</v>
      </c>
      <c r="DE26" s="169">
        <f t="shared" si="47"/>
        <v>0</v>
      </c>
      <c r="DF26" s="172">
        <f t="shared" si="48"/>
        <v>0</v>
      </c>
      <c r="DG26" s="293">
        <f t="shared" si="49"/>
        <v>0</v>
      </c>
      <c r="DH26" s="170">
        <f ca="1">FV(DF26/12,DATEDIF(CZ26,'Cap Table'!DB$61,"m"),0,-DC26)</f>
        <v>0</v>
      </c>
      <c r="DI26" s="170">
        <f ca="1">IF('Cap Table'!DB$81="no",IFERROR(DH26/(1-DD26),0),IFERROR(DH26/(1-(MAX(DD26,IF(DE26=0,0,('Cap Table'!DB$63-DE26/'Cap Table'!DB$62)/'Cap Table'!DB$63)))),0))</f>
        <v>0</v>
      </c>
      <c r="DJ26" s="146">
        <f t="shared" ca="1" si="50"/>
        <v>0</v>
      </c>
      <c r="DK26" s="149">
        <f ca="1">IF(AND('Cap Table'!DB$63=0,DH26&gt;0),DE26/'Cap Table'!DB$62,IFERROR(IF(DE26=0,'Cap Table'!DB$63*(1-DD26),MIN('Cap Table'!DB$63*(1-DD26),DE26/'Cap Table'!DB$62)),0))</f>
        <v>0</v>
      </c>
      <c r="DL26" s="170">
        <f t="shared" ca="1" si="94"/>
        <v>0</v>
      </c>
      <c r="DM26" s="170">
        <v>0</v>
      </c>
      <c r="DN26" s="146">
        <f t="shared" ca="1" si="51"/>
        <v>0</v>
      </c>
      <c r="DO26" s="146">
        <f t="shared" si="52"/>
        <v>0</v>
      </c>
      <c r="DP26" s="146">
        <f t="shared" ca="1" si="95"/>
        <v>0</v>
      </c>
      <c r="DQ26" s="147">
        <f t="shared" ca="1" si="53"/>
        <v>0</v>
      </c>
      <c r="DR26" s="146">
        <f ca="1">DP26*'Cap Table'!DB$63</f>
        <v>0</v>
      </c>
      <c r="DS26" s="173">
        <f ca="1">IFERROR(IF(OR(DA26='Cap Table'!$B$40,DA26='Cap Table'!$B$41,DA26='Cap Table'!$B$42,DA26='Cap Table'!$B$43),IF(SUM(DC26,CG26,BK26,AO26,S26,)&lt;SUM(DB26,CF26,BJ26,AN26,R26),FV(MAX(DF26,CJ26,BN26,AR26,V26)/12,DATEDIF(CZ26,'Cap Table'!$DB$61,"m"),0,-MAX(DB26,CF26,BJ26,AN26,R26))/(MAX(DE26,CI26,BM26,AQ26,U26,)/'Cap Table'!$DB$62)/IF(DA26=$B$42,(1-MAX(DG$29,CK$29,BO$29,AS$29,W$29)),1),DP26),DP26),0)</f>
        <v>0</v>
      </c>
      <c r="DT26" s="147">
        <f t="shared" ca="1" si="54"/>
        <v>0</v>
      </c>
      <c r="DV26" s="168">
        <f t="shared" ca="1" si="55"/>
        <v>46012</v>
      </c>
      <c r="DW26" s="168" t="str">
        <f t="shared" si="96"/>
        <v>Equity</v>
      </c>
      <c r="DX26" s="169">
        <v>0</v>
      </c>
      <c r="DY26" s="169">
        <f>IF('Cap Table'!DX$80&lt;&gt;"na",IF(OR(DA26='Cap Table'!$B$40,DA26='Cap Table'!$B$41,DA26='Cap Table'!$B$42),DB26-DC26,0),0)</f>
        <v>0</v>
      </c>
      <c r="DZ26" s="171">
        <f t="shared" si="102"/>
        <v>0</v>
      </c>
      <c r="EA26" s="169">
        <f t="shared" si="103"/>
        <v>0</v>
      </c>
      <c r="EB26" s="172">
        <f t="shared" si="104"/>
        <v>0</v>
      </c>
      <c r="EC26" s="293">
        <f t="shared" si="59"/>
        <v>0</v>
      </c>
      <c r="ED26" s="170">
        <f ca="1">FV(EB26/12,DATEDIF(DV26,'Cap Table'!DX$61,"m"),0,-DY26)</f>
        <v>0</v>
      </c>
      <c r="EE26" s="170">
        <f ca="1">IF('Cap Table'!DX$81="no",IFERROR(ED26/(1-DZ26),0),IFERROR(ED26/(1-(MAX(DZ26,IF(EA26=0,0,('Cap Table'!DX$63-EA26/'Cap Table'!DX$62)/'Cap Table'!DX$63)))),0))</f>
        <v>0</v>
      </c>
      <c r="EF26" s="146">
        <f t="shared" ca="1" si="60"/>
        <v>0</v>
      </c>
      <c r="EG26" s="149">
        <f ca="1">IF(AND('Cap Table'!DX$63=0,ED26&gt;0),EA26/IF(DA26=$B$42,DS$56,'Cap Table'!DX$62),IFERROR(IF(EA26=0,'Cap Table'!DX$63*(1-DZ26),MIN('Cap Table'!DX$63*(1-DZ26),EA26/IF(DA26=$B$42,DS$56,'Cap Table'!DX$62))),0))</f>
        <v>0</v>
      </c>
      <c r="EH26" s="170">
        <f t="shared" ca="1" si="97"/>
        <v>0</v>
      </c>
      <c r="EI26" s="170">
        <v>0</v>
      </c>
      <c r="EJ26" s="146">
        <f t="shared" ca="1" si="98"/>
        <v>0</v>
      </c>
      <c r="EK26" s="146">
        <f t="shared" si="61"/>
        <v>0</v>
      </c>
      <c r="EL26" s="146">
        <f t="shared" ca="1" si="99"/>
        <v>0</v>
      </c>
      <c r="EM26" s="147">
        <f t="shared" ca="1" si="62"/>
        <v>0</v>
      </c>
      <c r="EN26" s="146">
        <f ca="1">EL26*'Cap Table'!DX$63</f>
        <v>0</v>
      </c>
      <c r="EO26" s="173">
        <f ca="1">IFERROR(IF(OR(DW26='Cap Table'!$B$40,DW26='Cap Table'!$B$41,DW26='Cap Table'!$B$42,DW26='Cap Table'!$B$43),IF(SUM(DY26,DC26,CG26,BK26,AO26,S26)&lt;SUM(DX26,DB26,CF26,BJ26,AN26,R26),FV(MAX(EB26,DF26,CJ26,BN26,AR26,V26)/12,DATEDIF(DV26,'Cap Table'!DX$61,"m"),0,-MAX(DX26,DB26,CF26,BJ26,AN26,R26))/(MAX(EA26,DE26,CI26,BM26,AQ26,U26)/'Cap Table'!$DX$62)/IF(DW26=$B$42,(1-MAX(EC$29,DG$29,CK$29,BO$29,AS$29,W$29)),1),EL26),EL26),0)</f>
        <v>0</v>
      </c>
      <c r="EP26" s="147">
        <f t="shared" ca="1" si="63"/>
        <v>0</v>
      </c>
      <c r="ER26" s="146">
        <f t="shared" si="64"/>
        <v>0</v>
      </c>
      <c r="ES26" s="146">
        <f t="shared" si="65"/>
        <v>0</v>
      </c>
      <c r="ET26" s="174" t="s">
        <v>27</v>
      </c>
      <c r="EU26" s="174" t="s">
        <v>27</v>
      </c>
      <c r="EV26" s="174" t="s">
        <v>27</v>
      </c>
      <c r="EW26" s="146">
        <f t="shared" ca="1" si="66"/>
        <v>0</v>
      </c>
      <c r="EX26" s="146">
        <f t="shared" ca="1" si="67"/>
        <v>0</v>
      </c>
      <c r="EY26" s="146">
        <f t="shared" ca="1" si="68"/>
        <v>0</v>
      </c>
      <c r="EZ26" s="149">
        <f t="shared" ca="1" si="105"/>
        <v>0</v>
      </c>
      <c r="FA26" s="146">
        <f t="shared" ca="1" si="69"/>
        <v>0</v>
      </c>
      <c r="FB26" s="146">
        <f t="shared" si="70"/>
        <v>0</v>
      </c>
      <c r="FC26" s="146">
        <f t="shared" ca="1" si="100"/>
        <v>0</v>
      </c>
      <c r="FD26" s="146">
        <f t="shared" si="100"/>
        <v>0</v>
      </c>
      <c r="FE26" s="146">
        <f t="shared" ca="1" si="100"/>
        <v>0</v>
      </c>
      <c r="FF26" s="147">
        <f t="shared" ca="1" si="71"/>
        <v>0</v>
      </c>
      <c r="FG26" s="146">
        <f t="shared" ca="1" si="101"/>
        <v>0</v>
      </c>
      <c r="FH26" s="146">
        <f t="shared" ca="1" si="101"/>
        <v>0</v>
      </c>
      <c r="FI26" s="147">
        <f t="shared" ca="1" si="72"/>
        <v>0</v>
      </c>
      <c r="FK26" s="149" t="str">
        <f t="shared" si="0"/>
        <v>Common</v>
      </c>
      <c r="FL26" s="146">
        <f t="shared" ca="1" si="73"/>
        <v>0</v>
      </c>
      <c r="FM26" s="146">
        <f t="shared" ca="1" si="74"/>
        <v>0</v>
      </c>
      <c r="FN26" s="146">
        <f t="shared" ca="1" si="75"/>
        <v>0</v>
      </c>
      <c r="FP26" s="146" t="str">
        <f t="shared" si="76"/>
        <v>Common</v>
      </c>
      <c r="FQ26" s="174" t="str">
        <f t="shared" ca="1" si="77"/>
        <v>na</v>
      </c>
      <c r="FR26" s="174" t="str">
        <f t="shared" ca="1" si="78"/>
        <v>na</v>
      </c>
      <c r="FS26" s="174" t="str">
        <f t="shared" ca="1" si="79"/>
        <v>na</v>
      </c>
    </row>
    <row r="27" spans="2:175">
      <c r="B27" s="175" t="s">
        <v>14</v>
      </c>
      <c r="C27" s="176"/>
      <c r="D27" s="177" t="s">
        <v>27</v>
      </c>
      <c r="E27" s="178" t="s">
        <v>22</v>
      </c>
      <c r="G27" s="168">
        <f t="shared" ca="1" si="1"/>
        <v>43820</v>
      </c>
      <c r="H27" s="289" t="str">
        <f t="shared" si="2"/>
        <v>Equity</v>
      </c>
      <c r="I27" s="170">
        <v>0</v>
      </c>
      <c r="J27" s="169">
        <v>0</v>
      </c>
      <c r="K27" s="170">
        <f t="shared" si="81"/>
        <v>0</v>
      </c>
      <c r="L27" s="147">
        <f t="shared" si="3"/>
        <v>0</v>
      </c>
      <c r="M27" s="170">
        <f t="shared" si="82"/>
        <v>0</v>
      </c>
      <c r="N27" s="147">
        <f t="shared" si="4"/>
        <v>0</v>
      </c>
      <c r="O27" s="147"/>
      <c r="P27" s="168">
        <f ca="1">R$61</f>
        <v>44186</v>
      </c>
      <c r="Q27" s="289" t="str">
        <f t="shared" si="6"/>
        <v>Equity</v>
      </c>
      <c r="R27" s="170">
        <v>0</v>
      </c>
      <c r="S27" s="170">
        <v>0</v>
      </c>
      <c r="T27" s="179">
        <v>0</v>
      </c>
      <c r="U27" s="170">
        <v>0</v>
      </c>
      <c r="V27" s="179">
        <v>0</v>
      </c>
      <c r="W27" s="293">
        <f t="shared" si="7"/>
        <v>0</v>
      </c>
      <c r="X27" s="170">
        <v>0</v>
      </c>
      <c r="Y27" s="170">
        <v>0</v>
      </c>
      <c r="Z27" s="146">
        <f t="shared" si="9"/>
        <v>0</v>
      </c>
      <c r="AA27" s="149">
        <f>IF(AND('Cap Table'!R$63=0,X27&gt;0),U27/'Cap Table'!R$62,IFERROR(IF(U27=0,'Cap Table'!R$63*(1-T27),MIN('Cap Table'!R$63*(1-T27),U27/'Cap Table'!R$62)),0))</f>
        <v>0</v>
      </c>
      <c r="AB27" s="170">
        <f t="shared" si="83"/>
        <v>0</v>
      </c>
      <c r="AC27" s="170">
        <f>K28*'Cap Table'!R88</f>
        <v>0</v>
      </c>
      <c r="AD27" s="146">
        <f t="shared" si="10"/>
        <v>0</v>
      </c>
      <c r="AE27" s="146">
        <f t="shared" si="11"/>
        <v>0</v>
      </c>
      <c r="AF27" s="146">
        <f t="shared" si="84"/>
        <v>0</v>
      </c>
      <c r="AG27" s="147">
        <f t="shared" ca="1" si="12"/>
        <v>0</v>
      </c>
      <c r="AH27" s="146">
        <f>AF27*'Cap Table'!R$63</f>
        <v>0</v>
      </c>
      <c r="AI27" s="146">
        <f>IFERROR(IF(OR(Q27='Cap Table'!$B$40,Q27='Cap Table'!$B$41,Q27='Cap Table'!$B$42,Q27='Cap Table'!$B$43),IF(SUM(S27)&lt;SUM(R27),(FV(V27/12,DATEDIF(P27,'Cap Table'!R$61,"m"),0,-R27))/(U27/'Cap Table'!$R$62)/IF(Q27=$B$42,(1-W$29),1),AF27),AF27),0)</f>
        <v>0</v>
      </c>
      <c r="AJ27" s="147">
        <f t="shared" ca="1" si="13"/>
        <v>0</v>
      </c>
      <c r="AL27" s="168">
        <f ca="1">AN$61</f>
        <v>44551</v>
      </c>
      <c r="AM27" s="168" t="s">
        <v>447</v>
      </c>
      <c r="AN27" s="170">
        <v>0</v>
      </c>
      <c r="AO27" s="170">
        <f>IF('Cap Table'!AN$80&lt;&gt;"na",IF(Q27='Cap Table'!$B$40,R27-S27,0),0)</f>
        <v>0</v>
      </c>
      <c r="AP27" s="179">
        <v>0</v>
      </c>
      <c r="AQ27" s="150">
        <v>0</v>
      </c>
      <c r="AR27" s="180">
        <v>0</v>
      </c>
      <c r="AS27" s="293">
        <f t="shared" si="19"/>
        <v>0</v>
      </c>
      <c r="AT27" s="170">
        <f ca="1">FV(AR27/1,DATEDIF(AL27,'Cap Table'!AN$61,"y"),0,-AO27)</f>
        <v>0</v>
      </c>
      <c r="AU27" s="170">
        <f t="shared" ref="AU27:AU28" ca="1" si="106">IFERROR(AT27/(1-AP27),0)</f>
        <v>0</v>
      </c>
      <c r="AV27" s="170">
        <f t="shared" ca="1" si="20"/>
        <v>0</v>
      </c>
      <c r="AW27" s="149">
        <f ca="1">IF(AND('Cap Table'!AN$63=0,AT27&gt;0),AQ27/IF(AM27=$B$42,AI$56,'Cap Table'!AN$62),IFERROR(IF(AQ27=0,'Cap Table'!AN$63*(1-AP27),MIN('Cap Table'!AN$63*(1-AP27),AQ27/IF(AM27=$B$42,AI$56,'Cap Table'!AN$62))),0))</f>
        <v>0</v>
      </c>
      <c r="AX27" s="170">
        <f t="shared" ca="1" si="85"/>
        <v>0</v>
      </c>
      <c r="AY27" s="170">
        <f>AE28*'Cap Table'!AN88</f>
        <v>0</v>
      </c>
      <c r="AZ27" s="170">
        <f t="shared" ca="1" si="21"/>
        <v>0</v>
      </c>
      <c r="BA27" s="170">
        <f t="shared" si="22"/>
        <v>0</v>
      </c>
      <c r="BB27" s="170">
        <f t="shared" ca="1" si="86"/>
        <v>0</v>
      </c>
      <c r="BC27" s="179">
        <f t="shared" ca="1" si="23"/>
        <v>0</v>
      </c>
      <c r="BD27" s="170">
        <f ca="1">BB27*'Cap Table'!AN$63</f>
        <v>0</v>
      </c>
      <c r="BE27" s="173">
        <f ca="1">IFERROR(IF(OR(AM27='Cap Table'!$B$40,AM27='Cap Table'!$B$41,AM27='Cap Table'!$B$42,AM27='Cap Table'!$B$43),IF(SUM(AO27,S27)&lt;SUM(AN27,R27),FV(MAX(AR27,V27)/12,DATEDIF(AL27,'Cap Table'!$AN$61,"m"),0,-MAX(AN27,R27))/(MAX(AQ27,U27)/'Cap Table'!$AN$62)/IF(AM27=$B$42,(1-MAX(W48,AS$29)),1),BB27),BB27),0)</f>
        <v>0</v>
      </c>
      <c r="BF27" s="179">
        <f t="shared" ca="1" si="24"/>
        <v>0</v>
      </c>
      <c r="BH27" s="168">
        <f ca="1">BJ$61</f>
        <v>44916</v>
      </c>
      <c r="BI27" s="168" t="s">
        <v>447</v>
      </c>
      <c r="BJ27" s="170">
        <v>0</v>
      </c>
      <c r="BK27" s="170">
        <f>IF('Cap Table'!BJ$80&lt;&gt;"na",IF(AM27='Cap Table'!$B$40,AN27-AO27,0),0)</f>
        <v>0</v>
      </c>
      <c r="BL27" s="179">
        <v>0</v>
      </c>
      <c r="BM27" s="150">
        <v>0</v>
      </c>
      <c r="BN27" s="180">
        <v>0</v>
      </c>
      <c r="BO27" s="293">
        <f t="shared" si="29"/>
        <v>0</v>
      </c>
      <c r="BP27" s="170">
        <f ca="1">FV(BN27/1,DATEDIF(BH27,'Cap Table'!BJ$61,"y"),0,-BK27)</f>
        <v>0</v>
      </c>
      <c r="BQ27" s="170">
        <f t="shared" ref="BQ27:BQ28" ca="1" si="107">IFERROR(BP27/(1-BL27),0)</f>
        <v>0</v>
      </c>
      <c r="BR27" s="170">
        <f t="shared" ca="1" si="30"/>
        <v>0</v>
      </c>
      <c r="BS27" s="149">
        <f ca="1">IF(AND('Cap Table'!BJ$63=0,BP27&gt;0),BM27/IF(BI27=$B$42,BE$56,'Cap Table'!BJ$62),IFERROR(IF(BM27=0,'Cap Table'!BJ$63*(1-BL27),MIN('Cap Table'!BJ$63*(1-BL27),BM27/IF(BI27=$B$42,BE$56,'Cap Table'!BJ$62))),0))</f>
        <v>0</v>
      </c>
      <c r="BT27" s="170">
        <f t="shared" ca="1" si="88"/>
        <v>0</v>
      </c>
      <c r="BU27" s="170">
        <f ca="1">BA28*'Cap Table'!BJ88</f>
        <v>0</v>
      </c>
      <c r="BV27" s="170">
        <f t="shared" ca="1" si="31"/>
        <v>0</v>
      </c>
      <c r="BW27" s="170">
        <f t="shared" ca="1" si="32"/>
        <v>0</v>
      </c>
      <c r="BX27" s="170">
        <f t="shared" ca="1" si="89"/>
        <v>0</v>
      </c>
      <c r="BY27" s="179">
        <f t="shared" ca="1" si="33"/>
        <v>0</v>
      </c>
      <c r="BZ27" s="170">
        <f ca="1">BX27*'Cap Table'!BJ$63</f>
        <v>0</v>
      </c>
      <c r="CA27" s="173">
        <f ca="1">IFERROR(IF(OR(BI27='Cap Table'!$B$40,BI27='Cap Table'!$B$41,BI27='Cap Table'!$B$42,BI27='Cap Table'!$B$43),IF(SUM(BK27,AO27,S27)&lt;SUM(BJ27,AN27,R27),FV(MAX(BN27,AR27,V27)/12,DATEDIF(BH27,'Cap Table'!$BJ$61,"m"),0,-MAX(BJ27,AN27,R27))/(MAX(BM27,AQ27,U27)/'Cap Table'!$BJ$62)/IF(BI27=$B$42,(1-MAX(BO$29,AS$29,W$29)),1),BX27),BX27),0)</f>
        <v>0</v>
      </c>
      <c r="CB27" s="179">
        <f t="shared" ca="1" si="34"/>
        <v>0</v>
      </c>
      <c r="CD27" s="168">
        <f ca="1">CF$61</f>
        <v>45281</v>
      </c>
      <c r="CE27" s="168" t="s">
        <v>447</v>
      </c>
      <c r="CF27" s="170">
        <v>0</v>
      </c>
      <c r="CG27" s="170">
        <f>IF('Cap Table'!CF$80&lt;&gt;"na",IF(BI27='Cap Table'!$B$40,BJ27-BK27,0),0)</f>
        <v>0</v>
      </c>
      <c r="CH27" s="179">
        <v>0</v>
      </c>
      <c r="CI27" s="150">
        <v>0</v>
      </c>
      <c r="CJ27" s="180">
        <v>0</v>
      </c>
      <c r="CK27" s="293">
        <f t="shared" si="39"/>
        <v>0</v>
      </c>
      <c r="CL27" s="170">
        <f ca="1">FV(CJ27/1,DATEDIF(CD27,'Cap Table'!CF$61,"y"),0,-CG27)</f>
        <v>0</v>
      </c>
      <c r="CM27" s="170">
        <f t="shared" ref="CM27:CM28" ca="1" si="108">IFERROR(CL27/(1-CH27),0)</f>
        <v>0</v>
      </c>
      <c r="CN27" s="170">
        <f t="shared" ca="1" si="40"/>
        <v>0</v>
      </c>
      <c r="CO27" s="149">
        <f ca="1">IF(AND('Cap Table'!CF$63=0,CL27&gt;0),CI27/IF(CE27=$B$42,CA$56,'Cap Table'!CF$62),IFERROR(IF(CI27=0,'Cap Table'!CF$63*(1-CH27),MIN('Cap Table'!CF$63*(1-CH27),CI27/IF(CE27=$B$42,CA$56,'Cap Table'!CF$62))),0))</f>
        <v>0</v>
      </c>
      <c r="CP27" s="170">
        <f t="shared" ca="1" si="91"/>
        <v>0</v>
      </c>
      <c r="CQ27" s="170">
        <f ca="1">BW28*'Cap Table'!CF88</f>
        <v>0</v>
      </c>
      <c r="CR27" s="170">
        <f t="shared" ca="1" si="41"/>
        <v>0</v>
      </c>
      <c r="CS27" s="170">
        <f t="shared" ca="1" si="42"/>
        <v>0</v>
      </c>
      <c r="CT27" s="170">
        <f t="shared" ca="1" si="92"/>
        <v>0</v>
      </c>
      <c r="CU27" s="147">
        <f t="shared" ca="1" si="43"/>
        <v>0</v>
      </c>
      <c r="CV27" s="146">
        <f ca="1">CT27*'Cap Table'!CF$63</f>
        <v>0</v>
      </c>
      <c r="CW27" s="173">
        <f ca="1">IFERROR(IF(OR(CE27='Cap Table'!$B$40,CE27='Cap Table'!$B$41,CE27='Cap Table'!$B$42,CE27='Cap Table'!$B$43),IF(SUM(CG27,BK27,AO27,S27)&lt;SUM(CF27,BJ27,AN27,R27),FV(MAX(CJ27,BN27,AR27,V27)/12,DATEDIF(CD27,'Cap Table'!$CF$61,"m"),0,-MAX(CF27,BJ27,AN27,R27))/(MAX(CI27,BM27,AQ27,U27)/'Cap Table'!$CF$62)/IF(CE27=$B$42,(1-MAX(CK$29,BO$29,AS$29,W$29)),1),CT27),CT27),0)</f>
        <v>0</v>
      </c>
      <c r="CX27" s="179">
        <f t="shared" ca="1" si="44"/>
        <v>0</v>
      </c>
      <c r="CZ27" s="168">
        <f ca="1">DB$61</f>
        <v>45647</v>
      </c>
      <c r="DA27" s="168" t="s">
        <v>447</v>
      </c>
      <c r="DB27" s="170">
        <v>0</v>
      </c>
      <c r="DC27" s="170">
        <f>IF('Cap Table'!DB$80&lt;&gt;"na",IF(CE27='Cap Table'!$B$40,CF27-CG27,0),0)</f>
        <v>0</v>
      </c>
      <c r="DD27" s="179">
        <v>0</v>
      </c>
      <c r="DE27" s="150">
        <v>0</v>
      </c>
      <c r="DF27" s="180">
        <v>0</v>
      </c>
      <c r="DG27" s="293">
        <f t="shared" si="49"/>
        <v>0</v>
      </c>
      <c r="DH27" s="170">
        <f ca="1">FV(DF27/1,DATEDIF(CZ27,'Cap Table'!DB$61,"y"),0,-DC27)</f>
        <v>0</v>
      </c>
      <c r="DI27" s="170">
        <f t="shared" ref="DI27:DI28" ca="1" si="109">IFERROR(DH27/(1-DD27),0)</f>
        <v>0</v>
      </c>
      <c r="DJ27" s="170">
        <f t="shared" ca="1" si="50"/>
        <v>0</v>
      </c>
      <c r="DK27" s="149">
        <f ca="1">IF(AND('Cap Table'!DB$63=0,DH27&gt;0),DE27/'Cap Table'!DB$62,IFERROR(IF(DE27=0,'Cap Table'!DB$63*(1-DD27),MIN('Cap Table'!DB$63*(1-DD27),DE27/'Cap Table'!DB$62)),0))</f>
        <v>0</v>
      </c>
      <c r="DL27" s="170">
        <f t="shared" ca="1" si="94"/>
        <v>0</v>
      </c>
      <c r="DM27" s="170">
        <f ca="1">CS28*'Cap Table'!DB88</f>
        <v>0</v>
      </c>
      <c r="DN27" s="170">
        <f t="shared" ca="1" si="51"/>
        <v>0</v>
      </c>
      <c r="DO27" s="170">
        <f t="shared" ca="1" si="52"/>
        <v>0</v>
      </c>
      <c r="DP27" s="170">
        <f t="shared" ca="1" si="95"/>
        <v>0</v>
      </c>
      <c r="DQ27" s="179">
        <f t="shared" ca="1" si="53"/>
        <v>0</v>
      </c>
      <c r="DR27" s="146">
        <f ca="1">DP27*'Cap Table'!DB$63</f>
        <v>0</v>
      </c>
      <c r="DS27" s="173">
        <f ca="1">IFERROR(IF(OR(DA27='Cap Table'!$B$40,DA27='Cap Table'!$B$41,DA27='Cap Table'!$B$42,DA27='Cap Table'!$B$43),IF(SUM(DC27,CG27,BK27,AO27,S27,)&lt;SUM(DB27,CF27,BJ27,AN27,R27),FV(MAX(DF27,CJ27,BN27,AR27,V27)/12,DATEDIF(CZ27,'Cap Table'!$DB$61,"m"),0,-MAX(DB27,CF27,BJ27,AN27,R27))/(MAX(DE27,CI27,BM27,AQ27,U27,)/'Cap Table'!$DB$62)/IF(DA27=$B$42,(1-MAX(DG$29,CK$29,BO$29,AS$29,W$29)),1),DP27),DP27),0)</f>
        <v>0</v>
      </c>
      <c r="DT27" s="179">
        <f t="shared" ca="1" si="54"/>
        <v>0</v>
      </c>
      <c r="DV27" s="168">
        <f ca="1">DX$61</f>
        <v>46012</v>
      </c>
      <c r="DW27" s="168" t="s">
        <v>447</v>
      </c>
      <c r="DX27" s="170">
        <v>0</v>
      </c>
      <c r="DY27" s="170">
        <f>IF('Cap Table'!DX$80&lt;&gt;"na",IF(DA27='Cap Table'!$B$40,DB27-DC27,0),0)</f>
        <v>0</v>
      </c>
      <c r="DZ27" s="179">
        <v>0</v>
      </c>
      <c r="EA27" s="150">
        <v>0</v>
      </c>
      <c r="EB27" s="180">
        <v>0</v>
      </c>
      <c r="EC27" s="293">
        <f t="shared" si="59"/>
        <v>0</v>
      </c>
      <c r="ED27" s="170">
        <f ca="1">FV(EB27/1,DATEDIF(DV27,'Cap Table'!DX$61,"y"),0,-DY27)</f>
        <v>0</v>
      </c>
      <c r="EE27" s="170">
        <f t="shared" ref="EE27:EE28" ca="1" si="110">IFERROR(ED27/(1-DZ27),0)</f>
        <v>0</v>
      </c>
      <c r="EF27" s="170">
        <f t="shared" ca="1" si="60"/>
        <v>0</v>
      </c>
      <c r="EG27" s="149">
        <f ca="1">IF(AND('Cap Table'!DX$63=0,ED27&gt;0),EA27/IF(DA27=$B$42,DS$56,'Cap Table'!DX$62),IFERROR(IF(EA27=0,'Cap Table'!DX$63*(1-DZ27),MIN('Cap Table'!DX$63*(1-DZ27),EA27/IF(DA27=$B$42,DS$56,'Cap Table'!DX$62))),0))</f>
        <v>0</v>
      </c>
      <c r="EH27" s="170">
        <f t="shared" ca="1" si="97"/>
        <v>0</v>
      </c>
      <c r="EI27" s="170">
        <f ca="1">DO28*'Cap Table'!DX88</f>
        <v>0</v>
      </c>
      <c r="EJ27" s="170">
        <f t="shared" ca="1" si="98"/>
        <v>0</v>
      </c>
      <c r="EK27" s="170">
        <f ca="1">EI27+DO27</f>
        <v>0</v>
      </c>
      <c r="EL27" s="170">
        <f t="shared" ca="1" si="99"/>
        <v>0</v>
      </c>
      <c r="EM27" s="179">
        <f t="shared" ca="1" si="62"/>
        <v>0</v>
      </c>
      <c r="EN27" s="170">
        <f ca="1">EL27*'Cap Table'!DX$63</f>
        <v>0</v>
      </c>
      <c r="EO27" s="173">
        <f ca="1">IFERROR(IF(OR(DW27='Cap Table'!$B$40,DW27='Cap Table'!$B$41,DW27='Cap Table'!$B$42,DW27='Cap Table'!$B$43),IF(SUM(DY27,DC27,CG27,BK27,AO27,S27)&lt;SUM(DX27,DB27,CF27,BJ27,AN27,R27),FV(MAX(EB27,DF27,CJ27,BN27,AR27,V27)/12,DATEDIF(DV27,'Cap Table'!DX$61,"m"),0,-MAX(DX27,DB27,CF27,BJ27,AN27,R27))/(MAX(EA27,DE27,CI27,BM27,AQ27,U27)/'Cap Table'!$DX$62)/IF(DW27=$B$42,(1-MAX(EC$29,DG$29,CK$29,BO$29,AS$29,W$29)),1),EL27),EL27),0)</f>
        <v>0</v>
      </c>
      <c r="EP27" s="179">
        <f t="shared" ca="1" si="63"/>
        <v>0</v>
      </c>
      <c r="ER27" s="146">
        <f t="shared" si="64"/>
        <v>0</v>
      </c>
      <c r="ES27" s="146">
        <f t="shared" si="65"/>
        <v>0</v>
      </c>
      <c r="ET27" s="174" t="s">
        <v>27</v>
      </c>
      <c r="EU27" s="174" t="s">
        <v>27</v>
      </c>
      <c r="EV27" s="174" t="s">
        <v>27</v>
      </c>
      <c r="EW27" s="146">
        <f t="shared" ca="1" si="66"/>
        <v>0</v>
      </c>
      <c r="EX27" s="146">
        <f t="shared" ca="1" si="67"/>
        <v>0</v>
      </c>
      <c r="EY27" s="146">
        <f t="shared" ca="1" si="68"/>
        <v>0</v>
      </c>
      <c r="EZ27" s="149">
        <f t="shared" ca="1" si="105"/>
        <v>0</v>
      </c>
      <c r="FA27" s="146">
        <f t="shared" ca="1" si="69"/>
        <v>0</v>
      </c>
      <c r="FB27" s="146">
        <f t="shared" ca="1" si="70"/>
        <v>0</v>
      </c>
      <c r="FC27" s="146">
        <f t="shared" ca="1" si="100"/>
        <v>0</v>
      </c>
      <c r="FD27" s="146">
        <f t="shared" ca="1" si="100"/>
        <v>0</v>
      </c>
      <c r="FE27" s="146">
        <f t="shared" ca="1" si="100"/>
        <v>0</v>
      </c>
      <c r="FF27" s="147">
        <f t="shared" ca="1" si="71"/>
        <v>0</v>
      </c>
      <c r="FG27" s="146">
        <f t="shared" ca="1" si="101"/>
        <v>0</v>
      </c>
      <c r="FH27" s="146">
        <f t="shared" ca="1" si="101"/>
        <v>0</v>
      </c>
      <c r="FI27" s="147">
        <f t="shared" ca="1" si="72"/>
        <v>0</v>
      </c>
      <c r="FK27" s="149" t="str">
        <f t="shared" si="0"/>
        <v>Options</v>
      </c>
      <c r="FL27" s="146">
        <f t="shared" ca="1" si="73"/>
        <v>0</v>
      </c>
      <c r="FM27" s="146">
        <f t="shared" ca="1" si="74"/>
        <v>0</v>
      </c>
      <c r="FN27" s="146">
        <f t="shared" ca="1" si="75"/>
        <v>0</v>
      </c>
      <c r="FP27" s="146" t="str">
        <f t="shared" si="76"/>
        <v>Options</v>
      </c>
      <c r="FQ27" s="174" t="str">
        <f t="shared" ca="1" si="77"/>
        <v>na</v>
      </c>
      <c r="FR27" s="174" t="str">
        <f t="shared" ca="1" si="78"/>
        <v>na</v>
      </c>
      <c r="FS27" s="174" t="str">
        <f t="shared" ca="1" si="79"/>
        <v>na</v>
      </c>
    </row>
    <row r="28" spans="2:175">
      <c r="B28" s="181" t="s">
        <v>51</v>
      </c>
      <c r="C28" s="176"/>
      <c r="D28" s="177" t="s">
        <v>27</v>
      </c>
      <c r="E28" s="178" t="s">
        <v>22</v>
      </c>
      <c r="G28" s="168">
        <f t="shared" ca="1" si="1"/>
        <v>43820</v>
      </c>
      <c r="H28" s="289" t="str">
        <f t="shared" si="2"/>
        <v>Equity</v>
      </c>
      <c r="I28" s="170">
        <v>0</v>
      </c>
      <c r="J28" s="169">
        <v>0</v>
      </c>
      <c r="K28" s="170">
        <f t="shared" si="81"/>
        <v>0</v>
      </c>
      <c r="L28" s="147">
        <f t="shared" si="3"/>
        <v>0</v>
      </c>
      <c r="M28" s="170">
        <f t="shared" si="82"/>
        <v>0</v>
      </c>
      <c r="N28" s="147">
        <f t="shared" si="4"/>
        <v>0</v>
      </c>
      <c r="O28" s="147"/>
      <c r="P28" s="168">
        <f ca="1">R$61</f>
        <v>44186</v>
      </c>
      <c r="Q28" s="289" t="str">
        <f t="shared" si="6"/>
        <v>Equity</v>
      </c>
      <c r="R28" s="170">
        <v>0</v>
      </c>
      <c r="S28" s="170">
        <v>0</v>
      </c>
      <c r="T28" s="179">
        <v>0</v>
      </c>
      <c r="U28" s="170">
        <v>0</v>
      </c>
      <c r="V28" s="179">
        <v>0</v>
      </c>
      <c r="W28" s="293">
        <f t="shared" si="7"/>
        <v>0</v>
      </c>
      <c r="X28" s="170">
        <v>0</v>
      </c>
      <c r="Y28" s="170">
        <v>0</v>
      </c>
      <c r="Z28" s="146">
        <f t="shared" si="9"/>
        <v>0</v>
      </c>
      <c r="AA28" s="149">
        <f>IF(AND('Cap Table'!R$63=0,X28&gt;0),U28/'Cap Table'!R$62,IFERROR(IF(U28=0,'Cap Table'!R$63*(1-T28),MIN('Cap Table'!R$63*(1-T28),U28/'Cap Table'!R$62)),0))</f>
        <v>0</v>
      </c>
      <c r="AB28" s="170">
        <f t="shared" si="83"/>
        <v>0</v>
      </c>
      <c r="AC28" s="170">
        <f>-AC27+'Cap Table'!R86+'Cap Table'!R87</f>
        <v>0</v>
      </c>
      <c r="AD28" s="146">
        <f t="shared" si="10"/>
        <v>0</v>
      </c>
      <c r="AE28" s="146">
        <f t="shared" si="11"/>
        <v>0</v>
      </c>
      <c r="AF28" s="146">
        <f t="shared" si="84"/>
        <v>0</v>
      </c>
      <c r="AG28" s="147">
        <f t="shared" ca="1" si="12"/>
        <v>0</v>
      </c>
      <c r="AH28" s="146">
        <f>AF28*'Cap Table'!R$63</f>
        <v>0</v>
      </c>
      <c r="AI28" s="146">
        <f>IFERROR(IF(OR(Q28='Cap Table'!$B$40,Q28='Cap Table'!$B$41,Q28='Cap Table'!$B$42,Q28='Cap Table'!$B$43),IF(SUM(S28)&lt;SUM(R28),(FV(V28/12,DATEDIF(P28,'Cap Table'!R$61,"m"),0,-R28))/(U28/'Cap Table'!$R$62)/IF(Q28=$B$42,(1-W$29),1),AF28),AF28),0)</f>
        <v>0</v>
      </c>
      <c r="AJ28" s="147">
        <f t="shared" ca="1" si="13"/>
        <v>0</v>
      </c>
      <c r="AL28" s="168">
        <f ca="1">AN$61</f>
        <v>44551</v>
      </c>
      <c r="AM28" s="168" t="s">
        <v>447</v>
      </c>
      <c r="AN28" s="170">
        <v>0</v>
      </c>
      <c r="AO28" s="170">
        <f>IF('Cap Table'!AN$80&lt;&gt;"na",IF(Q28='Cap Table'!$B$40,R28-S28,0),0)</f>
        <v>0</v>
      </c>
      <c r="AP28" s="179">
        <v>0</v>
      </c>
      <c r="AQ28" s="150">
        <v>0</v>
      </c>
      <c r="AR28" s="180">
        <v>0</v>
      </c>
      <c r="AS28" s="293">
        <f t="shared" si="19"/>
        <v>0</v>
      </c>
      <c r="AT28" s="170">
        <f ca="1">FV(AR28/1,DATEDIF(AL28,'Cap Table'!AN$61,"y"),0,-AO28)</f>
        <v>0</v>
      </c>
      <c r="AU28" s="170">
        <f t="shared" ca="1" si="106"/>
        <v>0</v>
      </c>
      <c r="AV28" s="170">
        <f t="shared" ca="1" si="20"/>
        <v>0</v>
      </c>
      <c r="AW28" s="149">
        <f ca="1">IF(AND('Cap Table'!AN$63=0,AT28&gt;0),AQ28/IF(AM28=$B$42,AI$56,'Cap Table'!AN$62),IFERROR(IF(AQ28=0,'Cap Table'!AN$63*(1-AP28),MIN('Cap Table'!AN$63*(1-AP28),AQ28/IF(AM28=$B$42,AI$56,'Cap Table'!AN$62))),0))</f>
        <v>0</v>
      </c>
      <c r="AX28" s="170">
        <f t="shared" ca="1" si="85"/>
        <v>0</v>
      </c>
      <c r="AY28" s="170">
        <f ca="1">-AY27+'Cap Table'!AN86+'Cap Table'!AN87</f>
        <v>0</v>
      </c>
      <c r="AZ28" s="170">
        <f t="shared" ca="1" si="21"/>
        <v>0</v>
      </c>
      <c r="BA28" s="170">
        <f t="shared" ca="1" si="22"/>
        <v>0</v>
      </c>
      <c r="BB28" s="170">
        <f t="shared" ca="1" si="86"/>
        <v>0</v>
      </c>
      <c r="BC28" s="179">
        <f t="shared" ca="1" si="23"/>
        <v>0</v>
      </c>
      <c r="BD28" s="170">
        <f ca="1">BB28*'Cap Table'!AN$63</f>
        <v>0</v>
      </c>
      <c r="BE28" s="173">
        <f ca="1">IFERROR(IF(OR(AM28='Cap Table'!$B$40,AM28='Cap Table'!$B$41,AM28='Cap Table'!$B$42,AM28='Cap Table'!$B$43),IF(SUM(AO28,S28)&lt;SUM(AN28,R28),FV(MAX(AR28,V28)/12,DATEDIF(AL28,'Cap Table'!$AN$61,"m"),0,-MAX(AN28,R28))/(MAX(AQ28,U28)/'Cap Table'!$AN$62)/IF(AM28=$B$42,(1-MAX(W49,AS$29)),1),BB28),BB28),0)</f>
        <v>0</v>
      </c>
      <c r="BF28" s="179">
        <f t="shared" ca="1" si="24"/>
        <v>0</v>
      </c>
      <c r="BH28" s="168">
        <f ca="1">BJ$61</f>
        <v>44916</v>
      </c>
      <c r="BI28" s="168" t="s">
        <v>447</v>
      </c>
      <c r="BJ28" s="170">
        <v>0</v>
      </c>
      <c r="BK28" s="170">
        <f>IF('Cap Table'!BJ$80&lt;&gt;"na",IF(AM28='Cap Table'!$B$40,AN28-AO28,0),0)</f>
        <v>0</v>
      </c>
      <c r="BL28" s="179">
        <v>0</v>
      </c>
      <c r="BM28" s="150">
        <v>0</v>
      </c>
      <c r="BN28" s="180">
        <v>0</v>
      </c>
      <c r="BO28" s="293">
        <f t="shared" si="29"/>
        <v>0</v>
      </c>
      <c r="BP28" s="170">
        <f ca="1">FV(BN28/1,DATEDIF(BH28,'Cap Table'!BJ$61,"y"),0,-BK28)</f>
        <v>0</v>
      </c>
      <c r="BQ28" s="170">
        <f t="shared" ca="1" si="107"/>
        <v>0</v>
      </c>
      <c r="BR28" s="170">
        <f t="shared" ca="1" si="30"/>
        <v>0</v>
      </c>
      <c r="BS28" s="149">
        <f ca="1">IF(AND('Cap Table'!BJ$63=0,BP28&gt;0),BM28/IF(BI28=$B$42,BE$56,'Cap Table'!BJ$62),IFERROR(IF(BM28=0,'Cap Table'!BJ$63*(1-BL28),MIN('Cap Table'!BJ$63*(1-BL28),BM28/IF(BI28=$B$42,BE$56,'Cap Table'!BJ$62))),0))</f>
        <v>0</v>
      </c>
      <c r="BT28" s="170">
        <f t="shared" ca="1" si="88"/>
        <v>0</v>
      </c>
      <c r="BU28" s="170">
        <f ca="1">-BU27+'Cap Table'!BJ86+'Cap Table'!BJ87</f>
        <v>0</v>
      </c>
      <c r="BV28" s="170">
        <f t="shared" ca="1" si="31"/>
        <v>0</v>
      </c>
      <c r="BW28" s="170">
        <f t="shared" ca="1" si="32"/>
        <v>0</v>
      </c>
      <c r="BX28" s="170">
        <f t="shared" ca="1" si="89"/>
        <v>0</v>
      </c>
      <c r="BY28" s="179">
        <f t="shared" ca="1" si="33"/>
        <v>0</v>
      </c>
      <c r="BZ28" s="170">
        <f ca="1">BX28*'Cap Table'!BJ$63</f>
        <v>0</v>
      </c>
      <c r="CA28" s="173">
        <f ca="1">IFERROR(IF(OR(BI28='Cap Table'!$B$40,BI28='Cap Table'!$B$41,BI28='Cap Table'!$B$42,BI28='Cap Table'!$B$43),IF(SUM(BK28,AO28,S28)&lt;SUM(BJ28,AN28,R28),FV(MAX(BN28,AR28,V28)/12,DATEDIF(BH28,'Cap Table'!$BJ$61,"m"),0,-MAX(BJ28,AN28,R28))/(MAX(BM28,AQ28,U28)/'Cap Table'!$BJ$62)/IF(BI28=$B$42,(1-MAX(BO$29,AS$29,W$29)),1),BX28),BX28),0)</f>
        <v>0</v>
      </c>
      <c r="CB28" s="179">
        <f t="shared" ca="1" si="34"/>
        <v>0</v>
      </c>
      <c r="CD28" s="168">
        <f ca="1">CF$61</f>
        <v>45281</v>
      </c>
      <c r="CE28" s="168" t="s">
        <v>447</v>
      </c>
      <c r="CF28" s="170">
        <v>0</v>
      </c>
      <c r="CG28" s="170">
        <f>IF('Cap Table'!CF$80&lt;&gt;"na",IF(BI28='Cap Table'!$B$40,BJ28-BK28,0),0)</f>
        <v>0</v>
      </c>
      <c r="CH28" s="179">
        <v>0</v>
      </c>
      <c r="CI28" s="150">
        <v>0</v>
      </c>
      <c r="CJ28" s="180">
        <v>0</v>
      </c>
      <c r="CK28" s="293">
        <f t="shared" si="39"/>
        <v>0</v>
      </c>
      <c r="CL28" s="170">
        <f ca="1">FV(CJ28/1,DATEDIF(CD28,'Cap Table'!CF$61,"y"),0,-CG28)</f>
        <v>0</v>
      </c>
      <c r="CM28" s="170">
        <f t="shared" ca="1" si="108"/>
        <v>0</v>
      </c>
      <c r="CN28" s="170">
        <f t="shared" ca="1" si="40"/>
        <v>0</v>
      </c>
      <c r="CO28" s="149">
        <f ca="1">IF(AND('Cap Table'!CF$63=0,CL28&gt;0),CI28/IF(CE28=$B$42,CA$56,'Cap Table'!CF$62),IFERROR(IF(CI28=0,'Cap Table'!CF$63*(1-CH28),MIN('Cap Table'!CF$63*(1-CH28),CI28/IF(CE28=$B$42,CA$56,'Cap Table'!CF$62))),0))</f>
        <v>0</v>
      </c>
      <c r="CP28" s="170">
        <f t="shared" ca="1" si="91"/>
        <v>0</v>
      </c>
      <c r="CQ28" s="170">
        <f ca="1">-CQ27+'Cap Table'!CF86+'Cap Table'!CF87</f>
        <v>0</v>
      </c>
      <c r="CR28" s="170">
        <f t="shared" ca="1" si="41"/>
        <v>0</v>
      </c>
      <c r="CS28" s="170">
        <f t="shared" ca="1" si="42"/>
        <v>0</v>
      </c>
      <c r="CT28" s="170">
        <f t="shared" ca="1" si="92"/>
        <v>0</v>
      </c>
      <c r="CU28" s="147">
        <f t="shared" ca="1" si="43"/>
        <v>0</v>
      </c>
      <c r="CV28" s="146">
        <f ca="1">CT28*'Cap Table'!CF$63</f>
        <v>0</v>
      </c>
      <c r="CW28" s="173">
        <f ca="1">IFERROR(IF(OR(CE28='Cap Table'!$B$40,CE28='Cap Table'!$B$41,CE28='Cap Table'!$B$42,CE28='Cap Table'!$B$43),IF(SUM(CG28,BK28,AO28,S28)&lt;SUM(CF28,BJ28,AN28,R28),FV(MAX(CJ28,BN28,AR28,V28)/12,DATEDIF(CD28,'Cap Table'!$CF$61,"m"),0,-MAX(CF28,BJ28,AN28,R28))/(MAX(CI28,BM28,AQ28,U28)/'Cap Table'!$CF$62)/IF(CE28=$B$42,(1-MAX(CK$29,BO$29,AS$29,W$29)),1),CT28),CT28),0)</f>
        <v>0</v>
      </c>
      <c r="CX28" s="179">
        <f t="shared" ca="1" si="44"/>
        <v>0</v>
      </c>
      <c r="CZ28" s="168">
        <f ca="1">DB$61</f>
        <v>45647</v>
      </c>
      <c r="DA28" s="168" t="s">
        <v>447</v>
      </c>
      <c r="DB28" s="170">
        <v>0</v>
      </c>
      <c r="DC28" s="170">
        <f>IF('Cap Table'!DB$80&lt;&gt;"na",IF(CE28='Cap Table'!$B$40,CF28-CG28,0),0)</f>
        <v>0</v>
      </c>
      <c r="DD28" s="179">
        <v>0</v>
      </c>
      <c r="DE28" s="150">
        <v>0</v>
      </c>
      <c r="DF28" s="180">
        <v>0</v>
      </c>
      <c r="DG28" s="293">
        <f t="shared" si="49"/>
        <v>0</v>
      </c>
      <c r="DH28" s="170">
        <f ca="1">FV(DF28/1,DATEDIF(CZ28,'Cap Table'!DB$61,"y"),0,-DC28)</f>
        <v>0</v>
      </c>
      <c r="DI28" s="170">
        <f t="shared" ca="1" si="109"/>
        <v>0</v>
      </c>
      <c r="DJ28" s="170">
        <f t="shared" ca="1" si="50"/>
        <v>0</v>
      </c>
      <c r="DK28" s="149">
        <f ca="1">IF(AND('Cap Table'!DB$63=0,DH28&gt;0),DE28/'Cap Table'!DB$62,IFERROR(IF(DE28=0,'Cap Table'!DB$63*(1-DD28),MIN('Cap Table'!DB$63*(1-DD28),DE28/'Cap Table'!DB$62)),0))</f>
        <v>0</v>
      </c>
      <c r="DL28" s="170">
        <f t="shared" ca="1" si="94"/>
        <v>0</v>
      </c>
      <c r="DM28" s="170">
        <f ca="1">-DM27+'Cap Table'!DB86+'Cap Table'!DB87</f>
        <v>0</v>
      </c>
      <c r="DN28" s="170">
        <f t="shared" ca="1" si="51"/>
        <v>0</v>
      </c>
      <c r="DO28" s="170">
        <f t="shared" ca="1" si="52"/>
        <v>0</v>
      </c>
      <c r="DP28" s="170">
        <f t="shared" ca="1" si="95"/>
        <v>0</v>
      </c>
      <c r="DQ28" s="179">
        <f t="shared" ca="1" si="53"/>
        <v>0</v>
      </c>
      <c r="DR28" s="146">
        <f ca="1">DP28*'Cap Table'!DB$63</f>
        <v>0</v>
      </c>
      <c r="DS28" s="173">
        <f ca="1">IFERROR(IF(OR(DA28='Cap Table'!$B$40,DA28='Cap Table'!$B$41,DA28='Cap Table'!$B$42,DA28='Cap Table'!$B$43),IF(SUM(DC28,CG28,BK28,AO28,S28,)&lt;SUM(DB28,CF28,BJ28,AN28,R28),FV(MAX(DF28,CJ28,BN28,AR28,V28)/12,DATEDIF(CZ28,'Cap Table'!$DB$61,"m"),0,-MAX(DB28,CF28,BJ28,AN28,R28))/(MAX(DE28,CI28,BM28,AQ28,U28,)/'Cap Table'!$DB$62)/IF(DA28=$B$42,(1-MAX(DG$29,CK$29,BO$29,AS$29,W$29)),1),DP28),DP28),0)</f>
        <v>0</v>
      </c>
      <c r="DT28" s="179">
        <f t="shared" ca="1" si="54"/>
        <v>0</v>
      </c>
      <c r="DV28" s="168">
        <f ca="1">DX$61</f>
        <v>46012</v>
      </c>
      <c r="DW28" s="168" t="s">
        <v>447</v>
      </c>
      <c r="DX28" s="170">
        <v>0</v>
      </c>
      <c r="DY28" s="170">
        <f>IF('Cap Table'!DX$80&lt;&gt;"na",IF(DA28='Cap Table'!$B$40,DB28-DC28,0),0)</f>
        <v>0</v>
      </c>
      <c r="DZ28" s="179">
        <v>0</v>
      </c>
      <c r="EA28" s="150">
        <v>0</v>
      </c>
      <c r="EB28" s="180">
        <v>0</v>
      </c>
      <c r="EC28" s="293">
        <f t="shared" si="59"/>
        <v>0</v>
      </c>
      <c r="ED28" s="170">
        <f ca="1">FV(EB28/1,DATEDIF(DV28,'Cap Table'!DX$61,"y"),0,-DY28)</f>
        <v>0</v>
      </c>
      <c r="EE28" s="170">
        <f t="shared" ca="1" si="110"/>
        <v>0</v>
      </c>
      <c r="EF28" s="170">
        <f t="shared" ca="1" si="60"/>
        <v>0</v>
      </c>
      <c r="EG28" s="149">
        <f ca="1">IF(AND('Cap Table'!DX$63=0,ED28&gt;0),EA28/IF(DA28=$B$42,DS$56,'Cap Table'!DX$62),IFERROR(IF(EA28=0,'Cap Table'!DX$63*(1-DZ28),MIN('Cap Table'!DX$63*(1-DZ28),EA28/IF(DA28=$B$42,DS$56,'Cap Table'!DX$62))),0))</f>
        <v>0</v>
      </c>
      <c r="EH28" s="170">
        <f t="shared" ca="1" si="97"/>
        <v>0</v>
      </c>
      <c r="EI28" s="170">
        <f ca="1">-EI27+'Cap Table'!DX86+'Cap Table'!DX87</f>
        <v>0</v>
      </c>
      <c r="EJ28" s="170">
        <f t="shared" ca="1" si="98"/>
        <v>0</v>
      </c>
      <c r="EK28" s="170">
        <f ca="1">EI28+DO28</f>
        <v>0</v>
      </c>
      <c r="EL28" s="170">
        <f t="shared" ca="1" si="99"/>
        <v>0</v>
      </c>
      <c r="EM28" s="179">
        <f t="shared" ca="1" si="62"/>
        <v>0</v>
      </c>
      <c r="EN28" s="170">
        <f ca="1">EL28*'Cap Table'!DX$63</f>
        <v>0</v>
      </c>
      <c r="EO28" s="173">
        <f ca="1">IFERROR(IF(OR(DW28='Cap Table'!$B$40,DW28='Cap Table'!$B$41,DW28='Cap Table'!$B$42,DW28='Cap Table'!$B$43),IF(SUM(DY28,DC28,CG28,BK28,AO28,S28)&lt;SUM(DX28,DB28,CF28,BJ28,AN28,R28),FV(MAX(EB28,DF28,CJ28,BN28,AR28,V28)/12,DATEDIF(DV28,'Cap Table'!DX$61,"m"),0,-MAX(DX28,DB28,CF28,BJ28,AN28,R28))/(MAX(EA28,DE28,CI28,BM28,AQ28,U28)/'Cap Table'!$DX$62)/IF(DW28=$B$42,(1-MAX(EC$29,DG$29,CK$29,BO$29,AS$29,W$29)),1),EL28),EL28),0)</f>
        <v>0</v>
      </c>
      <c r="EP28" s="179">
        <f t="shared" ca="1" si="63"/>
        <v>0</v>
      </c>
      <c r="ER28" s="146">
        <f t="shared" si="64"/>
        <v>0</v>
      </c>
      <c r="ES28" s="146">
        <f t="shared" si="65"/>
        <v>0</v>
      </c>
      <c r="ET28" s="174" t="s">
        <v>27</v>
      </c>
      <c r="EU28" s="174" t="s">
        <v>27</v>
      </c>
      <c r="EV28" s="174" t="s">
        <v>27</v>
      </c>
      <c r="EW28" s="146">
        <f t="shared" ca="1" si="66"/>
        <v>0</v>
      </c>
      <c r="EX28" s="146">
        <f t="shared" ca="1" si="67"/>
        <v>0</v>
      </c>
      <c r="EY28" s="146">
        <f t="shared" ca="1" si="68"/>
        <v>0</v>
      </c>
      <c r="EZ28" s="149">
        <f t="shared" ca="1" si="105"/>
        <v>0</v>
      </c>
      <c r="FA28" s="146">
        <f t="shared" ca="1" si="69"/>
        <v>0</v>
      </c>
      <c r="FB28" s="146">
        <f t="shared" ca="1" si="70"/>
        <v>0</v>
      </c>
      <c r="FC28" s="146">
        <f t="shared" ca="1" si="100"/>
        <v>0</v>
      </c>
      <c r="FD28" s="146">
        <f t="shared" ca="1" si="100"/>
        <v>0</v>
      </c>
      <c r="FE28" s="146">
        <f t="shared" ca="1" si="100"/>
        <v>0</v>
      </c>
      <c r="FF28" s="147">
        <f t="shared" ca="1" si="71"/>
        <v>0</v>
      </c>
      <c r="FG28" s="146">
        <f t="shared" ca="1" si="101"/>
        <v>0</v>
      </c>
      <c r="FH28" s="146">
        <f t="shared" ca="1" si="101"/>
        <v>0</v>
      </c>
      <c r="FI28" s="147">
        <f t="shared" ca="1" si="72"/>
        <v>0</v>
      </c>
      <c r="FK28" s="149" t="str">
        <f t="shared" si="0"/>
        <v>Options</v>
      </c>
      <c r="FL28" s="146">
        <f t="shared" ca="1" si="73"/>
        <v>0</v>
      </c>
      <c r="FM28" s="146">
        <f t="shared" ca="1" si="74"/>
        <v>0</v>
      </c>
      <c r="FN28" s="146">
        <f t="shared" ca="1" si="75"/>
        <v>0</v>
      </c>
      <c r="FP28" s="146" t="str">
        <f t="shared" si="76"/>
        <v>Options</v>
      </c>
      <c r="FQ28" s="174" t="str">
        <f t="shared" ca="1" si="77"/>
        <v>na</v>
      </c>
      <c r="FR28" s="174" t="str">
        <f t="shared" ca="1" si="78"/>
        <v>na</v>
      </c>
      <c r="FS28" s="174" t="str">
        <f t="shared" ca="1" si="79"/>
        <v>na</v>
      </c>
    </row>
    <row r="29" spans="2:175">
      <c r="B29" s="176" t="s">
        <v>20</v>
      </c>
      <c r="C29" s="176"/>
      <c r="D29" s="151"/>
      <c r="E29" s="182"/>
      <c r="G29" s="182"/>
      <c r="H29" s="182"/>
      <c r="I29" s="183">
        <f t="shared" ref="I29:N29" si="111">SUM(I6:I28)</f>
        <v>0</v>
      </c>
      <c r="J29" s="183">
        <f t="shared" si="111"/>
        <v>0</v>
      </c>
      <c r="K29" s="183">
        <f t="shared" si="111"/>
        <v>0</v>
      </c>
      <c r="L29" s="152">
        <f t="shared" si="111"/>
        <v>0</v>
      </c>
      <c r="M29" s="183">
        <f t="shared" si="111"/>
        <v>0</v>
      </c>
      <c r="N29" s="152">
        <f t="shared" si="111"/>
        <v>0</v>
      </c>
      <c r="O29" s="148"/>
      <c r="P29" s="182"/>
      <c r="Q29" s="182"/>
      <c r="R29" s="183">
        <f>SUM(R6:R28)</f>
        <v>0</v>
      </c>
      <c r="S29" s="183">
        <f>SUM(S6:S28)</f>
        <v>0</v>
      </c>
      <c r="T29" s="151"/>
      <c r="U29" s="151"/>
      <c r="V29" s="151"/>
      <c r="W29" s="294">
        <f>SUM(W6:W28)</f>
        <v>0</v>
      </c>
      <c r="X29" s="183">
        <f ca="1">SUM(X6:X28)</f>
        <v>0</v>
      </c>
      <c r="Y29" s="183">
        <f ca="1">SUM(Y6:Y28)</f>
        <v>0</v>
      </c>
      <c r="Z29" s="183">
        <f ca="1">SUM(Z6:Z28)</f>
        <v>0</v>
      </c>
      <c r="AA29" s="151">
        <f ca="1">IFERROR(Z29/AB29,0)</f>
        <v>0</v>
      </c>
      <c r="AB29" s="183">
        <f t="shared" ref="AB29:AJ29" ca="1" si="112">SUM(AB6:AB28)</f>
        <v>0</v>
      </c>
      <c r="AC29" s="183">
        <f t="shared" si="112"/>
        <v>0</v>
      </c>
      <c r="AD29" s="183">
        <f t="shared" ca="1" si="112"/>
        <v>0</v>
      </c>
      <c r="AE29" s="183">
        <f t="shared" si="112"/>
        <v>0</v>
      </c>
      <c r="AF29" s="183">
        <f t="shared" ca="1" si="112"/>
        <v>0</v>
      </c>
      <c r="AG29" s="152">
        <f t="shared" ca="1" si="112"/>
        <v>0</v>
      </c>
      <c r="AH29" s="183">
        <f t="shared" ca="1" si="112"/>
        <v>0</v>
      </c>
      <c r="AI29" s="183">
        <f t="shared" ca="1" si="112"/>
        <v>0</v>
      </c>
      <c r="AJ29" s="152">
        <f t="shared" ca="1" si="112"/>
        <v>0</v>
      </c>
      <c r="AL29" s="182"/>
      <c r="AM29" s="182"/>
      <c r="AN29" s="183">
        <f>SUM(AN6:AN28)</f>
        <v>0</v>
      </c>
      <c r="AO29" s="183">
        <f>SUM(AO6:AO28)</f>
        <v>0</v>
      </c>
      <c r="AP29" s="151"/>
      <c r="AQ29" s="151"/>
      <c r="AR29" s="151"/>
      <c r="AS29" s="294">
        <f>SUM(AS6:AS28)</f>
        <v>0</v>
      </c>
      <c r="AT29" s="183">
        <f ca="1">SUM(AT6:AT28)</f>
        <v>0</v>
      </c>
      <c r="AU29" s="183">
        <f ca="1">SUM(AU6:AU28)</f>
        <v>0</v>
      </c>
      <c r="AV29" s="183">
        <f ca="1">SUM(AV6:AV28)</f>
        <v>0</v>
      </c>
      <c r="AW29" s="151">
        <f ca="1">IFERROR(AV29/AX29,0)</f>
        <v>0</v>
      </c>
      <c r="AX29" s="183">
        <f t="shared" ref="AX29:BF29" ca="1" si="113">SUM(AX6:AX28)</f>
        <v>0</v>
      </c>
      <c r="AY29" s="183">
        <f t="shared" ca="1" si="113"/>
        <v>0</v>
      </c>
      <c r="AZ29" s="183">
        <f t="shared" ca="1" si="113"/>
        <v>0</v>
      </c>
      <c r="BA29" s="183">
        <f t="shared" ca="1" si="113"/>
        <v>0</v>
      </c>
      <c r="BB29" s="183">
        <f t="shared" ca="1" si="113"/>
        <v>0</v>
      </c>
      <c r="BC29" s="152">
        <f t="shared" ca="1" si="113"/>
        <v>0</v>
      </c>
      <c r="BD29" s="183">
        <f t="shared" ca="1" si="113"/>
        <v>0</v>
      </c>
      <c r="BE29" s="183">
        <f t="shared" ca="1" si="113"/>
        <v>0</v>
      </c>
      <c r="BF29" s="152">
        <f t="shared" ca="1" si="113"/>
        <v>0</v>
      </c>
      <c r="BH29" s="182"/>
      <c r="BI29" s="182"/>
      <c r="BJ29" s="183">
        <f>SUM(BJ6:BJ28)</f>
        <v>0</v>
      </c>
      <c r="BK29" s="183">
        <f>SUM(BK6:BK28)</f>
        <v>0</v>
      </c>
      <c r="BL29" s="151"/>
      <c r="BM29" s="151"/>
      <c r="BN29" s="151"/>
      <c r="BO29" s="294">
        <f>SUM(BO6:BO28)</f>
        <v>0</v>
      </c>
      <c r="BP29" s="183">
        <f ca="1">SUM(BP6:BP28)</f>
        <v>0</v>
      </c>
      <c r="BQ29" s="183">
        <f ca="1">SUM(BQ6:BQ28)</f>
        <v>0</v>
      </c>
      <c r="BR29" s="183">
        <f ca="1">SUM(BR6:BR28)</f>
        <v>0</v>
      </c>
      <c r="BS29" s="151">
        <f ca="1">IFERROR(BR29/BT29,0)</f>
        <v>0</v>
      </c>
      <c r="BT29" s="183">
        <f t="shared" ref="BT29:CB29" ca="1" si="114">SUM(BT6:BT28)</f>
        <v>0</v>
      </c>
      <c r="BU29" s="183">
        <f t="shared" ca="1" si="114"/>
        <v>0</v>
      </c>
      <c r="BV29" s="183">
        <f t="shared" ca="1" si="114"/>
        <v>0</v>
      </c>
      <c r="BW29" s="183">
        <f t="shared" ca="1" si="114"/>
        <v>0</v>
      </c>
      <c r="BX29" s="183">
        <f t="shared" ca="1" si="114"/>
        <v>0</v>
      </c>
      <c r="BY29" s="152">
        <f t="shared" ca="1" si="114"/>
        <v>0</v>
      </c>
      <c r="BZ29" s="183">
        <f t="shared" ca="1" si="114"/>
        <v>0</v>
      </c>
      <c r="CA29" s="183">
        <f t="shared" ca="1" si="114"/>
        <v>0</v>
      </c>
      <c r="CB29" s="152">
        <f t="shared" ca="1" si="114"/>
        <v>0</v>
      </c>
      <c r="CD29" s="182"/>
      <c r="CE29" s="182"/>
      <c r="CF29" s="183">
        <f>SUM(CF6:CF28)</f>
        <v>0</v>
      </c>
      <c r="CG29" s="183">
        <f>SUM(CG6:CG28)</f>
        <v>0</v>
      </c>
      <c r="CH29" s="151"/>
      <c r="CI29" s="151"/>
      <c r="CJ29" s="151"/>
      <c r="CK29" s="294">
        <f>SUM(CK6:CK28)</f>
        <v>0</v>
      </c>
      <c r="CL29" s="183">
        <f ca="1">SUM(CL6:CL28)</f>
        <v>0</v>
      </c>
      <c r="CM29" s="183">
        <f ca="1">SUM(CM6:CM28)</f>
        <v>0</v>
      </c>
      <c r="CN29" s="183">
        <f ca="1">SUM(CN6:CN28)</f>
        <v>0</v>
      </c>
      <c r="CO29" s="151">
        <f ca="1">IFERROR(CN29/CP29,0)</f>
        <v>0</v>
      </c>
      <c r="CP29" s="183">
        <f t="shared" ref="CP29:CX29" ca="1" si="115">SUM(CP6:CP28)</f>
        <v>0</v>
      </c>
      <c r="CQ29" s="183">
        <f t="shared" ca="1" si="115"/>
        <v>0</v>
      </c>
      <c r="CR29" s="183">
        <f t="shared" ca="1" si="115"/>
        <v>0</v>
      </c>
      <c r="CS29" s="183">
        <f t="shared" ca="1" si="115"/>
        <v>0</v>
      </c>
      <c r="CT29" s="183">
        <f t="shared" ca="1" si="115"/>
        <v>0</v>
      </c>
      <c r="CU29" s="152">
        <f t="shared" ca="1" si="115"/>
        <v>0</v>
      </c>
      <c r="CV29" s="183">
        <f t="shared" ca="1" si="115"/>
        <v>0</v>
      </c>
      <c r="CW29" s="183">
        <f t="shared" ca="1" si="115"/>
        <v>0</v>
      </c>
      <c r="CX29" s="152">
        <f t="shared" ca="1" si="115"/>
        <v>0</v>
      </c>
      <c r="CZ29" s="182"/>
      <c r="DA29" s="182"/>
      <c r="DB29" s="183">
        <f>SUM(DB6:DB28)</f>
        <v>0</v>
      </c>
      <c r="DC29" s="183">
        <f>SUM(DC6:DC28)</f>
        <v>0</v>
      </c>
      <c r="DD29" s="151"/>
      <c r="DE29" s="151"/>
      <c r="DF29" s="151"/>
      <c r="DG29" s="294">
        <f>SUM(DG6:DG28)</f>
        <v>0</v>
      </c>
      <c r="DH29" s="183">
        <f ca="1">SUM(DH6:DH28)</f>
        <v>0</v>
      </c>
      <c r="DI29" s="183">
        <f ca="1">SUM(DI6:DI28)</f>
        <v>0</v>
      </c>
      <c r="DJ29" s="183">
        <f ca="1">SUM(DJ6:DJ28)</f>
        <v>0</v>
      </c>
      <c r="DK29" s="151">
        <f ca="1">IFERROR(DJ29/DL29,0)</f>
        <v>0</v>
      </c>
      <c r="DL29" s="183">
        <f t="shared" ref="DL29:DT29" ca="1" si="116">SUM(DL6:DL28)</f>
        <v>0</v>
      </c>
      <c r="DM29" s="183">
        <f t="shared" ca="1" si="116"/>
        <v>0</v>
      </c>
      <c r="DN29" s="183">
        <f t="shared" ca="1" si="116"/>
        <v>0</v>
      </c>
      <c r="DO29" s="183">
        <f t="shared" ca="1" si="116"/>
        <v>0</v>
      </c>
      <c r="DP29" s="183">
        <f t="shared" ca="1" si="116"/>
        <v>0</v>
      </c>
      <c r="DQ29" s="152">
        <f t="shared" ca="1" si="116"/>
        <v>0</v>
      </c>
      <c r="DR29" s="183">
        <f t="shared" ca="1" si="116"/>
        <v>0</v>
      </c>
      <c r="DS29" s="183">
        <f t="shared" ca="1" si="116"/>
        <v>0</v>
      </c>
      <c r="DT29" s="152">
        <f t="shared" ca="1" si="116"/>
        <v>0</v>
      </c>
      <c r="DV29" s="182"/>
      <c r="DW29" s="182"/>
      <c r="DX29" s="183">
        <f>SUM(DX6:DX28)</f>
        <v>0</v>
      </c>
      <c r="DY29" s="183">
        <f>SUM(DY6:DY28)</f>
        <v>0</v>
      </c>
      <c r="DZ29" s="151"/>
      <c r="EA29" s="151"/>
      <c r="EB29" s="151"/>
      <c r="EC29" s="294">
        <f>SUM(EC6:EC28)</f>
        <v>0</v>
      </c>
      <c r="ED29" s="183">
        <f ca="1">SUM(ED6:ED28)</f>
        <v>0</v>
      </c>
      <c r="EE29" s="183">
        <f ca="1">SUM(EE6:EE28)</f>
        <v>0</v>
      </c>
      <c r="EF29" s="183">
        <f ca="1">SUM(EF6:EF28)</f>
        <v>0</v>
      </c>
      <c r="EG29" s="151">
        <f ca="1">IFERROR(EF29/EH29,0)</f>
        <v>0</v>
      </c>
      <c r="EH29" s="183">
        <f t="shared" ref="EH29:EP29" ca="1" si="117">SUM(EH6:EH28)</f>
        <v>0</v>
      </c>
      <c r="EI29" s="183">
        <f t="shared" ca="1" si="117"/>
        <v>0</v>
      </c>
      <c r="EJ29" s="183">
        <f t="shared" ca="1" si="117"/>
        <v>0</v>
      </c>
      <c r="EK29" s="183">
        <f t="shared" ca="1" si="117"/>
        <v>0</v>
      </c>
      <c r="EL29" s="183">
        <f t="shared" ca="1" si="117"/>
        <v>0</v>
      </c>
      <c r="EM29" s="152">
        <f t="shared" ca="1" si="117"/>
        <v>0</v>
      </c>
      <c r="EN29" s="183">
        <f t="shared" ca="1" si="117"/>
        <v>0</v>
      </c>
      <c r="EO29" s="183">
        <f t="shared" ca="1" si="117"/>
        <v>0</v>
      </c>
      <c r="EP29" s="152">
        <f t="shared" ca="1" si="117"/>
        <v>0</v>
      </c>
      <c r="ER29" s="183">
        <f>SUM(ER6:ER28)</f>
        <v>0</v>
      </c>
      <c r="ES29" s="183">
        <f>SUM(ES6:ES28)</f>
        <v>0</v>
      </c>
      <c r="ET29" s="151"/>
      <c r="EU29" s="151"/>
      <c r="EV29" s="151"/>
      <c r="EW29" s="183">
        <f ca="1">SUM(EW6:EW28)</f>
        <v>0</v>
      </c>
      <c r="EX29" s="183">
        <f ca="1">SUM(EX6:EX28)</f>
        <v>0</v>
      </c>
      <c r="EY29" s="183">
        <f ca="1">SUM(EY6:EY28)</f>
        <v>0</v>
      </c>
      <c r="EZ29" s="151">
        <f t="shared" ca="1" si="105"/>
        <v>0</v>
      </c>
      <c r="FA29" s="183">
        <f ca="1">SUM(FA6:FA28)</f>
        <v>0</v>
      </c>
      <c r="FB29" s="183">
        <f ca="1">SUM(FB6:FB28)</f>
        <v>0</v>
      </c>
      <c r="FC29" s="183">
        <f ca="1">SUM(FC6:FC28)</f>
        <v>0</v>
      </c>
      <c r="FD29" s="183">
        <f ca="1">SUM(FD6:FD28)</f>
        <v>0</v>
      </c>
      <c r="FE29" s="183">
        <f ca="1">SUM(FE6:FE28)</f>
        <v>0</v>
      </c>
      <c r="FF29" s="152">
        <f t="shared" ca="1" si="71"/>
        <v>0</v>
      </c>
      <c r="FG29" s="183">
        <f ca="1">SUM(FG6:FG28)</f>
        <v>0</v>
      </c>
      <c r="FH29" s="183">
        <f ca="1">SUM(FH6:FH28)</f>
        <v>0</v>
      </c>
      <c r="FI29" s="152">
        <f t="shared" ca="1" si="72"/>
        <v>0</v>
      </c>
      <c r="FL29" s="183">
        <f ca="1">SUM(FL6:FL28)</f>
        <v>0</v>
      </c>
      <c r="FM29" s="183">
        <f ca="1">SUM(FM6:FM28)</f>
        <v>0</v>
      </c>
      <c r="FN29" s="183">
        <f ca="1">SUM(FN6:FN28)</f>
        <v>0</v>
      </c>
      <c r="FQ29" s="183">
        <f ca="1">SUM(FQ6:FQ28)</f>
        <v>0</v>
      </c>
      <c r="FR29" s="183">
        <f ca="1">SUM(FR6:FR28)</f>
        <v>0</v>
      </c>
      <c r="FS29" s="183">
        <f ca="1">SUM(FS6:FS28)</f>
        <v>0</v>
      </c>
    </row>
    <row r="30" spans="2:175">
      <c r="B30" s="176"/>
      <c r="C30" s="176"/>
      <c r="D30" s="176"/>
      <c r="BH30" s="155"/>
      <c r="BI30" s="155"/>
      <c r="CD30" s="155"/>
      <c r="CE30" s="155"/>
      <c r="CZ30" s="155"/>
      <c r="DA30" s="155"/>
      <c r="DV30" s="155"/>
      <c r="DW30" s="155"/>
    </row>
    <row r="31" spans="2:175">
      <c r="B31" s="184" t="str">
        <f>'Cap Table'!D62&amp;" Class"</f>
        <v>Share Class</v>
      </c>
      <c r="C31" s="176"/>
      <c r="D31" s="176"/>
      <c r="BH31" s="155"/>
      <c r="BI31" s="155"/>
      <c r="CD31" s="155"/>
      <c r="CE31" s="155"/>
      <c r="CZ31" s="155"/>
      <c r="DA31" s="155"/>
      <c r="DV31" s="155"/>
      <c r="DW31" s="155"/>
    </row>
    <row r="32" spans="2:175">
      <c r="B32" s="185" t="s">
        <v>21</v>
      </c>
      <c r="C32" s="176"/>
      <c r="D32" s="177" t="s">
        <v>27</v>
      </c>
      <c r="E32" s="177" t="str">
        <f>B32</f>
        <v>Common</v>
      </c>
      <c r="G32" s="155" t="s">
        <v>27</v>
      </c>
      <c r="H32" s="155" t="s">
        <v>27</v>
      </c>
      <c r="I32" s="186">
        <f t="shared" ref="I32:K35" si="118">SUMIFS(I$6:I$28,$E$6:$E$28,$B32)</f>
        <v>0</v>
      </c>
      <c r="J32" s="186">
        <f t="shared" si="118"/>
        <v>0</v>
      </c>
      <c r="K32" s="186">
        <f t="shared" si="118"/>
        <v>0</v>
      </c>
      <c r="L32" s="147">
        <f>IFERROR(K32/K$29,0)</f>
        <v>0</v>
      </c>
      <c r="M32" s="186">
        <f>SUMIFS(M$6:M$28,$E$6:$E$28,$B32)</f>
        <v>0</v>
      </c>
      <c r="N32" s="147">
        <f>IFERROR(M32/M$29,0)</f>
        <v>0</v>
      </c>
      <c r="P32" s="155" t="s">
        <v>27</v>
      </c>
      <c r="Q32" s="155" t="s">
        <v>27</v>
      </c>
      <c r="R32" s="186">
        <f t="shared" ref="R32:S35" si="119">SUMIFS(R$6:R$28,$E$6:$E$28,$B32)</f>
        <v>0</v>
      </c>
      <c r="S32" s="186">
        <f t="shared" si="119"/>
        <v>0</v>
      </c>
      <c r="T32" s="187" t="s">
        <v>27</v>
      </c>
      <c r="U32" s="187" t="s">
        <v>27</v>
      </c>
      <c r="V32" s="187" t="s">
        <v>27</v>
      </c>
      <c r="W32" s="187"/>
      <c r="X32" s="186">
        <f t="shared" ref="X32:Z35" ca="1" si="120">SUMIFS(X$6:X$28,$E$6:$E$28,$B32)</f>
        <v>0</v>
      </c>
      <c r="Y32" s="186">
        <f t="shared" ca="1" si="120"/>
        <v>0</v>
      </c>
      <c r="Z32" s="186">
        <f t="shared" ca="1" si="120"/>
        <v>0</v>
      </c>
      <c r="AA32" s="149">
        <f ca="1">IFERROR(Z32/AB32,0)</f>
        <v>0</v>
      </c>
      <c r="AB32" s="186">
        <f t="shared" ref="AB32:AF35" ca="1" si="121">SUMIFS(AB$6:AB$28,$E$6:$E$28,$B32)</f>
        <v>0</v>
      </c>
      <c r="AC32" s="186">
        <f t="shared" si="121"/>
        <v>0</v>
      </c>
      <c r="AD32" s="186">
        <f t="shared" ca="1" si="121"/>
        <v>0</v>
      </c>
      <c r="AE32" s="186">
        <f t="shared" si="121"/>
        <v>0</v>
      </c>
      <c r="AF32" s="186">
        <f t="shared" ca="1" si="121"/>
        <v>0</v>
      </c>
      <c r="AG32" s="147">
        <f ca="1">IFERROR(AF32/AF$29,0)</f>
        <v>0</v>
      </c>
      <c r="AH32" s="186">
        <f t="shared" ref="AH32:AI35" ca="1" si="122">SUMIFS(AH$6:AH$28,$E$6:$E$28,$B32)</f>
        <v>0</v>
      </c>
      <c r="AI32" s="186">
        <f t="shared" ca="1" si="122"/>
        <v>0</v>
      </c>
      <c r="AJ32" s="147">
        <f ca="1">IFERROR(AI32/AI$29,0)</f>
        <v>0</v>
      </c>
      <c r="AL32" s="155" t="s">
        <v>27</v>
      </c>
      <c r="AM32" s="155" t="s">
        <v>27</v>
      </c>
      <c r="AN32" s="186">
        <f t="shared" ref="AN32:AO35" si="123">SUMIFS(AN$6:AN$28,$E$6:$E$28,$B32)</f>
        <v>0</v>
      </c>
      <c r="AO32" s="186">
        <f t="shared" si="123"/>
        <v>0</v>
      </c>
      <c r="AP32" s="187" t="s">
        <v>27</v>
      </c>
      <c r="AQ32" s="187" t="s">
        <v>27</v>
      </c>
      <c r="AR32" s="187" t="s">
        <v>27</v>
      </c>
      <c r="AS32" s="187"/>
      <c r="AT32" s="186">
        <f t="shared" ref="AT32:AV35" ca="1" si="124">SUMIFS(AT$6:AT$28,$E$6:$E$28,$B32)</f>
        <v>0</v>
      </c>
      <c r="AU32" s="186">
        <f t="shared" ca="1" si="124"/>
        <v>0</v>
      </c>
      <c r="AV32" s="186">
        <f t="shared" ca="1" si="124"/>
        <v>0</v>
      </c>
      <c r="AW32" s="149">
        <f ca="1">IFERROR(AV32/AX32,0)</f>
        <v>0</v>
      </c>
      <c r="AX32" s="186">
        <f t="shared" ref="AX32:BB35" ca="1" si="125">SUMIFS(AX$6:AX$28,$E$6:$E$28,$B32)</f>
        <v>0</v>
      </c>
      <c r="AY32" s="186">
        <f t="shared" si="125"/>
        <v>0</v>
      </c>
      <c r="AZ32" s="186">
        <f t="shared" ca="1" si="125"/>
        <v>0</v>
      </c>
      <c r="BA32" s="186">
        <f t="shared" si="125"/>
        <v>0</v>
      </c>
      <c r="BB32" s="186">
        <f t="shared" ca="1" si="125"/>
        <v>0</v>
      </c>
      <c r="BC32" s="147">
        <f ca="1">IFERROR(BB32/BB$29,0)</f>
        <v>0</v>
      </c>
      <c r="BD32" s="186">
        <f t="shared" ref="BD32:BE35" ca="1" si="126">SUMIFS(BD$6:BD$28,$E$6:$E$28,$B32)</f>
        <v>0</v>
      </c>
      <c r="BE32" s="186">
        <f t="shared" ca="1" si="126"/>
        <v>0</v>
      </c>
      <c r="BF32" s="147">
        <f ca="1">IFERROR(BE32/BE$29,0)</f>
        <v>0</v>
      </c>
      <c r="BH32" s="155" t="s">
        <v>27</v>
      </c>
      <c r="BI32" s="155" t="s">
        <v>27</v>
      </c>
      <c r="BJ32" s="186">
        <f t="shared" ref="BJ32:BK35" si="127">SUMIFS(BJ$6:BJ$28,$E$6:$E$28,$B32)</f>
        <v>0</v>
      </c>
      <c r="BK32" s="186">
        <f t="shared" si="127"/>
        <v>0</v>
      </c>
      <c r="BL32" s="187" t="s">
        <v>27</v>
      </c>
      <c r="BM32" s="187" t="s">
        <v>27</v>
      </c>
      <c r="BN32" s="187" t="s">
        <v>27</v>
      </c>
      <c r="BO32" s="187"/>
      <c r="BP32" s="186">
        <f t="shared" ref="BP32:BR35" ca="1" si="128">SUMIFS(BP$6:BP$28,$E$6:$E$28,$B32)</f>
        <v>0</v>
      </c>
      <c r="BQ32" s="186">
        <f t="shared" ca="1" si="128"/>
        <v>0</v>
      </c>
      <c r="BR32" s="186">
        <f t="shared" ca="1" si="128"/>
        <v>0</v>
      </c>
      <c r="BS32" s="149">
        <f ca="1">IFERROR(BR32/BT32,0)</f>
        <v>0</v>
      </c>
      <c r="BT32" s="186">
        <f t="shared" ref="BT32:BX35" ca="1" si="129">SUMIFS(BT$6:BT$28,$E$6:$E$28,$B32)</f>
        <v>0</v>
      </c>
      <c r="BU32" s="186">
        <f t="shared" si="129"/>
        <v>0</v>
      </c>
      <c r="BV32" s="186">
        <f t="shared" ca="1" si="129"/>
        <v>0</v>
      </c>
      <c r="BW32" s="186">
        <f t="shared" si="129"/>
        <v>0</v>
      </c>
      <c r="BX32" s="186">
        <f t="shared" ca="1" si="129"/>
        <v>0</v>
      </c>
      <c r="BY32" s="147">
        <f ca="1">IFERROR(BX32/BX$29,0)</f>
        <v>0</v>
      </c>
      <c r="BZ32" s="186">
        <f t="shared" ref="BZ32:CA35" ca="1" si="130">SUMIFS(BZ$6:BZ$28,$E$6:$E$28,$B32)</f>
        <v>0</v>
      </c>
      <c r="CA32" s="186">
        <f t="shared" ca="1" si="130"/>
        <v>0</v>
      </c>
      <c r="CB32" s="147">
        <f ca="1">IFERROR(CA32/CA$29,0)</f>
        <v>0</v>
      </c>
      <c r="CD32" s="155" t="s">
        <v>27</v>
      </c>
      <c r="CE32" s="155" t="s">
        <v>27</v>
      </c>
      <c r="CF32" s="186">
        <f t="shared" ref="CF32:CG35" si="131">SUMIFS(CF$6:CF$28,$E$6:$E$28,$B32)</f>
        <v>0</v>
      </c>
      <c r="CG32" s="186">
        <f t="shared" si="131"/>
        <v>0</v>
      </c>
      <c r="CH32" s="187" t="s">
        <v>27</v>
      </c>
      <c r="CI32" s="187" t="s">
        <v>27</v>
      </c>
      <c r="CJ32" s="187" t="s">
        <v>27</v>
      </c>
      <c r="CK32" s="187"/>
      <c r="CL32" s="186">
        <f t="shared" ref="CL32:CN35" ca="1" si="132">SUMIFS(CL$6:CL$28,$E$6:$E$28,$B32)</f>
        <v>0</v>
      </c>
      <c r="CM32" s="186">
        <f t="shared" ca="1" si="132"/>
        <v>0</v>
      </c>
      <c r="CN32" s="186">
        <f t="shared" ca="1" si="132"/>
        <v>0</v>
      </c>
      <c r="CO32" s="149">
        <f ca="1">IFERROR(CN32/CP32,0)</f>
        <v>0</v>
      </c>
      <c r="CP32" s="186">
        <f t="shared" ref="CP32:CT35" ca="1" si="133">SUMIFS(CP$6:CP$28,$E$6:$E$28,$B32)</f>
        <v>0</v>
      </c>
      <c r="CQ32" s="186">
        <f t="shared" si="133"/>
        <v>0</v>
      </c>
      <c r="CR32" s="186">
        <f t="shared" ca="1" si="133"/>
        <v>0</v>
      </c>
      <c r="CS32" s="186">
        <f t="shared" si="133"/>
        <v>0</v>
      </c>
      <c r="CT32" s="186">
        <f t="shared" ca="1" si="133"/>
        <v>0</v>
      </c>
      <c r="CU32" s="147">
        <f ca="1">IFERROR(CT32/CT$29,0)</f>
        <v>0</v>
      </c>
      <c r="CV32" s="186">
        <f t="shared" ref="CV32:CW35" ca="1" si="134">SUMIFS(CV$6:CV$28,$E$6:$E$28,$B32)</f>
        <v>0</v>
      </c>
      <c r="CW32" s="186">
        <f t="shared" ca="1" si="134"/>
        <v>0</v>
      </c>
      <c r="CX32" s="147">
        <f ca="1">IFERROR(CW32/CW$29,0)</f>
        <v>0</v>
      </c>
      <c r="CZ32" s="155" t="s">
        <v>27</v>
      </c>
      <c r="DA32" s="155" t="s">
        <v>27</v>
      </c>
      <c r="DB32" s="186">
        <f t="shared" ref="DB32:DC35" si="135">SUMIFS(DB$6:DB$28,$E$6:$E$28,$B32)</f>
        <v>0</v>
      </c>
      <c r="DC32" s="186">
        <f t="shared" si="135"/>
        <v>0</v>
      </c>
      <c r="DD32" s="187" t="s">
        <v>27</v>
      </c>
      <c r="DE32" s="187" t="s">
        <v>27</v>
      </c>
      <c r="DF32" s="187" t="s">
        <v>27</v>
      </c>
      <c r="DG32" s="187"/>
      <c r="DH32" s="186">
        <f t="shared" ref="DH32:DJ35" ca="1" si="136">SUMIFS(DH$6:DH$28,$E$6:$E$28,$B32)</f>
        <v>0</v>
      </c>
      <c r="DI32" s="186">
        <f t="shared" ca="1" si="136"/>
        <v>0</v>
      </c>
      <c r="DJ32" s="186">
        <f t="shared" ca="1" si="136"/>
        <v>0</v>
      </c>
      <c r="DK32" s="149">
        <f ca="1">IFERROR(DJ32/DL32,0)</f>
        <v>0</v>
      </c>
      <c r="DL32" s="186">
        <f t="shared" ref="DL32:DP35" ca="1" si="137">SUMIFS(DL$6:DL$28,$E$6:$E$28,$B32)</f>
        <v>0</v>
      </c>
      <c r="DM32" s="186">
        <f t="shared" si="137"/>
        <v>0</v>
      </c>
      <c r="DN32" s="186">
        <f t="shared" ca="1" si="137"/>
        <v>0</v>
      </c>
      <c r="DO32" s="186">
        <f t="shared" si="137"/>
        <v>0</v>
      </c>
      <c r="DP32" s="186">
        <f t="shared" ca="1" si="137"/>
        <v>0</v>
      </c>
      <c r="DQ32" s="147">
        <f ca="1">IFERROR(DP32/DP$29,0)</f>
        <v>0</v>
      </c>
      <c r="DR32" s="186">
        <f t="shared" ref="DR32:DS35" ca="1" si="138">SUMIFS(DR$6:DR$28,$E$6:$E$28,$B32)</f>
        <v>0</v>
      </c>
      <c r="DS32" s="186">
        <f t="shared" ca="1" si="138"/>
        <v>0</v>
      </c>
      <c r="DT32" s="147">
        <f ca="1">IFERROR(DS32/DS$29,0)</f>
        <v>0</v>
      </c>
      <c r="DV32" s="155" t="s">
        <v>27</v>
      </c>
      <c r="DW32" s="155" t="s">
        <v>27</v>
      </c>
      <c r="DX32" s="186">
        <f t="shared" ref="DX32:DY35" si="139">SUMIFS(DX$6:DX$28,$E$6:$E$28,$B32)</f>
        <v>0</v>
      </c>
      <c r="DY32" s="186">
        <f t="shared" si="139"/>
        <v>0</v>
      </c>
      <c r="DZ32" s="187" t="s">
        <v>27</v>
      </c>
      <c r="EA32" s="187" t="s">
        <v>27</v>
      </c>
      <c r="EB32" s="187" t="s">
        <v>27</v>
      </c>
      <c r="EC32" s="187"/>
      <c r="ED32" s="186">
        <f t="shared" ref="ED32:EF35" ca="1" si="140">SUMIFS(ED$6:ED$28,$E$6:$E$28,$B32)</f>
        <v>0</v>
      </c>
      <c r="EE32" s="186">
        <f t="shared" ca="1" si="140"/>
        <v>0</v>
      </c>
      <c r="EF32" s="186">
        <f t="shared" ca="1" si="140"/>
        <v>0</v>
      </c>
      <c r="EG32" s="149">
        <f ca="1">IFERROR(EF32/EH32,0)</f>
        <v>0</v>
      </c>
      <c r="EH32" s="186">
        <f t="shared" ref="EH32:EL35" ca="1" si="141">SUMIFS(EH$6:EH$28,$E$6:$E$28,$B32)</f>
        <v>0</v>
      </c>
      <c r="EI32" s="186">
        <f t="shared" si="141"/>
        <v>0</v>
      </c>
      <c r="EJ32" s="186">
        <f t="shared" ca="1" si="141"/>
        <v>0</v>
      </c>
      <c r="EK32" s="186">
        <f t="shared" si="141"/>
        <v>0</v>
      </c>
      <c r="EL32" s="186">
        <f t="shared" ca="1" si="141"/>
        <v>0</v>
      </c>
      <c r="EM32" s="147">
        <f ca="1">IFERROR(EL32/EL$29,0)</f>
        <v>0</v>
      </c>
      <c r="EN32" s="186">
        <f t="shared" ref="EN32:EO35" ca="1" si="142">SUMIFS(EN$6:EN$28,$E$6:$E$28,$B32)</f>
        <v>0</v>
      </c>
      <c r="EO32" s="186">
        <f t="shared" ca="1" si="142"/>
        <v>0</v>
      </c>
      <c r="EP32" s="147">
        <f ca="1">IFERROR(EO32/EO$29,0)</f>
        <v>0</v>
      </c>
      <c r="ER32" s="186">
        <f t="shared" ref="ER32:ES35" si="143">SUMIFS(ER$6:ER$28,$E$6:$E$28,$B32)</f>
        <v>0</v>
      </c>
      <c r="ES32" s="186">
        <f t="shared" si="143"/>
        <v>0</v>
      </c>
      <c r="ET32" s="174" t="s">
        <v>27</v>
      </c>
      <c r="EU32" s="174" t="s">
        <v>27</v>
      </c>
      <c r="EV32" s="174" t="s">
        <v>27</v>
      </c>
      <c r="EW32" s="186">
        <f t="shared" ref="EW32:EY35" ca="1" si="144">SUMIFS(EW$6:EW$28,$E$6:$E$28,$B32)</f>
        <v>0</v>
      </c>
      <c r="EX32" s="186">
        <f t="shared" ca="1" si="144"/>
        <v>0</v>
      </c>
      <c r="EY32" s="186">
        <f t="shared" ca="1" si="144"/>
        <v>0</v>
      </c>
      <c r="EZ32" s="149">
        <f ca="1">IFERROR(EY32/FA32,0)</f>
        <v>0</v>
      </c>
      <c r="FA32" s="186">
        <f t="shared" ref="FA32:FE35" ca="1" si="145">SUMIFS(FA$6:FA$28,$E$6:$E$28,$B32)</f>
        <v>0</v>
      </c>
      <c r="FB32" s="186">
        <f t="shared" si="145"/>
        <v>0</v>
      </c>
      <c r="FC32" s="186">
        <f t="shared" ca="1" si="145"/>
        <v>0</v>
      </c>
      <c r="FD32" s="186">
        <f t="shared" si="145"/>
        <v>0</v>
      </c>
      <c r="FE32" s="186">
        <f t="shared" ca="1" si="145"/>
        <v>0</v>
      </c>
      <c r="FF32" s="147">
        <f ca="1">IFERROR(FE32/FE$29,0)</f>
        <v>0</v>
      </c>
      <c r="FG32" s="186">
        <f t="shared" ref="FG32:FH35" ca="1" si="146">SUMIFS(FG$6:FG$28,$E$6:$E$28,$B32)</f>
        <v>0</v>
      </c>
      <c r="FH32" s="186">
        <f t="shared" ca="1" si="146"/>
        <v>0</v>
      </c>
      <c r="FI32" s="147">
        <f ca="1">IFERROR(FH32/FH$29,0)</f>
        <v>0</v>
      </c>
      <c r="FL32" s="146">
        <f ca="1">OFFSET($G32,0,IF($FL$4=$G$4,1,13)+MATCH($FL$4,$G$4:$FI$4,0))</f>
        <v>0</v>
      </c>
      <c r="FM32" s="146">
        <f ca="1">OFFSET($G32,0,IF($FL$4=$G$4,2,14)+MATCH($FL$4,$G$4:$FI$4,0))</f>
        <v>0</v>
      </c>
      <c r="FN32" s="146">
        <f ca="1">OFFSET($G32,0,IF($FL$4=$G$4,5,18)+MATCH($FL$4,$G$4:$FI$4,0))</f>
        <v>0</v>
      </c>
      <c r="FQ32" s="174" t="str">
        <f ca="1">IFERROR(OFFSET($G32,0,IF($FQ$4=$G$4,1,13)+MATCH($FQ$4,$G$4:$FI$4,0)),"na")</f>
        <v>na</v>
      </c>
      <c r="FR32" s="174" t="str">
        <f ca="1">IFERROR(OFFSET($G32,0,IF($FQ$4=$G$4,1,14)+MATCH($FQ$4,$G$4:$FI$4,0)),"na")</f>
        <v>na</v>
      </c>
      <c r="FS32" s="174" t="str">
        <f ca="1">IFERROR(OFFSET($G32,0,IF($FQ$4=$G$4,5,18)+MATCH($FQ$4,$G$4:$FI$4,0)),"na")</f>
        <v>na</v>
      </c>
    </row>
    <row r="33" spans="2:175">
      <c r="B33" s="185" t="s">
        <v>32</v>
      </c>
      <c r="C33" s="176"/>
      <c r="D33" s="177" t="s">
        <v>27</v>
      </c>
      <c r="E33" s="177" t="str">
        <f>B33</f>
        <v>Preferred</v>
      </c>
      <c r="G33" s="155" t="s">
        <v>27</v>
      </c>
      <c r="H33" s="155" t="s">
        <v>27</v>
      </c>
      <c r="I33" s="186">
        <f t="shared" si="118"/>
        <v>0</v>
      </c>
      <c r="J33" s="186">
        <f t="shared" si="118"/>
        <v>0</v>
      </c>
      <c r="K33" s="186">
        <f t="shared" si="118"/>
        <v>0</v>
      </c>
      <c r="L33" s="147">
        <f>IFERROR(K33/K$29,0)</f>
        <v>0</v>
      </c>
      <c r="M33" s="186">
        <f>SUMIFS(M$6:M$28,$E$6:$E$28,$B33)</f>
        <v>0</v>
      </c>
      <c r="N33" s="147">
        <f>IFERROR(M33/M$29,0)</f>
        <v>0</v>
      </c>
      <c r="P33" s="155" t="s">
        <v>27</v>
      </c>
      <c r="Q33" s="155" t="s">
        <v>27</v>
      </c>
      <c r="R33" s="186">
        <f t="shared" si="119"/>
        <v>0</v>
      </c>
      <c r="S33" s="186">
        <f t="shared" si="119"/>
        <v>0</v>
      </c>
      <c r="T33" s="187" t="s">
        <v>27</v>
      </c>
      <c r="U33" s="187" t="s">
        <v>27</v>
      </c>
      <c r="V33" s="187" t="s">
        <v>27</v>
      </c>
      <c r="W33" s="187"/>
      <c r="X33" s="186">
        <f t="shared" si="120"/>
        <v>0</v>
      </c>
      <c r="Y33" s="186">
        <f t="shared" si="120"/>
        <v>0</v>
      </c>
      <c r="Z33" s="186">
        <f t="shared" si="120"/>
        <v>0</v>
      </c>
      <c r="AA33" s="149">
        <f>IFERROR(Z33/AB33,0)</f>
        <v>0</v>
      </c>
      <c r="AB33" s="186">
        <f t="shared" si="121"/>
        <v>0</v>
      </c>
      <c r="AC33" s="186">
        <f t="shared" si="121"/>
        <v>0</v>
      </c>
      <c r="AD33" s="186">
        <f t="shared" si="121"/>
        <v>0</v>
      </c>
      <c r="AE33" s="186">
        <f t="shared" si="121"/>
        <v>0</v>
      </c>
      <c r="AF33" s="186">
        <f t="shared" si="121"/>
        <v>0</v>
      </c>
      <c r="AG33" s="147">
        <f ca="1">IFERROR(AF33/AF$29,0)</f>
        <v>0</v>
      </c>
      <c r="AH33" s="186">
        <f t="shared" si="122"/>
        <v>0</v>
      </c>
      <c r="AI33" s="186">
        <f t="shared" si="122"/>
        <v>0</v>
      </c>
      <c r="AJ33" s="147">
        <f ca="1">IFERROR(AI33/AI$29,0)</f>
        <v>0</v>
      </c>
      <c r="AL33" s="155" t="s">
        <v>27</v>
      </c>
      <c r="AM33" s="155" t="s">
        <v>27</v>
      </c>
      <c r="AN33" s="186">
        <f t="shared" si="123"/>
        <v>0</v>
      </c>
      <c r="AO33" s="186">
        <f t="shared" si="123"/>
        <v>0</v>
      </c>
      <c r="AP33" s="187" t="s">
        <v>27</v>
      </c>
      <c r="AQ33" s="187" t="s">
        <v>27</v>
      </c>
      <c r="AR33" s="187" t="s">
        <v>27</v>
      </c>
      <c r="AS33" s="187"/>
      <c r="AT33" s="186">
        <f t="shared" si="124"/>
        <v>0</v>
      </c>
      <c r="AU33" s="186">
        <f t="shared" si="124"/>
        <v>0</v>
      </c>
      <c r="AV33" s="186">
        <f t="shared" si="124"/>
        <v>0</v>
      </c>
      <c r="AW33" s="149">
        <f>IFERROR(AV33/AX33,0)</f>
        <v>0</v>
      </c>
      <c r="AX33" s="186">
        <f t="shared" si="125"/>
        <v>0</v>
      </c>
      <c r="AY33" s="186">
        <f t="shared" si="125"/>
        <v>0</v>
      </c>
      <c r="AZ33" s="186">
        <f t="shared" si="125"/>
        <v>0</v>
      </c>
      <c r="BA33" s="186">
        <f t="shared" si="125"/>
        <v>0</v>
      </c>
      <c r="BB33" s="186">
        <f t="shared" si="125"/>
        <v>0</v>
      </c>
      <c r="BC33" s="147">
        <f ca="1">IFERROR(BB33/BB$29,0)</f>
        <v>0</v>
      </c>
      <c r="BD33" s="186">
        <f t="shared" si="126"/>
        <v>0</v>
      </c>
      <c r="BE33" s="186">
        <f t="shared" si="126"/>
        <v>0</v>
      </c>
      <c r="BF33" s="147">
        <f ca="1">IFERROR(BE33/BE$29,0)</f>
        <v>0</v>
      </c>
      <c r="BH33" s="155" t="s">
        <v>27</v>
      </c>
      <c r="BI33" s="155" t="s">
        <v>27</v>
      </c>
      <c r="BJ33" s="186">
        <f t="shared" si="127"/>
        <v>0</v>
      </c>
      <c r="BK33" s="186">
        <f t="shared" si="127"/>
        <v>0</v>
      </c>
      <c r="BL33" s="187" t="s">
        <v>27</v>
      </c>
      <c r="BM33" s="187" t="s">
        <v>27</v>
      </c>
      <c r="BN33" s="187" t="s">
        <v>27</v>
      </c>
      <c r="BO33" s="187"/>
      <c r="BP33" s="186">
        <f t="shared" si="128"/>
        <v>0</v>
      </c>
      <c r="BQ33" s="186">
        <f t="shared" si="128"/>
        <v>0</v>
      </c>
      <c r="BR33" s="186">
        <f t="shared" si="128"/>
        <v>0</v>
      </c>
      <c r="BS33" s="149">
        <f>IFERROR(BR33/BT33,0)</f>
        <v>0</v>
      </c>
      <c r="BT33" s="186">
        <f t="shared" si="129"/>
        <v>0</v>
      </c>
      <c r="BU33" s="186">
        <f t="shared" si="129"/>
        <v>0</v>
      </c>
      <c r="BV33" s="186">
        <f t="shared" si="129"/>
        <v>0</v>
      </c>
      <c r="BW33" s="186">
        <f t="shared" si="129"/>
        <v>0</v>
      </c>
      <c r="BX33" s="186">
        <f t="shared" si="129"/>
        <v>0</v>
      </c>
      <c r="BY33" s="147">
        <f ca="1">IFERROR(BX33/BX$29,0)</f>
        <v>0</v>
      </c>
      <c r="BZ33" s="186">
        <f t="shared" si="130"/>
        <v>0</v>
      </c>
      <c r="CA33" s="186">
        <f t="shared" si="130"/>
        <v>0</v>
      </c>
      <c r="CB33" s="147">
        <f ca="1">IFERROR(CA33/CA$29,0)</f>
        <v>0</v>
      </c>
      <c r="CD33" s="155" t="s">
        <v>27</v>
      </c>
      <c r="CE33" s="155" t="s">
        <v>27</v>
      </c>
      <c r="CF33" s="186">
        <f t="shared" si="131"/>
        <v>0</v>
      </c>
      <c r="CG33" s="186">
        <f t="shared" si="131"/>
        <v>0</v>
      </c>
      <c r="CH33" s="187" t="s">
        <v>27</v>
      </c>
      <c r="CI33" s="187" t="s">
        <v>27</v>
      </c>
      <c r="CJ33" s="187" t="s">
        <v>27</v>
      </c>
      <c r="CK33" s="187"/>
      <c r="CL33" s="186">
        <f t="shared" si="132"/>
        <v>0</v>
      </c>
      <c r="CM33" s="186">
        <f t="shared" si="132"/>
        <v>0</v>
      </c>
      <c r="CN33" s="186">
        <f t="shared" si="132"/>
        <v>0</v>
      </c>
      <c r="CO33" s="149">
        <f>IFERROR(CN33/CP33,0)</f>
        <v>0</v>
      </c>
      <c r="CP33" s="186">
        <f t="shared" si="133"/>
        <v>0</v>
      </c>
      <c r="CQ33" s="186">
        <f t="shared" si="133"/>
        <v>0</v>
      </c>
      <c r="CR33" s="186">
        <f t="shared" si="133"/>
        <v>0</v>
      </c>
      <c r="CS33" s="186">
        <f t="shared" si="133"/>
        <v>0</v>
      </c>
      <c r="CT33" s="186">
        <f t="shared" si="133"/>
        <v>0</v>
      </c>
      <c r="CU33" s="147">
        <f ca="1">IFERROR(CT33/CT$29,0)</f>
        <v>0</v>
      </c>
      <c r="CV33" s="186">
        <f t="shared" si="134"/>
        <v>0</v>
      </c>
      <c r="CW33" s="186">
        <f t="shared" si="134"/>
        <v>0</v>
      </c>
      <c r="CX33" s="147">
        <f ca="1">IFERROR(CW33/CW$29,0)</f>
        <v>0</v>
      </c>
      <c r="CZ33" s="155" t="s">
        <v>27</v>
      </c>
      <c r="DA33" s="155" t="s">
        <v>27</v>
      </c>
      <c r="DB33" s="186">
        <f t="shared" si="135"/>
        <v>0</v>
      </c>
      <c r="DC33" s="186">
        <f t="shared" si="135"/>
        <v>0</v>
      </c>
      <c r="DD33" s="187" t="s">
        <v>27</v>
      </c>
      <c r="DE33" s="187" t="s">
        <v>27</v>
      </c>
      <c r="DF33" s="187" t="s">
        <v>27</v>
      </c>
      <c r="DG33" s="187"/>
      <c r="DH33" s="186">
        <f t="shared" si="136"/>
        <v>0</v>
      </c>
      <c r="DI33" s="186">
        <f t="shared" si="136"/>
        <v>0</v>
      </c>
      <c r="DJ33" s="186">
        <f t="shared" si="136"/>
        <v>0</v>
      </c>
      <c r="DK33" s="149">
        <f>IFERROR(DJ33/DL33,0)</f>
        <v>0</v>
      </c>
      <c r="DL33" s="186">
        <f t="shared" si="137"/>
        <v>0</v>
      </c>
      <c r="DM33" s="186">
        <f t="shared" si="137"/>
        <v>0</v>
      </c>
      <c r="DN33" s="186">
        <f t="shared" si="137"/>
        <v>0</v>
      </c>
      <c r="DO33" s="186">
        <f t="shared" si="137"/>
        <v>0</v>
      </c>
      <c r="DP33" s="186">
        <f t="shared" si="137"/>
        <v>0</v>
      </c>
      <c r="DQ33" s="147">
        <f ca="1">IFERROR(DP33/DP$29,0)</f>
        <v>0</v>
      </c>
      <c r="DR33" s="186">
        <f t="shared" si="138"/>
        <v>0</v>
      </c>
      <c r="DS33" s="186">
        <f t="shared" si="138"/>
        <v>0</v>
      </c>
      <c r="DT33" s="147">
        <f ca="1">IFERROR(DS33/DS$29,0)</f>
        <v>0</v>
      </c>
      <c r="DV33" s="155" t="s">
        <v>27</v>
      </c>
      <c r="DW33" s="155" t="s">
        <v>27</v>
      </c>
      <c r="DX33" s="186">
        <f t="shared" si="139"/>
        <v>0</v>
      </c>
      <c r="DY33" s="186">
        <f t="shared" si="139"/>
        <v>0</v>
      </c>
      <c r="DZ33" s="187" t="s">
        <v>27</v>
      </c>
      <c r="EA33" s="187" t="s">
        <v>27</v>
      </c>
      <c r="EB33" s="187" t="s">
        <v>27</v>
      </c>
      <c r="EC33" s="187"/>
      <c r="ED33" s="186">
        <f t="shared" si="140"/>
        <v>0</v>
      </c>
      <c r="EE33" s="186">
        <f t="shared" si="140"/>
        <v>0</v>
      </c>
      <c r="EF33" s="186">
        <f t="shared" si="140"/>
        <v>0</v>
      </c>
      <c r="EG33" s="149">
        <f>IFERROR(EF33/EH33,0)</f>
        <v>0</v>
      </c>
      <c r="EH33" s="186">
        <f t="shared" si="141"/>
        <v>0</v>
      </c>
      <c r="EI33" s="186">
        <f t="shared" si="141"/>
        <v>0</v>
      </c>
      <c r="EJ33" s="186">
        <f t="shared" si="141"/>
        <v>0</v>
      </c>
      <c r="EK33" s="186">
        <f t="shared" si="141"/>
        <v>0</v>
      </c>
      <c r="EL33" s="186">
        <f t="shared" si="141"/>
        <v>0</v>
      </c>
      <c r="EM33" s="147">
        <f ca="1">IFERROR(EL33/EL$29,0)</f>
        <v>0</v>
      </c>
      <c r="EN33" s="186">
        <f t="shared" si="142"/>
        <v>0</v>
      </c>
      <c r="EO33" s="186">
        <f t="shared" si="142"/>
        <v>0</v>
      </c>
      <c r="EP33" s="147">
        <f ca="1">IFERROR(EO33/EO$29,0)</f>
        <v>0</v>
      </c>
      <c r="ER33" s="186">
        <f t="shared" si="143"/>
        <v>0</v>
      </c>
      <c r="ES33" s="186">
        <f t="shared" si="143"/>
        <v>0</v>
      </c>
      <c r="ET33" s="174" t="s">
        <v>27</v>
      </c>
      <c r="EU33" s="174" t="s">
        <v>27</v>
      </c>
      <c r="EV33" s="174" t="s">
        <v>27</v>
      </c>
      <c r="EW33" s="186">
        <f t="shared" si="144"/>
        <v>0</v>
      </c>
      <c r="EX33" s="186">
        <f t="shared" si="144"/>
        <v>0</v>
      </c>
      <c r="EY33" s="186">
        <f t="shared" si="144"/>
        <v>0</v>
      </c>
      <c r="EZ33" s="149">
        <f>IFERROR(EY33/FA33,0)</f>
        <v>0</v>
      </c>
      <c r="FA33" s="186">
        <f t="shared" si="145"/>
        <v>0</v>
      </c>
      <c r="FB33" s="186">
        <f t="shared" si="145"/>
        <v>0</v>
      </c>
      <c r="FC33" s="186">
        <f t="shared" si="145"/>
        <v>0</v>
      </c>
      <c r="FD33" s="186">
        <f t="shared" si="145"/>
        <v>0</v>
      </c>
      <c r="FE33" s="186">
        <f t="shared" si="145"/>
        <v>0</v>
      </c>
      <c r="FF33" s="147">
        <f ca="1">IFERROR(FE33/FE$29,0)</f>
        <v>0</v>
      </c>
      <c r="FG33" s="186">
        <f t="shared" si="146"/>
        <v>0</v>
      </c>
      <c r="FH33" s="186">
        <f t="shared" si="146"/>
        <v>0</v>
      </c>
      <c r="FI33" s="147">
        <f ca="1">IFERROR(FH33/FH$29,0)</f>
        <v>0</v>
      </c>
      <c r="FL33" s="146">
        <f ca="1">OFFSET($G33,0,IF($FL$4=$G$4,1,13)+MATCH($FL$4,$G$4:$FI$4,0))</f>
        <v>0</v>
      </c>
      <c r="FM33" s="146">
        <f ca="1">OFFSET($G33,0,IF($FL$4=$G$4,2,14)+MATCH($FL$4,$G$4:$FI$4,0))</f>
        <v>0</v>
      </c>
      <c r="FN33" s="146">
        <f ca="1">OFFSET($G33,0,IF($FL$4=$G$4,5,18)+MATCH($FL$4,$G$4:$FI$4,0))</f>
        <v>0</v>
      </c>
      <c r="FQ33" s="174" t="str">
        <f ca="1">IFERROR(OFFSET($G33,0,IF($FQ$4=$G$4,1,13)+MATCH($FQ$4,$G$4:$FI$4,0)),"na")</f>
        <v>na</v>
      </c>
      <c r="FR33" s="174" t="str">
        <f ca="1">IFERROR(OFFSET($G33,0,IF($FQ$4=$G$4,1,14)+MATCH($FQ$4,$G$4:$FI$4,0)),"na")</f>
        <v>na</v>
      </c>
      <c r="FS33" s="174" t="str">
        <f ca="1">IFERROR(OFFSET($G33,0,IF($FQ$4=$G$4,5,18)+MATCH($FQ$4,$G$4:$FI$4,0)),"na")</f>
        <v>na</v>
      </c>
    </row>
    <row r="34" spans="2:175">
      <c r="B34" s="185" t="s">
        <v>22</v>
      </c>
      <c r="C34" s="176"/>
      <c r="D34" s="177" t="s">
        <v>27</v>
      </c>
      <c r="E34" s="177" t="str">
        <f>B34</f>
        <v>Options</v>
      </c>
      <c r="G34" s="155" t="s">
        <v>27</v>
      </c>
      <c r="H34" s="155" t="s">
        <v>27</v>
      </c>
      <c r="I34" s="186">
        <f t="shared" si="118"/>
        <v>0</v>
      </c>
      <c r="J34" s="186">
        <f t="shared" si="118"/>
        <v>0</v>
      </c>
      <c r="K34" s="186">
        <f t="shared" si="118"/>
        <v>0</v>
      </c>
      <c r="L34" s="147">
        <f>IFERROR(K34/K$29,0)</f>
        <v>0</v>
      </c>
      <c r="M34" s="186">
        <f>SUMIFS(M$6:M$28,$E$6:$E$28,$B34)</f>
        <v>0</v>
      </c>
      <c r="N34" s="147">
        <f>IFERROR(M34/M$29,0)</f>
        <v>0</v>
      </c>
      <c r="P34" s="155" t="s">
        <v>27</v>
      </c>
      <c r="Q34" s="155" t="s">
        <v>27</v>
      </c>
      <c r="R34" s="186">
        <f t="shared" si="119"/>
        <v>0</v>
      </c>
      <c r="S34" s="186">
        <f t="shared" si="119"/>
        <v>0</v>
      </c>
      <c r="T34" s="187" t="s">
        <v>27</v>
      </c>
      <c r="U34" s="187" t="s">
        <v>27</v>
      </c>
      <c r="V34" s="187" t="s">
        <v>27</v>
      </c>
      <c r="W34" s="187"/>
      <c r="X34" s="186">
        <f t="shared" si="120"/>
        <v>0</v>
      </c>
      <c r="Y34" s="186">
        <f t="shared" si="120"/>
        <v>0</v>
      </c>
      <c r="Z34" s="186">
        <f t="shared" si="120"/>
        <v>0</v>
      </c>
      <c r="AA34" s="149">
        <f>IFERROR(Z34/AB34,0)</f>
        <v>0</v>
      </c>
      <c r="AB34" s="186">
        <f t="shared" si="121"/>
        <v>0</v>
      </c>
      <c r="AC34" s="186">
        <f t="shared" si="121"/>
        <v>0</v>
      </c>
      <c r="AD34" s="186">
        <f t="shared" si="121"/>
        <v>0</v>
      </c>
      <c r="AE34" s="186">
        <f t="shared" si="121"/>
        <v>0</v>
      </c>
      <c r="AF34" s="186">
        <f t="shared" si="121"/>
        <v>0</v>
      </c>
      <c r="AG34" s="147">
        <f ca="1">IFERROR(AF34/AF$29,0)</f>
        <v>0</v>
      </c>
      <c r="AH34" s="186">
        <f t="shared" si="122"/>
        <v>0</v>
      </c>
      <c r="AI34" s="186">
        <f t="shared" si="122"/>
        <v>0</v>
      </c>
      <c r="AJ34" s="147">
        <f ca="1">IFERROR(AI34/AI$29,0)</f>
        <v>0</v>
      </c>
      <c r="AL34" s="155" t="s">
        <v>27</v>
      </c>
      <c r="AM34" s="155" t="s">
        <v>27</v>
      </c>
      <c r="AN34" s="186">
        <f t="shared" si="123"/>
        <v>0</v>
      </c>
      <c r="AO34" s="186">
        <f t="shared" si="123"/>
        <v>0</v>
      </c>
      <c r="AP34" s="187" t="s">
        <v>27</v>
      </c>
      <c r="AQ34" s="187" t="s">
        <v>27</v>
      </c>
      <c r="AR34" s="187" t="s">
        <v>27</v>
      </c>
      <c r="AS34" s="187"/>
      <c r="AT34" s="186">
        <f t="shared" ca="1" si="124"/>
        <v>0</v>
      </c>
      <c r="AU34" s="186">
        <f t="shared" ca="1" si="124"/>
        <v>0</v>
      </c>
      <c r="AV34" s="186">
        <f t="shared" ca="1" si="124"/>
        <v>0</v>
      </c>
      <c r="AW34" s="149">
        <f ca="1">IFERROR(AV34/AX34,0)</f>
        <v>0</v>
      </c>
      <c r="AX34" s="186">
        <f t="shared" ca="1" si="125"/>
        <v>0</v>
      </c>
      <c r="AY34" s="186">
        <f t="shared" ca="1" si="125"/>
        <v>0</v>
      </c>
      <c r="AZ34" s="186">
        <f t="shared" ca="1" si="125"/>
        <v>0</v>
      </c>
      <c r="BA34" s="186">
        <f t="shared" ca="1" si="125"/>
        <v>0</v>
      </c>
      <c r="BB34" s="186">
        <f t="shared" ca="1" si="125"/>
        <v>0</v>
      </c>
      <c r="BC34" s="147">
        <f ca="1">IFERROR(BB34/BB$29,0)</f>
        <v>0</v>
      </c>
      <c r="BD34" s="186">
        <f t="shared" ca="1" si="126"/>
        <v>0</v>
      </c>
      <c r="BE34" s="186">
        <f t="shared" ca="1" si="126"/>
        <v>0</v>
      </c>
      <c r="BF34" s="147">
        <f ca="1">IFERROR(BE34/BE$29,0)</f>
        <v>0</v>
      </c>
      <c r="BH34" s="155" t="s">
        <v>27</v>
      </c>
      <c r="BI34" s="155" t="s">
        <v>27</v>
      </c>
      <c r="BJ34" s="186">
        <f t="shared" si="127"/>
        <v>0</v>
      </c>
      <c r="BK34" s="186">
        <f t="shared" si="127"/>
        <v>0</v>
      </c>
      <c r="BL34" s="187" t="s">
        <v>27</v>
      </c>
      <c r="BM34" s="187" t="s">
        <v>27</v>
      </c>
      <c r="BN34" s="187" t="s">
        <v>27</v>
      </c>
      <c r="BO34" s="187"/>
      <c r="BP34" s="186">
        <f t="shared" ca="1" si="128"/>
        <v>0</v>
      </c>
      <c r="BQ34" s="186">
        <f t="shared" ca="1" si="128"/>
        <v>0</v>
      </c>
      <c r="BR34" s="186">
        <f t="shared" ca="1" si="128"/>
        <v>0</v>
      </c>
      <c r="BS34" s="149">
        <f ca="1">IFERROR(BR34/BT34,0)</f>
        <v>0</v>
      </c>
      <c r="BT34" s="186">
        <f t="shared" ca="1" si="129"/>
        <v>0</v>
      </c>
      <c r="BU34" s="186">
        <f t="shared" ca="1" si="129"/>
        <v>0</v>
      </c>
      <c r="BV34" s="186">
        <f t="shared" ca="1" si="129"/>
        <v>0</v>
      </c>
      <c r="BW34" s="186">
        <f t="shared" ca="1" si="129"/>
        <v>0</v>
      </c>
      <c r="BX34" s="186">
        <f t="shared" ca="1" si="129"/>
        <v>0</v>
      </c>
      <c r="BY34" s="147">
        <f ca="1">IFERROR(BX34/BX$29,0)</f>
        <v>0</v>
      </c>
      <c r="BZ34" s="186">
        <f t="shared" ca="1" si="130"/>
        <v>0</v>
      </c>
      <c r="CA34" s="186">
        <f t="shared" ca="1" si="130"/>
        <v>0</v>
      </c>
      <c r="CB34" s="147">
        <f ca="1">IFERROR(CA34/CA$29,0)</f>
        <v>0</v>
      </c>
      <c r="CD34" s="155" t="s">
        <v>27</v>
      </c>
      <c r="CE34" s="155" t="s">
        <v>27</v>
      </c>
      <c r="CF34" s="186">
        <f t="shared" si="131"/>
        <v>0</v>
      </c>
      <c r="CG34" s="186">
        <f t="shared" si="131"/>
        <v>0</v>
      </c>
      <c r="CH34" s="187" t="s">
        <v>27</v>
      </c>
      <c r="CI34" s="187" t="s">
        <v>27</v>
      </c>
      <c r="CJ34" s="187" t="s">
        <v>27</v>
      </c>
      <c r="CK34" s="187"/>
      <c r="CL34" s="186">
        <f t="shared" ca="1" si="132"/>
        <v>0</v>
      </c>
      <c r="CM34" s="186">
        <f t="shared" ca="1" si="132"/>
        <v>0</v>
      </c>
      <c r="CN34" s="186">
        <f t="shared" ca="1" si="132"/>
        <v>0</v>
      </c>
      <c r="CO34" s="149">
        <f ca="1">IFERROR(CN34/CP34,0)</f>
        <v>0</v>
      </c>
      <c r="CP34" s="186">
        <f t="shared" ca="1" si="133"/>
        <v>0</v>
      </c>
      <c r="CQ34" s="186">
        <f t="shared" ca="1" si="133"/>
        <v>0</v>
      </c>
      <c r="CR34" s="186">
        <f t="shared" ca="1" si="133"/>
        <v>0</v>
      </c>
      <c r="CS34" s="186">
        <f t="shared" ca="1" si="133"/>
        <v>0</v>
      </c>
      <c r="CT34" s="186">
        <f t="shared" ca="1" si="133"/>
        <v>0</v>
      </c>
      <c r="CU34" s="147">
        <f ca="1">IFERROR(CT34/CT$29,0)</f>
        <v>0</v>
      </c>
      <c r="CV34" s="186">
        <f t="shared" ca="1" si="134"/>
        <v>0</v>
      </c>
      <c r="CW34" s="186">
        <f t="shared" ca="1" si="134"/>
        <v>0</v>
      </c>
      <c r="CX34" s="147">
        <f ca="1">IFERROR(CW34/CW$29,0)</f>
        <v>0</v>
      </c>
      <c r="CZ34" s="155" t="s">
        <v>27</v>
      </c>
      <c r="DA34" s="155" t="s">
        <v>27</v>
      </c>
      <c r="DB34" s="186">
        <f t="shared" si="135"/>
        <v>0</v>
      </c>
      <c r="DC34" s="186">
        <f t="shared" si="135"/>
        <v>0</v>
      </c>
      <c r="DD34" s="187" t="s">
        <v>27</v>
      </c>
      <c r="DE34" s="187" t="s">
        <v>27</v>
      </c>
      <c r="DF34" s="187" t="s">
        <v>27</v>
      </c>
      <c r="DG34" s="187"/>
      <c r="DH34" s="186">
        <f t="shared" ca="1" si="136"/>
        <v>0</v>
      </c>
      <c r="DI34" s="186">
        <f t="shared" ca="1" si="136"/>
        <v>0</v>
      </c>
      <c r="DJ34" s="186">
        <f t="shared" ca="1" si="136"/>
        <v>0</v>
      </c>
      <c r="DK34" s="149">
        <f ca="1">IFERROR(DJ34/DL34,0)</f>
        <v>0</v>
      </c>
      <c r="DL34" s="186">
        <f t="shared" ca="1" si="137"/>
        <v>0</v>
      </c>
      <c r="DM34" s="186">
        <f t="shared" ca="1" si="137"/>
        <v>0</v>
      </c>
      <c r="DN34" s="186">
        <f t="shared" ca="1" si="137"/>
        <v>0</v>
      </c>
      <c r="DO34" s="186">
        <f t="shared" ca="1" si="137"/>
        <v>0</v>
      </c>
      <c r="DP34" s="186">
        <f t="shared" ca="1" si="137"/>
        <v>0</v>
      </c>
      <c r="DQ34" s="147">
        <f ca="1">IFERROR(DP34/DP$29,0)</f>
        <v>0</v>
      </c>
      <c r="DR34" s="186">
        <f t="shared" ca="1" si="138"/>
        <v>0</v>
      </c>
      <c r="DS34" s="186">
        <f t="shared" ca="1" si="138"/>
        <v>0</v>
      </c>
      <c r="DT34" s="147">
        <f ca="1">IFERROR(DS34/DS$29,0)</f>
        <v>0</v>
      </c>
      <c r="DV34" s="155" t="s">
        <v>27</v>
      </c>
      <c r="DW34" s="155" t="s">
        <v>27</v>
      </c>
      <c r="DX34" s="186">
        <f t="shared" si="139"/>
        <v>0</v>
      </c>
      <c r="DY34" s="186">
        <f t="shared" si="139"/>
        <v>0</v>
      </c>
      <c r="DZ34" s="187" t="s">
        <v>27</v>
      </c>
      <c r="EA34" s="187" t="s">
        <v>27</v>
      </c>
      <c r="EB34" s="187" t="s">
        <v>27</v>
      </c>
      <c r="EC34" s="187"/>
      <c r="ED34" s="186">
        <f t="shared" ca="1" si="140"/>
        <v>0</v>
      </c>
      <c r="EE34" s="186">
        <f t="shared" ca="1" si="140"/>
        <v>0</v>
      </c>
      <c r="EF34" s="186">
        <f t="shared" ca="1" si="140"/>
        <v>0</v>
      </c>
      <c r="EG34" s="149">
        <f ca="1">IFERROR(EF34/EH34,0)</f>
        <v>0</v>
      </c>
      <c r="EH34" s="186">
        <f t="shared" ca="1" si="141"/>
        <v>0</v>
      </c>
      <c r="EI34" s="186">
        <f t="shared" ca="1" si="141"/>
        <v>0</v>
      </c>
      <c r="EJ34" s="186">
        <f t="shared" ca="1" si="141"/>
        <v>0</v>
      </c>
      <c r="EK34" s="186">
        <f t="shared" ca="1" si="141"/>
        <v>0</v>
      </c>
      <c r="EL34" s="186">
        <f t="shared" ca="1" si="141"/>
        <v>0</v>
      </c>
      <c r="EM34" s="147">
        <f ca="1">IFERROR(EL34/EL$29,0)</f>
        <v>0</v>
      </c>
      <c r="EN34" s="186">
        <f t="shared" ca="1" si="142"/>
        <v>0</v>
      </c>
      <c r="EO34" s="186">
        <f t="shared" ca="1" si="142"/>
        <v>0</v>
      </c>
      <c r="EP34" s="147">
        <f ca="1">IFERROR(EO34/EO$29,0)</f>
        <v>0</v>
      </c>
      <c r="ER34" s="186">
        <f t="shared" si="143"/>
        <v>0</v>
      </c>
      <c r="ES34" s="186">
        <f t="shared" si="143"/>
        <v>0</v>
      </c>
      <c r="ET34" s="174" t="s">
        <v>27</v>
      </c>
      <c r="EU34" s="174" t="s">
        <v>27</v>
      </c>
      <c r="EV34" s="174" t="s">
        <v>27</v>
      </c>
      <c r="EW34" s="186">
        <f t="shared" ca="1" si="144"/>
        <v>0</v>
      </c>
      <c r="EX34" s="186">
        <f t="shared" ca="1" si="144"/>
        <v>0</v>
      </c>
      <c r="EY34" s="186">
        <f t="shared" ca="1" si="144"/>
        <v>0</v>
      </c>
      <c r="EZ34" s="149">
        <f ca="1">IFERROR(EY34/FA34,0)</f>
        <v>0</v>
      </c>
      <c r="FA34" s="186">
        <f t="shared" ca="1" si="145"/>
        <v>0</v>
      </c>
      <c r="FB34" s="186">
        <f t="shared" ca="1" si="145"/>
        <v>0</v>
      </c>
      <c r="FC34" s="186">
        <f t="shared" ca="1" si="145"/>
        <v>0</v>
      </c>
      <c r="FD34" s="186">
        <f t="shared" ca="1" si="145"/>
        <v>0</v>
      </c>
      <c r="FE34" s="186">
        <f t="shared" ca="1" si="145"/>
        <v>0</v>
      </c>
      <c r="FF34" s="147">
        <f ca="1">IFERROR(FE34/FE$29,0)</f>
        <v>0</v>
      </c>
      <c r="FG34" s="186">
        <f t="shared" ca="1" si="146"/>
        <v>0</v>
      </c>
      <c r="FH34" s="186">
        <f t="shared" ca="1" si="146"/>
        <v>0</v>
      </c>
      <c r="FI34" s="147">
        <f ca="1">IFERROR(FH34/FH$29,0)</f>
        <v>0</v>
      </c>
      <c r="FL34" s="146">
        <f ca="1">OFFSET($G34,0,IF($FL$4=$G$4,1,13)+MATCH($FL$4,$G$4:$FI$4,0))</f>
        <v>0</v>
      </c>
      <c r="FM34" s="146">
        <f ca="1">OFFSET($G34,0,IF($FL$4=$G$4,2,14)+MATCH($FL$4,$G$4:$FI$4,0))</f>
        <v>0</v>
      </c>
      <c r="FN34" s="146">
        <f ca="1">OFFSET($G34,0,IF($FL$4=$G$4,5,18)+MATCH($FL$4,$G$4:$FI$4,0))</f>
        <v>0</v>
      </c>
      <c r="FQ34" s="174" t="str">
        <f ca="1">IFERROR(OFFSET($G34,0,IF($FQ$4=$G$4,1,13)+MATCH($FQ$4,$G$4:$FI$4,0)),"na")</f>
        <v>na</v>
      </c>
      <c r="FR34" s="174" t="str">
        <f ca="1">IFERROR(OFFSET($G34,0,IF($FQ$4=$G$4,1,14)+MATCH($FQ$4,$G$4:$FI$4,0)),"na")</f>
        <v>na</v>
      </c>
      <c r="FS34" s="174" t="str">
        <f ca="1">IFERROR(OFFSET($G34,0,IF($FQ$4=$G$4,5,18)+MATCH($FQ$4,$G$4:$FI$4,0)),"na")</f>
        <v>na</v>
      </c>
    </row>
    <row r="35" spans="2:175">
      <c r="B35" s="185" t="s">
        <v>27</v>
      </c>
      <c r="C35" s="176"/>
      <c r="D35" s="177" t="s">
        <v>27</v>
      </c>
      <c r="E35" s="177" t="str">
        <f>B35</f>
        <v>na</v>
      </c>
      <c r="G35" s="155" t="s">
        <v>27</v>
      </c>
      <c r="H35" s="155" t="s">
        <v>27</v>
      </c>
      <c r="I35" s="186">
        <f t="shared" si="118"/>
        <v>0</v>
      </c>
      <c r="J35" s="186">
        <f t="shared" si="118"/>
        <v>0</v>
      </c>
      <c r="K35" s="186">
        <f t="shared" si="118"/>
        <v>0</v>
      </c>
      <c r="L35" s="147">
        <f>IFERROR(K35/K$29,0)</f>
        <v>0</v>
      </c>
      <c r="M35" s="186">
        <f>SUMIFS(M$6:M$28,$E$6:$E$28,$B35)</f>
        <v>0</v>
      </c>
      <c r="N35" s="147">
        <f>IFERROR(M35/M$29,0)</f>
        <v>0</v>
      </c>
      <c r="P35" s="155" t="s">
        <v>27</v>
      </c>
      <c r="Q35" s="155" t="s">
        <v>27</v>
      </c>
      <c r="R35" s="186">
        <f t="shared" si="119"/>
        <v>0</v>
      </c>
      <c r="S35" s="186">
        <f t="shared" si="119"/>
        <v>0</v>
      </c>
      <c r="T35" s="187" t="s">
        <v>27</v>
      </c>
      <c r="U35" s="187" t="s">
        <v>27</v>
      </c>
      <c r="V35" s="187" t="s">
        <v>27</v>
      </c>
      <c r="W35" s="187"/>
      <c r="X35" s="186">
        <f t="shared" si="120"/>
        <v>0</v>
      </c>
      <c r="Y35" s="186">
        <f t="shared" si="120"/>
        <v>0</v>
      </c>
      <c r="Z35" s="186">
        <f t="shared" si="120"/>
        <v>0</v>
      </c>
      <c r="AA35" s="149">
        <f>IFERROR(Z35/AB35,0)</f>
        <v>0</v>
      </c>
      <c r="AB35" s="186">
        <f t="shared" si="121"/>
        <v>0</v>
      </c>
      <c r="AC35" s="186">
        <f t="shared" si="121"/>
        <v>0</v>
      </c>
      <c r="AD35" s="186">
        <f t="shared" si="121"/>
        <v>0</v>
      </c>
      <c r="AE35" s="186">
        <f t="shared" si="121"/>
        <v>0</v>
      </c>
      <c r="AF35" s="186">
        <f t="shared" si="121"/>
        <v>0</v>
      </c>
      <c r="AG35" s="147">
        <f ca="1">IFERROR(AF35/AF$29,0)</f>
        <v>0</v>
      </c>
      <c r="AH35" s="186">
        <f t="shared" si="122"/>
        <v>0</v>
      </c>
      <c r="AI35" s="186">
        <f t="shared" si="122"/>
        <v>0</v>
      </c>
      <c r="AJ35" s="147">
        <f ca="1">IFERROR(AI35/AI$29,0)</f>
        <v>0</v>
      </c>
      <c r="AL35" s="155" t="s">
        <v>27</v>
      </c>
      <c r="AM35" s="155" t="s">
        <v>27</v>
      </c>
      <c r="AN35" s="186">
        <f t="shared" si="123"/>
        <v>0</v>
      </c>
      <c r="AO35" s="186">
        <f t="shared" si="123"/>
        <v>0</v>
      </c>
      <c r="AP35" s="187" t="s">
        <v>27</v>
      </c>
      <c r="AQ35" s="187" t="s">
        <v>27</v>
      </c>
      <c r="AR35" s="187" t="s">
        <v>27</v>
      </c>
      <c r="AS35" s="187"/>
      <c r="AT35" s="186">
        <f t="shared" si="124"/>
        <v>0</v>
      </c>
      <c r="AU35" s="186">
        <f t="shared" si="124"/>
        <v>0</v>
      </c>
      <c r="AV35" s="186">
        <f t="shared" si="124"/>
        <v>0</v>
      </c>
      <c r="AW35" s="149">
        <f>IFERROR(AV35/AX35,0)</f>
        <v>0</v>
      </c>
      <c r="AX35" s="186">
        <f t="shared" si="125"/>
        <v>0</v>
      </c>
      <c r="AY35" s="186">
        <f t="shared" si="125"/>
        <v>0</v>
      </c>
      <c r="AZ35" s="186">
        <f t="shared" si="125"/>
        <v>0</v>
      </c>
      <c r="BA35" s="186">
        <f t="shared" si="125"/>
        <v>0</v>
      </c>
      <c r="BB35" s="186">
        <f t="shared" si="125"/>
        <v>0</v>
      </c>
      <c r="BC35" s="147">
        <f ca="1">IFERROR(BB35/BB$29,0)</f>
        <v>0</v>
      </c>
      <c r="BD35" s="186">
        <f t="shared" si="126"/>
        <v>0</v>
      </c>
      <c r="BE35" s="186">
        <f t="shared" si="126"/>
        <v>0</v>
      </c>
      <c r="BF35" s="147">
        <f ca="1">IFERROR(BE35/BE$29,0)</f>
        <v>0</v>
      </c>
      <c r="BH35" s="155" t="s">
        <v>27</v>
      </c>
      <c r="BI35" s="155" t="s">
        <v>27</v>
      </c>
      <c r="BJ35" s="186">
        <f t="shared" si="127"/>
        <v>0</v>
      </c>
      <c r="BK35" s="186">
        <f t="shared" si="127"/>
        <v>0</v>
      </c>
      <c r="BL35" s="187" t="s">
        <v>27</v>
      </c>
      <c r="BM35" s="187" t="s">
        <v>27</v>
      </c>
      <c r="BN35" s="187" t="s">
        <v>27</v>
      </c>
      <c r="BO35" s="187"/>
      <c r="BP35" s="186">
        <f t="shared" si="128"/>
        <v>0</v>
      </c>
      <c r="BQ35" s="186">
        <f t="shared" si="128"/>
        <v>0</v>
      </c>
      <c r="BR35" s="186">
        <f t="shared" si="128"/>
        <v>0</v>
      </c>
      <c r="BS35" s="149">
        <f>IFERROR(BR35/BT35,0)</f>
        <v>0</v>
      </c>
      <c r="BT35" s="186">
        <f t="shared" si="129"/>
        <v>0</v>
      </c>
      <c r="BU35" s="186">
        <f t="shared" si="129"/>
        <v>0</v>
      </c>
      <c r="BV35" s="186">
        <f t="shared" si="129"/>
        <v>0</v>
      </c>
      <c r="BW35" s="186">
        <f t="shared" si="129"/>
        <v>0</v>
      </c>
      <c r="BX35" s="186">
        <f t="shared" si="129"/>
        <v>0</v>
      </c>
      <c r="BY35" s="147">
        <f ca="1">IFERROR(BX35/BX$29,0)</f>
        <v>0</v>
      </c>
      <c r="BZ35" s="186">
        <f t="shared" si="130"/>
        <v>0</v>
      </c>
      <c r="CA35" s="186">
        <f t="shared" si="130"/>
        <v>0</v>
      </c>
      <c r="CB35" s="147">
        <f ca="1">IFERROR(CA35/CA$29,0)</f>
        <v>0</v>
      </c>
      <c r="CD35" s="155" t="s">
        <v>27</v>
      </c>
      <c r="CE35" s="155" t="s">
        <v>27</v>
      </c>
      <c r="CF35" s="186">
        <f t="shared" si="131"/>
        <v>0</v>
      </c>
      <c r="CG35" s="186">
        <f t="shared" si="131"/>
        <v>0</v>
      </c>
      <c r="CH35" s="187" t="s">
        <v>27</v>
      </c>
      <c r="CI35" s="187" t="s">
        <v>27</v>
      </c>
      <c r="CJ35" s="187" t="s">
        <v>27</v>
      </c>
      <c r="CK35" s="187"/>
      <c r="CL35" s="186">
        <f t="shared" si="132"/>
        <v>0</v>
      </c>
      <c r="CM35" s="186">
        <f t="shared" si="132"/>
        <v>0</v>
      </c>
      <c r="CN35" s="186">
        <f t="shared" si="132"/>
        <v>0</v>
      </c>
      <c r="CO35" s="149">
        <f>IFERROR(CN35/CP35,0)</f>
        <v>0</v>
      </c>
      <c r="CP35" s="186">
        <f t="shared" si="133"/>
        <v>0</v>
      </c>
      <c r="CQ35" s="186">
        <f t="shared" si="133"/>
        <v>0</v>
      </c>
      <c r="CR35" s="186">
        <f t="shared" si="133"/>
        <v>0</v>
      </c>
      <c r="CS35" s="186">
        <f t="shared" si="133"/>
        <v>0</v>
      </c>
      <c r="CT35" s="186">
        <f t="shared" si="133"/>
        <v>0</v>
      </c>
      <c r="CU35" s="147">
        <f ca="1">IFERROR(CT35/CT$29,0)</f>
        <v>0</v>
      </c>
      <c r="CV35" s="186">
        <f t="shared" si="134"/>
        <v>0</v>
      </c>
      <c r="CW35" s="186">
        <f t="shared" si="134"/>
        <v>0</v>
      </c>
      <c r="CX35" s="147">
        <f ca="1">IFERROR(CW35/CW$29,0)</f>
        <v>0</v>
      </c>
      <c r="CZ35" s="155" t="s">
        <v>27</v>
      </c>
      <c r="DA35" s="155" t="s">
        <v>27</v>
      </c>
      <c r="DB35" s="186">
        <f t="shared" si="135"/>
        <v>0</v>
      </c>
      <c r="DC35" s="186">
        <f t="shared" si="135"/>
        <v>0</v>
      </c>
      <c r="DD35" s="187" t="s">
        <v>27</v>
      </c>
      <c r="DE35" s="187" t="s">
        <v>27</v>
      </c>
      <c r="DF35" s="187" t="s">
        <v>27</v>
      </c>
      <c r="DG35" s="187"/>
      <c r="DH35" s="186">
        <f t="shared" si="136"/>
        <v>0</v>
      </c>
      <c r="DI35" s="186">
        <f t="shared" si="136"/>
        <v>0</v>
      </c>
      <c r="DJ35" s="186">
        <f t="shared" si="136"/>
        <v>0</v>
      </c>
      <c r="DK35" s="149">
        <f>IFERROR(DJ35/DL35,0)</f>
        <v>0</v>
      </c>
      <c r="DL35" s="186">
        <f t="shared" si="137"/>
        <v>0</v>
      </c>
      <c r="DM35" s="186">
        <f t="shared" si="137"/>
        <v>0</v>
      </c>
      <c r="DN35" s="186">
        <f t="shared" si="137"/>
        <v>0</v>
      </c>
      <c r="DO35" s="186">
        <f t="shared" si="137"/>
        <v>0</v>
      </c>
      <c r="DP35" s="186">
        <f t="shared" si="137"/>
        <v>0</v>
      </c>
      <c r="DQ35" s="147">
        <f ca="1">IFERROR(DP35/DP$29,0)</f>
        <v>0</v>
      </c>
      <c r="DR35" s="186">
        <f t="shared" si="138"/>
        <v>0</v>
      </c>
      <c r="DS35" s="186">
        <f t="shared" si="138"/>
        <v>0</v>
      </c>
      <c r="DT35" s="147">
        <f ca="1">IFERROR(DS35/DS$29,0)</f>
        <v>0</v>
      </c>
      <c r="DV35" s="155" t="s">
        <v>27</v>
      </c>
      <c r="DW35" s="155" t="s">
        <v>27</v>
      </c>
      <c r="DX35" s="186">
        <f t="shared" si="139"/>
        <v>0</v>
      </c>
      <c r="DY35" s="186">
        <f t="shared" si="139"/>
        <v>0</v>
      </c>
      <c r="DZ35" s="187" t="s">
        <v>27</v>
      </c>
      <c r="EA35" s="187" t="s">
        <v>27</v>
      </c>
      <c r="EB35" s="187" t="s">
        <v>27</v>
      </c>
      <c r="EC35" s="187"/>
      <c r="ED35" s="186">
        <f t="shared" si="140"/>
        <v>0</v>
      </c>
      <c r="EE35" s="186">
        <f t="shared" si="140"/>
        <v>0</v>
      </c>
      <c r="EF35" s="186">
        <f t="shared" si="140"/>
        <v>0</v>
      </c>
      <c r="EG35" s="149">
        <f>IFERROR(EF35/EH35,0)</f>
        <v>0</v>
      </c>
      <c r="EH35" s="186">
        <f t="shared" si="141"/>
        <v>0</v>
      </c>
      <c r="EI35" s="186">
        <f t="shared" si="141"/>
        <v>0</v>
      </c>
      <c r="EJ35" s="186">
        <f t="shared" si="141"/>
        <v>0</v>
      </c>
      <c r="EK35" s="186">
        <f t="shared" si="141"/>
        <v>0</v>
      </c>
      <c r="EL35" s="186">
        <f t="shared" si="141"/>
        <v>0</v>
      </c>
      <c r="EM35" s="147">
        <f ca="1">IFERROR(EL35/EL$29,0)</f>
        <v>0</v>
      </c>
      <c r="EN35" s="186">
        <f t="shared" si="142"/>
        <v>0</v>
      </c>
      <c r="EO35" s="186">
        <f t="shared" si="142"/>
        <v>0</v>
      </c>
      <c r="EP35" s="147">
        <f ca="1">IFERROR(EO35/EO$29,0)</f>
        <v>0</v>
      </c>
      <c r="ER35" s="186">
        <f t="shared" si="143"/>
        <v>0</v>
      </c>
      <c r="ES35" s="186">
        <f t="shared" si="143"/>
        <v>0</v>
      </c>
      <c r="ET35" s="174" t="s">
        <v>27</v>
      </c>
      <c r="EU35" s="174" t="s">
        <v>27</v>
      </c>
      <c r="EV35" s="174" t="s">
        <v>27</v>
      </c>
      <c r="EW35" s="186">
        <f t="shared" si="144"/>
        <v>0</v>
      </c>
      <c r="EX35" s="186">
        <f t="shared" si="144"/>
        <v>0</v>
      </c>
      <c r="EY35" s="186">
        <f t="shared" si="144"/>
        <v>0</v>
      </c>
      <c r="EZ35" s="149">
        <f>IFERROR(EY35/FA35,0)</f>
        <v>0</v>
      </c>
      <c r="FA35" s="186">
        <f t="shared" si="145"/>
        <v>0</v>
      </c>
      <c r="FB35" s="186">
        <f t="shared" si="145"/>
        <v>0</v>
      </c>
      <c r="FC35" s="186">
        <f t="shared" si="145"/>
        <v>0</v>
      </c>
      <c r="FD35" s="186">
        <f t="shared" si="145"/>
        <v>0</v>
      </c>
      <c r="FE35" s="186">
        <f t="shared" si="145"/>
        <v>0</v>
      </c>
      <c r="FF35" s="147">
        <f ca="1">IFERROR(FE35/FE$29,0)</f>
        <v>0</v>
      </c>
      <c r="FG35" s="186">
        <f t="shared" si="146"/>
        <v>0</v>
      </c>
      <c r="FH35" s="186">
        <f t="shared" si="146"/>
        <v>0</v>
      </c>
      <c r="FI35" s="147">
        <f ca="1">IFERROR(FH35/FH$29,0)</f>
        <v>0</v>
      </c>
      <c r="FL35" s="146">
        <f ca="1">OFFSET($G35,0,IF($FL$4=$G$4,1,13)+MATCH($FL$4,$G$4:$FI$4,0))</f>
        <v>0</v>
      </c>
      <c r="FM35" s="146">
        <f ca="1">OFFSET($G35,0,IF($FL$4=$G$4,2,14)+MATCH($FL$4,$G$4:$FI$4,0))</f>
        <v>0</v>
      </c>
      <c r="FN35" s="146">
        <f ca="1">OFFSET($G35,0,IF($FL$4=$G$4,5,18)+MATCH($FL$4,$G$4:$FI$4,0))</f>
        <v>0</v>
      </c>
      <c r="FQ35" s="174" t="str">
        <f ca="1">IFERROR(OFFSET($G35,0,IF($FQ$4=$G$4,1,13)+MATCH($FQ$4,$G$4:$FI$4,0)),"na")</f>
        <v>na</v>
      </c>
      <c r="FR35" s="174" t="str">
        <f ca="1">IFERROR(OFFSET($G35,0,IF($FQ$4=$G$4,1,14)+MATCH($FQ$4,$G$4:$FI$4,0)),"na")</f>
        <v>na</v>
      </c>
      <c r="FS35" s="174" t="str">
        <f ca="1">IFERROR(OFFSET($G35,0,IF($FQ$4=$G$4,5,18)+MATCH($FQ$4,$G$4:$FI$4,0)),"na")</f>
        <v>na</v>
      </c>
    </row>
    <row r="36" spans="2:175">
      <c r="B36" s="176" t="s">
        <v>20</v>
      </c>
      <c r="C36" s="176"/>
      <c r="D36" s="176"/>
      <c r="G36" s="182"/>
      <c r="H36" s="182"/>
      <c r="I36" s="188">
        <f>SUM(I32:I35)</f>
        <v>0</v>
      </c>
      <c r="J36" s="188">
        <f>SUM(J32:J35)</f>
        <v>0</v>
      </c>
      <c r="K36" s="188">
        <f>SUM(K32:K35)</f>
        <v>0</v>
      </c>
      <c r="L36" s="152">
        <f>IFERROR(K36/K$29,0)</f>
        <v>0</v>
      </c>
      <c r="M36" s="188">
        <f>SUM(M32:M35)</f>
        <v>0</v>
      </c>
      <c r="N36" s="152">
        <f>IFERROR(M36/M$29,0)</f>
        <v>0</v>
      </c>
      <c r="P36" s="182"/>
      <c r="Q36" s="182"/>
      <c r="R36" s="188">
        <f>SUM(R32:R35)</f>
        <v>0</v>
      </c>
      <c r="S36" s="188">
        <f>SUM(S32:S35)</f>
        <v>0</v>
      </c>
      <c r="T36" s="151"/>
      <c r="U36" s="151"/>
      <c r="V36" s="151"/>
      <c r="W36" s="151"/>
      <c r="X36" s="188">
        <f ca="1">SUM(X32:X35)</f>
        <v>0</v>
      </c>
      <c r="Y36" s="188">
        <f ca="1">SUM(Y32:Y35)</f>
        <v>0</v>
      </c>
      <c r="Z36" s="188">
        <f ca="1">SUM(Z32:Z35)</f>
        <v>0</v>
      </c>
      <c r="AA36" s="151">
        <f ca="1">IFERROR(Z36/AB36,0)</f>
        <v>0</v>
      </c>
      <c r="AB36" s="188">
        <f ca="1">SUM(AB32:AB35)</f>
        <v>0</v>
      </c>
      <c r="AC36" s="188">
        <f>SUM(AC32:AC35)</f>
        <v>0</v>
      </c>
      <c r="AD36" s="188">
        <f ca="1">SUM(AD32:AD35)</f>
        <v>0</v>
      </c>
      <c r="AE36" s="188">
        <f>SUM(AE32:AE35)</f>
        <v>0</v>
      </c>
      <c r="AF36" s="188">
        <f ca="1">SUM(AF32:AF35)</f>
        <v>0</v>
      </c>
      <c r="AG36" s="152">
        <f ca="1">IFERROR(AF36/AF$29,0)</f>
        <v>0</v>
      </c>
      <c r="AH36" s="188">
        <f ca="1">SUM(AH32:AH35)</f>
        <v>0</v>
      </c>
      <c r="AI36" s="188">
        <f ca="1">SUM(AI32:AI35)</f>
        <v>0</v>
      </c>
      <c r="AJ36" s="152">
        <f ca="1">IFERROR(AI36/AI$29,0)</f>
        <v>0</v>
      </c>
      <c r="AL36" s="182"/>
      <c r="AM36" s="182"/>
      <c r="AN36" s="188">
        <f>SUM(AN32:AN35)</f>
        <v>0</v>
      </c>
      <c r="AO36" s="188">
        <f>SUM(AO32:AO35)</f>
        <v>0</v>
      </c>
      <c r="AP36" s="151"/>
      <c r="AQ36" s="151"/>
      <c r="AR36" s="151"/>
      <c r="AS36" s="151"/>
      <c r="AT36" s="188">
        <f ca="1">SUM(AT32:AT35)</f>
        <v>0</v>
      </c>
      <c r="AU36" s="188">
        <f ca="1">SUM(AU32:AU35)</f>
        <v>0</v>
      </c>
      <c r="AV36" s="188">
        <f ca="1">SUM(AV32:AV35)</f>
        <v>0</v>
      </c>
      <c r="AW36" s="151">
        <f ca="1">IFERROR(AV36/AX36,0)</f>
        <v>0</v>
      </c>
      <c r="AX36" s="188">
        <f ca="1">SUM(AX32:AX35)</f>
        <v>0</v>
      </c>
      <c r="AY36" s="188">
        <f ca="1">SUM(AY32:AY35)</f>
        <v>0</v>
      </c>
      <c r="AZ36" s="188">
        <f ca="1">SUM(AZ32:AZ35)</f>
        <v>0</v>
      </c>
      <c r="BA36" s="188">
        <f ca="1">SUM(BA32:BA35)</f>
        <v>0</v>
      </c>
      <c r="BB36" s="188">
        <f ca="1">SUM(BB32:BB35)</f>
        <v>0</v>
      </c>
      <c r="BC36" s="152">
        <f ca="1">IFERROR(BB36/BB$29,0)</f>
        <v>0</v>
      </c>
      <c r="BD36" s="188">
        <f ca="1">SUM(BD32:BD35)</f>
        <v>0</v>
      </c>
      <c r="BE36" s="188">
        <f ca="1">SUM(BE32:BE35)</f>
        <v>0</v>
      </c>
      <c r="BF36" s="152">
        <f ca="1">IFERROR(BE36/BE$29,0)</f>
        <v>0</v>
      </c>
      <c r="BH36" s="182"/>
      <c r="BI36" s="182"/>
      <c r="BJ36" s="188">
        <f>SUM(BJ32:BJ35)</f>
        <v>0</v>
      </c>
      <c r="BK36" s="188">
        <f>SUM(BK32:BK35)</f>
        <v>0</v>
      </c>
      <c r="BL36" s="151"/>
      <c r="BM36" s="151"/>
      <c r="BN36" s="151"/>
      <c r="BO36" s="151"/>
      <c r="BP36" s="188">
        <f ca="1">SUM(BP32:BP35)</f>
        <v>0</v>
      </c>
      <c r="BQ36" s="188">
        <f ca="1">SUM(BQ32:BQ35)</f>
        <v>0</v>
      </c>
      <c r="BR36" s="188">
        <f ca="1">SUM(BR32:BR35)</f>
        <v>0</v>
      </c>
      <c r="BS36" s="151">
        <f ca="1">IFERROR(BR36/BT36,0)</f>
        <v>0</v>
      </c>
      <c r="BT36" s="188">
        <f ca="1">SUM(BT32:BT35)</f>
        <v>0</v>
      </c>
      <c r="BU36" s="188">
        <f ca="1">SUM(BU32:BU35)</f>
        <v>0</v>
      </c>
      <c r="BV36" s="188">
        <f ca="1">SUM(BV32:BV35)</f>
        <v>0</v>
      </c>
      <c r="BW36" s="188">
        <f ca="1">SUM(BW32:BW35)</f>
        <v>0</v>
      </c>
      <c r="BX36" s="188">
        <f ca="1">SUM(BX32:BX35)</f>
        <v>0</v>
      </c>
      <c r="BY36" s="152">
        <f ca="1">IFERROR(BX36/BX$29,0)</f>
        <v>0</v>
      </c>
      <c r="BZ36" s="188">
        <f ca="1">SUM(BZ32:BZ35)</f>
        <v>0</v>
      </c>
      <c r="CA36" s="188">
        <f ca="1">SUM(CA32:CA35)</f>
        <v>0</v>
      </c>
      <c r="CB36" s="152">
        <f ca="1">IFERROR(CA36/CA$29,0)</f>
        <v>0</v>
      </c>
      <c r="CD36" s="182"/>
      <c r="CE36" s="182"/>
      <c r="CF36" s="188">
        <f>SUM(CF32:CF35)</f>
        <v>0</v>
      </c>
      <c r="CG36" s="188">
        <f>SUM(CG32:CG35)</f>
        <v>0</v>
      </c>
      <c r="CH36" s="151"/>
      <c r="CI36" s="151"/>
      <c r="CJ36" s="151"/>
      <c r="CK36" s="151"/>
      <c r="CL36" s="188">
        <f ca="1">SUM(CL32:CL35)</f>
        <v>0</v>
      </c>
      <c r="CM36" s="188">
        <f ca="1">SUM(CM32:CM35)</f>
        <v>0</v>
      </c>
      <c r="CN36" s="188">
        <f ca="1">SUM(CN32:CN35)</f>
        <v>0</v>
      </c>
      <c r="CO36" s="151">
        <f ca="1">IFERROR(CN36/CP36,0)</f>
        <v>0</v>
      </c>
      <c r="CP36" s="188">
        <f ca="1">SUM(CP32:CP35)</f>
        <v>0</v>
      </c>
      <c r="CQ36" s="188">
        <f ca="1">SUM(CQ32:CQ35)</f>
        <v>0</v>
      </c>
      <c r="CR36" s="188">
        <f ca="1">SUM(CR32:CR35)</f>
        <v>0</v>
      </c>
      <c r="CS36" s="188">
        <f ca="1">SUM(CS32:CS35)</f>
        <v>0</v>
      </c>
      <c r="CT36" s="188">
        <f ca="1">SUM(CT32:CT35)</f>
        <v>0</v>
      </c>
      <c r="CU36" s="152">
        <f ca="1">IFERROR(CT36/CT$29,0)</f>
        <v>0</v>
      </c>
      <c r="CV36" s="188">
        <f ca="1">SUM(CV32:CV35)</f>
        <v>0</v>
      </c>
      <c r="CW36" s="188">
        <f ca="1">SUM(CW32:CW35)</f>
        <v>0</v>
      </c>
      <c r="CX36" s="152">
        <f ca="1">IFERROR(CW36/CW$29,0)</f>
        <v>0</v>
      </c>
      <c r="CZ36" s="182"/>
      <c r="DA36" s="182"/>
      <c r="DB36" s="188">
        <f>SUM(DB32:DB35)</f>
        <v>0</v>
      </c>
      <c r="DC36" s="188">
        <f>SUM(DC32:DC35)</f>
        <v>0</v>
      </c>
      <c r="DD36" s="151"/>
      <c r="DE36" s="151"/>
      <c r="DF36" s="151"/>
      <c r="DG36" s="151"/>
      <c r="DH36" s="188">
        <f ca="1">SUM(DH32:DH35)</f>
        <v>0</v>
      </c>
      <c r="DI36" s="188">
        <f ca="1">SUM(DI32:DI35)</f>
        <v>0</v>
      </c>
      <c r="DJ36" s="188">
        <f ca="1">SUM(DJ32:DJ35)</f>
        <v>0</v>
      </c>
      <c r="DK36" s="151">
        <f ca="1">IFERROR(DJ36/DL36,0)</f>
        <v>0</v>
      </c>
      <c r="DL36" s="188">
        <f ca="1">SUM(DL32:DL35)</f>
        <v>0</v>
      </c>
      <c r="DM36" s="188">
        <f ca="1">SUM(DM32:DM35)</f>
        <v>0</v>
      </c>
      <c r="DN36" s="188">
        <f ca="1">SUM(DN32:DN35)</f>
        <v>0</v>
      </c>
      <c r="DO36" s="188">
        <f ca="1">SUM(DO32:DO35)</f>
        <v>0</v>
      </c>
      <c r="DP36" s="188">
        <f ca="1">SUM(DP32:DP35)</f>
        <v>0</v>
      </c>
      <c r="DQ36" s="152">
        <f ca="1">IFERROR(DP36/DP$29,0)</f>
        <v>0</v>
      </c>
      <c r="DR36" s="188">
        <f ca="1">SUM(DR32:DR35)</f>
        <v>0</v>
      </c>
      <c r="DS36" s="188">
        <f ca="1">SUM(DS32:DS35)</f>
        <v>0</v>
      </c>
      <c r="DT36" s="152">
        <f ca="1">IFERROR(DS36/DS$29,0)</f>
        <v>0</v>
      </c>
      <c r="DV36" s="182"/>
      <c r="DW36" s="182"/>
      <c r="DX36" s="188">
        <f>SUM(DX32:DX35)</f>
        <v>0</v>
      </c>
      <c r="DY36" s="188">
        <f>SUM(DY32:DY35)</f>
        <v>0</v>
      </c>
      <c r="DZ36" s="151"/>
      <c r="EA36" s="151"/>
      <c r="EB36" s="151"/>
      <c r="EC36" s="151"/>
      <c r="ED36" s="188">
        <f ca="1">SUM(ED32:ED35)</f>
        <v>0</v>
      </c>
      <c r="EE36" s="188">
        <f ca="1">SUM(EE32:EE35)</f>
        <v>0</v>
      </c>
      <c r="EF36" s="188">
        <f ca="1">SUM(EF32:EF35)</f>
        <v>0</v>
      </c>
      <c r="EG36" s="151">
        <f ca="1">IFERROR(EF36/EH36,0)</f>
        <v>0</v>
      </c>
      <c r="EH36" s="188">
        <f ca="1">SUM(EH32:EH35)</f>
        <v>0</v>
      </c>
      <c r="EI36" s="188">
        <f ca="1">SUM(EI32:EI35)</f>
        <v>0</v>
      </c>
      <c r="EJ36" s="188">
        <f ca="1">SUM(EJ32:EJ35)</f>
        <v>0</v>
      </c>
      <c r="EK36" s="188">
        <f ca="1">SUM(EK32:EK35)</f>
        <v>0</v>
      </c>
      <c r="EL36" s="188">
        <f ca="1">SUM(EL32:EL35)</f>
        <v>0</v>
      </c>
      <c r="EM36" s="152">
        <f ca="1">IFERROR(EL36/EL$29,0)</f>
        <v>0</v>
      </c>
      <c r="EN36" s="188">
        <f ca="1">SUM(EN32:EN35)</f>
        <v>0</v>
      </c>
      <c r="EO36" s="188">
        <f ca="1">SUM(EO32:EO35)</f>
        <v>0</v>
      </c>
      <c r="EP36" s="152">
        <f ca="1">IFERROR(EO36/EO$29,0)</f>
        <v>0</v>
      </c>
      <c r="ER36" s="188">
        <f>SUM(ER32:ER35)</f>
        <v>0</v>
      </c>
      <c r="ES36" s="188">
        <f>SUM(ES32:ES35)</f>
        <v>0</v>
      </c>
      <c r="ET36" s="151"/>
      <c r="EU36" s="151"/>
      <c r="EV36" s="151"/>
      <c r="EW36" s="188">
        <f ca="1">SUM(EW32:EW35)</f>
        <v>0</v>
      </c>
      <c r="EX36" s="188">
        <f ca="1">SUM(EX32:EX35)</f>
        <v>0</v>
      </c>
      <c r="EY36" s="188">
        <f ca="1">SUM(EY32:EY35)</f>
        <v>0</v>
      </c>
      <c r="EZ36" s="151">
        <f ca="1">IFERROR(EY36/FA36,0)</f>
        <v>0</v>
      </c>
      <c r="FA36" s="188">
        <f ca="1">SUM(FA32:FA35)</f>
        <v>0</v>
      </c>
      <c r="FB36" s="188">
        <f ca="1">SUM(FB32:FB35)</f>
        <v>0</v>
      </c>
      <c r="FC36" s="188">
        <f ca="1">SUM(FC32:FC35)</f>
        <v>0</v>
      </c>
      <c r="FD36" s="188">
        <f ca="1">SUM(FD32:FD35)</f>
        <v>0</v>
      </c>
      <c r="FE36" s="188">
        <f ca="1">SUM(FE32:FE35)</f>
        <v>0</v>
      </c>
      <c r="FF36" s="152">
        <f ca="1">IFERROR(FE36/FE$29,0)</f>
        <v>0</v>
      </c>
      <c r="FG36" s="188">
        <f ca="1">SUM(FG32:FG35)</f>
        <v>0</v>
      </c>
      <c r="FH36" s="188">
        <f ca="1">SUM(FH32:FH35)</f>
        <v>0</v>
      </c>
      <c r="FI36" s="152">
        <f ca="1">IFERROR(FH36/FH$29,0)</f>
        <v>0</v>
      </c>
      <c r="FL36" s="188">
        <f ca="1">SUM(FL32:FL35)</f>
        <v>0</v>
      </c>
      <c r="FM36" s="188">
        <f ca="1">SUM(FM32:FM35)</f>
        <v>0</v>
      </c>
      <c r="FN36" s="188">
        <f ca="1">SUM(FN32:FN35)</f>
        <v>0</v>
      </c>
      <c r="FQ36" s="188">
        <f ca="1">SUM(FQ32:FQ35)</f>
        <v>0</v>
      </c>
      <c r="FR36" s="188">
        <f ca="1">SUM(FR32:FR35)</f>
        <v>0</v>
      </c>
      <c r="FS36" s="188">
        <f ca="1">SUM(FS32:FS35)</f>
        <v>0</v>
      </c>
    </row>
    <row r="37" spans="2:175">
      <c r="BH37" s="155"/>
      <c r="BI37" s="155"/>
      <c r="CD37" s="155"/>
      <c r="CE37" s="155"/>
      <c r="CZ37" s="155"/>
      <c r="DA37" s="155"/>
      <c r="DV37" s="155"/>
      <c r="DW37" s="155"/>
    </row>
    <row r="38" spans="2:175">
      <c r="B38" s="189" t="s">
        <v>436</v>
      </c>
      <c r="BH38" s="155"/>
      <c r="BI38" s="155"/>
      <c r="CD38" s="155"/>
      <c r="CE38" s="155"/>
      <c r="CZ38" s="155"/>
      <c r="DA38" s="155"/>
      <c r="DV38" s="155"/>
      <c r="DW38" s="155"/>
    </row>
    <row r="39" spans="2:175">
      <c r="B39" s="150" t="s">
        <v>447</v>
      </c>
      <c r="D39" s="177" t="s">
        <v>27</v>
      </c>
      <c r="E39" s="177" t="s">
        <v>27</v>
      </c>
      <c r="G39" s="155" t="s">
        <v>27</v>
      </c>
      <c r="H39" s="155" t="s">
        <v>27</v>
      </c>
      <c r="I39" s="186">
        <f t="shared" ref="I39:K44" si="147">SUMIFS(I$6:I$28,$H$6:$H$28,$B39)</f>
        <v>0</v>
      </c>
      <c r="J39" s="186">
        <f t="shared" si="147"/>
        <v>0</v>
      </c>
      <c r="K39" s="186">
        <f t="shared" si="147"/>
        <v>0</v>
      </c>
      <c r="L39" s="147">
        <f>IFERROR(K39/K$29,0)</f>
        <v>0</v>
      </c>
      <c r="M39" s="186">
        <f t="shared" ref="M39:M44" si="148">SUMIFS(M$6:M$28,$H$6:$H$28,$B39)</f>
        <v>0</v>
      </c>
      <c r="N39" s="147">
        <f>IFERROR(M39/M$29,0)</f>
        <v>0</v>
      </c>
      <c r="P39" s="155" t="s">
        <v>27</v>
      </c>
      <c r="Q39" s="155" t="s">
        <v>27</v>
      </c>
      <c r="R39" s="186">
        <f t="shared" ref="R39:S44" si="149">SUMIFS(R$6:R$28,$Q$6:$Q$28,$B39)</f>
        <v>0</v>
      </c>
      <c r="S39" s="186">
        <f t="shared" si="149"/>
        <v>0</v>
      </c>
      <c r="T39" s="187" t="s">
        <v>27</v>
      </c>
      <c r="U39" s="187" t="s">
        <v>27</v>
      </c>
      <c r="V39" s="187" t="s">
        <v>27</v>
      </c>
      <c r="W39" s="187"/>
      <c r="X39" s="186">
        <f t="shared" ref="X39:Z44" ca="1" si="150">SUMIFS(X$6:X$28,$Q$6:$Q$28,$B39)</f>
        <v>0</v>
      </c>
      <c r="Y39" s="186">
        <f t="shared" ca="1" si="150"/>
        <v>0</v>
      </c>
      <c r="Z39" s="186">
        <f t="shared" ca="1" si="150"/>
        <v>0</v>
      </c>
      <c r="AA39" s="149">
        <f t="shared" ref="AA39:AA44" ca="1" si="151">IFERROR(Z39/AB39,0)</f>
        <v>0</v>
      </c>
      <c r="AB39" s="186">
        <f t="shared" ref="AB39:AF44" ca="1" si="152">SUMIFS(AB$6:AB$28,$Q$6:$Q$28,$B39)</f>
        <v>0</v>
      </c>
      <c r="AC39" s="186">
        <f t="shared" si="152"/>
        <v>0</v>
      </c>
      <c r="AD39" s="186">
        <f t="shared" ca="1" si="152"/>
        <v>0</v>
      </c>
      <c r="AE39" s="186">
        <f t="shared" si="152"/>
        <v>0</v>
      </c>
      <c r="AF39" s="186">
        <f t="shared" ca="1" si="152"/>
        <v>0</v>
      </c>
      <c r="AG39" s="147">
        <f ca="1">IFERROR(AF39/AF$29,0)</f>
        <v>0</v>
      </c>
      <c r="AH39" s="186">
        <f t="shared" ref="AH39:AI44" ca="1" si="153">SUMIFS(AH$6:AH$28,$Q$6:$Q$28,$B39)</f>
        <v>0</v>
      </c>
      <c r="AI39" s="186">
        <f t="shared" ca="1" si="153"/>
        <v>0</v>
      </c>
      <c r="AJ39" s="147">
        <f ca="1">IFERROR(AI39/AI$29,0)</f>
        <v>0</v>
      </c>
      <c r="AL39" s="155" t="s">
        <v>27</v>
      </c>
      <c r="AM39" s="155" t="s">
        <v>27</v>
      </c>
      <c r="AN39" s="186">
        <f t="shared" ref="AN39:AO45" si="154">SUMIFS(AN$6:AN$28,$AM$6:$AM$28,$B39)</f>
        <v>0</v>
      </c>
      <c r="AO39" s="186">
        <f t="shared" si="154"/>
        <v>0</v>
      </c>
      <c r="AP39" s="187" t="s">
        <v>27</v>
      </c>
      <c r="AQ39" s="187" t="s">
        <v>27</v>
      </c>
      <c r="AR39" s="187" t="s">
        <v>27</v>
      </c>
      <c r="AS39" s="187"/>
      <c r="AT39" s="186">
        <f t="shared" ref="AT39:AV45" ca="1" si="155">SUMIFS(AT$6:AT$28,$AM$6:$AM$28,$B39)</f>
        <v>0</v>
      </c>
      <c r="AU39" s="186">
        <f t="shared" ca="1" si="155"/>
        <v>0</v>
      </c>
      <c r="AV39" s="186">
        <f t="shared" ca="1" si="155"/>
        <v>0</v>
      </c>
      <c r="AW39" s="149">
        <f t="shared" ref="AW39:AW44" ca="1" si="156">IFERROR(AV39/AX39,0)</f>
        <v>0</v>
      </c>
      <c r="AX39" s="186">
        <f t="shared" ref="AX39:BB45" ca="1" si="157">SUMIFS(AX$6:AX$28,$AM$6:$AM$28,$B39)</f>
        <v>0</v>
      </c>
      <c r="AY39" s="186">
        <f t="shared" ca="1" si="157"/>
        <v>0</v>
      </c>
      <c r="AZ39" s="186">
        <f t="shared" ca="1" si="157"/>
        <v>0</v>
      </c>
      <c r="BA39" s="186">
        <f t="shared" ca="1" si="157"/>
        <v>0</v>
      </c>
      <c r="BB39" s="186">
        <f t="shared" ca="1" si="157"/>
        <v>0</v>
      </c>
      <c r="BC39" s="147">
        <f ca="1">IFERROR(BB39/BB$29,0)</f>
        <v>0</v>
      </c>
      <c r="BD39" s="186">
        <f t="shared" ref="BD39:BE45" ca="1" si="158">SUMIFS(BD$6:BD$28,$AM$6:$AM$28,$B39)</f>
        <v>0</v>
      </c>
      <c r="BE39" s="186">
        <f t="shared" ca="1" si="158"/>
        <v>0</v>
      </c>
      <c r="BF39" s="147">
        <f ca="1">IFERROR(BE39/BE$29,0)</f>
        <v>0</v>
      </c>
      <c r="BH39" s="190" t="s">
        <v>449</v>
      </c>
      <c r="BI39" s="190" t="s">
        <v>449</v>
      </c>
      <c r="BJ39" s="186">
        <f t="shared" ref="BJ39:BK44" si="159">SUMIFS(BJ$6:BJ$28,$BI$6:$BI$28,$B39)</f>
        <v>0</v>
      </c>
      <c r="BK39" s="186">
        <f t="shared" si="159"/>
        <v>0</v>
      </c>
      <c r="BL39" s="187" t="s">
        <v>27</v>
      </c>
      <c r="BM39" s="187" t="s">
        <v>27</v>
      </c>
      <c r="BN39" s="187" t="s">
        <v>27</v>
      </c>
      <c r="BO39" s="187"/>
      <c r="BP39" s="186">
        <f t="shared" ref="BP39:BR44" ca="1" si="160">SUMIFS(BP$6:BP$28,$BI$6:$BI$28,$B39)</f>
        <v>0</v>
      </c>
      <c r="BQ39" s="186">
        <f t="shared" ca="1" si="160"/>
        <v>0</v>
      </c>
      <c r="BR39" s="186">
        <f t="shared" ca="1" si="160"/>
        <v>0</v>
      </c>
      <c r="BS39" s="149">
        <f t="shared" ref="BS39:BS44" ca="1" si="161">IFERROR(BR39/BT39,0)</f>
        <v>0</v>
      </c>
      <c r="BT39" s="186">
        <f t="shared" ref="BT39:BX44" ca="1" si="162">SUMIFS(BT$6:BT$28,$BI$6:$BI$28,$B39)</f>
        <v>0</v>
      </c>
      <c r="BU39" s="186">
        <f t="shared" ca="1" si="162"/>
        <v>0</v>
      </c>
      <c r="BV39" s="186">
        <f t="shared" ca="1" si="162"/>
        <v>0</v>
      </c>
      <c r="BW39" s="186">
        <f t="shared" ca="1" si="162"/>
        <v>0</v>
      </c>
      <c r="BX39" s="186">
        <f t="shared" ca="1" si="162"/>
        <v>0</v>
      </c>
      <c r="BY39" s="147">
        <f ca="1">IFERROR(BX39/BX$29,0)</f>
        <v>0</v>
      </c>
      <c r="BZ39" s="186">
        <f t="shared" ref="BZ39:CA44" ca="1" si="163">SUMIFS(BZ$6:BZ$28,$BI$6:$BI$28,$B39)</f>
        <v>0</v>
      </c>
      <c r="CA39" s="186">
        <f t="shared" ca="1" si="163"/>
        <v>0</v>
      </c>
      <c r="CB39" s="147">
        <f ca="1">IFERROR(CA39/CA$29,0)</f>
        <v>0</v>
      </c>
      <c r="CD39" s="155" t="s">
        <v>27</v>
      </c>
      <c r="CE39" s="155" t="s">
        <v>27</v>
      </c>
      <c r="CF39" s="186">
        <f t="shared" ref="CF39:CG45" si="164">SUMIFS(CF$6:CF$28,$CE$6:$CE$28,$B39)</f>
        <v>0</v>
      </c>
      <c r="CG39" s="186">
        <f t="shared" si="164"/>
        <v>0</v>
      </c>
      <c r="CH39" s="187" t="s">
        <v>27</v>
      </c>
      <c r="CI39" s="187" t="s">
        <v>27</v>
      </c>
      <c r="CJ39" s="187" t="s">
        <v>27</v>
      </c>
      <c r="CK39" s="187"/>
      <c r="CL39" s="186">
        <f t="shared" ref="CL39:CN45" ca="1" si="165">SUMIFS(CL$6:CL$28,$CE$6:$CE$28,$B39)</f>
        <v>0</v>
      </c>
      <c r="CM39" s="186">
        <f t="shared" ca="1" si="165"/>
        <v>0</v>
      </c>
      <c r="CN39" s="186">
        <f t="shared" ca="1" si="165"/>
        <v>0</v>
      </c>
      <c r="CO39" s="149">
        <f t="shared" ref="CO39:CO44" ca="1" si="166">IFERROR(CN39/CP39,0)</f>
        <v>0</v>
      </c>
      <c r="CP39" s="186">
        <f t="shared" ref="CP39:CQ45" ca="1" si="167">SUMIFS(CP$6:CP$28,$CE$6:$CE$28,$B39)</f>
        <v>0</v>
      </c>
      <c r="CQ39" s="186">
        <f t="shared" ca="1" si="167"/>
        <v>0</v>
      </c>
      <c r="CR39" s="147">
        <f ca="1">IFERROR(CQ39/CQ$29,0)</f>
        <v>0</v>
      </c>
      <c r="CS39" s="186">
        <f t="shared" ref="CS39:CT45" ca="1" si="168">SUMIFS(CS$6:CS$28,$CE$6:$CE$28,$B39)</f>
        <v>0</v>
      </c>
      <c r="CT39" s="186">
        <f t="shared" ca="1" si="168"/>
        <v>0</v>
      </c>
      <c r="CU39" s="147">
        <f ca="1">IFERROR(CT39/CT$29,0)</f>
        <v>0</v>
      </c>
      <c r="CV39" s="186">
        <f t="shared" ref="CV39:CW45" ca="1" si="169">SUMIFS(CV$6:CV$28,$CE$6:$CE$28,$B39)</f>
        <v>0</v>
      </c>
      <c r="CW39" s="186">
        <f t="shared" ca="1" si="169"/>
        <v>0</v>
      </c>
      <c r="CX39" s="147">
        <f ca="1">IFERROR(CW39/CW$29,0)</f>
        <v>0</v>
      </c>
      <c r="CZ39" s="155" t="s">
        <v>27</v>
      </c>
      <c r="DA39" s="155" t="s">
        <v>27</v>
      </c>
      <c r="DB39" s="186">
        <f t="shared" ref="DB39:DC44" si="170">SUMIFS(DB$6:DB$28,$DA$6:$DA$28,$B39)</f>
        <v>0</v>
      </c>
      <c r="DC39" s="186">
        <f t="shared" si="170"/>
        <v>0</v>
      </c>
      <c r="DD39" s="187" t="s">
        <v>27</v>
      </c>
      <c r="DE39" s="187" t="s">
        <v>27</v>
      </c>
      <c r="DF39" s="187" t="s">
        <v>27</v>
      </c>
      <c r="DG39" s="187"/>
      <c r="DH39" s="186">
        <f t="shared" ref="DH39:DJ44" ca="1" si="171">SUMIFS(DH$6:DH$28,$DA$6:$DA$28,$B39)</f>
        <v>0</v>
      </c>
      <c r="DI39" s="186">
        <f t="shared" ca="1" si="171"/>
        <v>0</v>
      </c>
      <c r="DJ39" s="186">
        <f t="shared" ca="1" si="171"/>
        <v>0</v>
      </c>
      <c r="DK39" s="149">
        <f t="shared" ref="DK39:DK44" ca="1" si="172">IFERROR(DJ39/DL39,0)</f>
        <v>0</v>
      </c>
      <c r="DL39" s="186">
        <f t="shared" ref="DL39:DP44" ca="1" si="173">SUMIFS(DL$6:DL$28,$DA$6:$DA$28,$B39)</f>
        <v>0</v>
      </c>
      <c r="DM39" s="186">
        <f t="shared" ca="1" si="173"/>
        <v>0</v>
      </c>
      <c r="DN39" s="186">
        <f t="shared" ca="1" si="173"/>
        <v>0</v>
      </c>
      <c r="DO39" s="186">
        <f t="shared" ca="1" si="173"/>
        <v>0</v>
      </c>
      <c r="DP39" s="186">
        <f t="shared" ca="1" si="173"/>
        <v>0</v>
      </c>
      <c r="DQ39" s="147">
        <f ca="1">IFERROR(DP39/DP$29,0)</f>
        <v>0</v>
      </c>
      <c r="DR39" s="186">
        <f t="shared" ref="DR39:DS44" ca="1" si="174">SUMIFS(DR$6:DR$28,$DA$6:$DA$28,$B39)</f>
        <v>0</v>
      </c>
      <c r="DS39" s="186">
        <f t="shared" ca="1" si="174"/>
        <v>0</v>
      </c>
      <c r="DT39" s="147">
        <f ca="1">IFERROR(DS39/DS$29,0)</f>
        <v>0</v>
      </c>
      <c r="DV39" s="155" t="s">
        <v>27</v>
      </c>
      <c r="DW39" s="155" t="s">
        <v>27</v>
      </c>
      <c r="DX39" s="186">
        <f t="shared" ref="DX39:DY44" si="175">SUMIFS(DX$6:DX$28,$DA$6:$DA$28,$B39)</f>
        <v>0</v>
      </c>
      <c r="DY39" s="186">
        <f t="shared" si="175"/>
        <v>0</v>
      </c>
      <c r="DZ39" s="187" t="s">
        <v>27</v>
      </c>
      <c r="EA39" s="187" t="s">
        <v>27</v>
      </c>
      <c r="EB39" s="187" t="s">
        <v>27</v>
      </c>
      <c r="EC39" s="187"/>
      <c r="ED39" s="186">
        <f t="shared" ref="ED39:EF44" ca="1" si="176">SUMIFS(ED$6:ED$28,$DA$6:$DA$28,$B39)</f>
        <v>0</v>
      </c>
      <c r="EE39" s="186">
        <f t="shared" ca="1" si="176"/>
        <v>0</v>
      </c>
      <c r="EF39" s="186">
        <f t="shared" ca="1" si="176"/>
        <v>0</v>
      </c>
      <c r="EG39" s="149">
        <f t="shared" ref="EG39:EG44" ca="1" si="177">IFERROR(EF39/EH39,0)</f>
        <v>0</v>
      </c>
      <c r="EH39" s="186">
        <f t="shared" ref="EH39:EL44" ca="1" si="178">SUMIFS(EH$6:EH$28,$DA$6:$DA$28,$B39)</f>
        <v>0</v>
      </c>
      <c r="EI39" s="186">
        <f t="shared" ca="1" si="178"/>
        <v>0</v>
      </c>
      <c r="EJ39" s="186">
        <f t="shared" ca="1" si="178"/>
        <v>0</v>
      </c>
      <c r="EK39" s="186">
        <f t="shared" ca="1" si="178"/>
        <v>0</v>
      </c>
      <c r="EL39" s="186">
        <f t="shared" ca="1" si="178"/>
        <v>0</v>
      </c>
      <c r="EM39" s="147">
        <f ca="1">IFERROR(EL39/EL$29,0)</f>
        <v>0</v>
      </c>
      <c r="EN39" s="186">
        <f t="shared" ref="EN39:EO44" ca="1" si="179">SUMIFS(EN$6:EN$28,$DA$6:$DA$28,$B39)</f>
        <v>0</v>
      </c>
      <c r="EO39" s="186">
        <f t="shared" ca="1" si="179"/>
        <v>0</v>
      </c>
      <c r="EP39" s="147">
        <f ca="1">IFERROR(EO39/EO$29,0)</f>
        <v>0</v>
      </c>
      <c r="FL39" s="146">
        <f t="shared" ref="FL39:FL44" ca="1" si="180">OFFSET($G39,0,IF($FL$4=$G$4,1,13)+MATCH($FL$4,$G$4:$FI$4,0))</f>
        <v>0</v>
      </c>
      <c r="FM39" s="146">
        <f t="shared" ref="FM39:FM44" ca="1" si="181">OFFSET($G39,0,IF($FL$4=$G$4,2,14)+MATCH($FL$4,$G$4:$FI$4,0))</f>
        <v>0</v>
      </c>
      <c r="FN39" s="146">
        <f t="shared" ref="FN39:FN44" ca="1" si="182">OFFSET($G39,0,IF($FL$4=$G$4,5,18)+MATCH($FL$4,$G$4:$FI$4,0))</f>
        <v>0</v>
      </c>
      <c r="FQ39" s="174" t="str">
        <f t="shared" ref="FQ39:FQ44" ca="1" si="183">IFERROR(OFFSET($G39,0,IF($FQ$4=$G$4,1,13)+MATCH($FQ$4,$G$4:$FI$4,0)),"na")</f>
        <v>na</v>
      </c>
      <c r="FR39" s="174" t="str">
        <f t="shared" ref="FR39:FR44" ca="1" si="184">IFERROR(OFFSET($G39,0,IF($FQ$4=$G$4,1,14)+MATCH($FQ$4,$G$4:$FI$4,0)),"na")</f>
        <v>na</v>
      </c>
      <c r="FS39" s="174" t="str">
        <f t="shared" ref="FS39:FS44" ca="1" si="185">IFERROR(OFFSET($G39,0,IF($FQ$4=$G$4,5,18)+MATCH($FQ$4,$G$4:$FI$4,0)),"na")</f>
        <v>na</v>
      </c>
    </row>
    <row r="40" spans="2:175">
      <c r="B40" s="150" t="s">
        <v>448</v>
      </c>
      <c r="D40" s="177" t="s">
        <v>27</v>
      </c>
      <c r="E40" s="177" t="s">
        <v>27</v>
      </c>
      <c r="G40" s="155" t="s">
        <v>27</v>
      </c>
      <c r="H40" s="155" t="s">
        <v>27</v>
      </c>
      <c r="I40" s="186">
        <f t="shared" si="147"/>
        <v>0</v>
      </c>
      <c r="J40" s="186">
        <f t="shared" si="147"/>
        <v>0</v>
      </c>
      <c r="K40" s="186">
        <f t="shared" si="147"/>
        <v>0</v>
      </c>
      <c r="L40" s="147">
        <f t="shared" ref="L40:L45" si="186">IFERROR(K40/K$29,0)</f>
        <v>0</v>
      </c>
      <c r="M40" s="186">
        <f t="shared" si="148"/>
        <v>0</v>
      </c>
      <c r="N40" s="147">
        <f t="shared" ref="N40:N45" si="187">IFERROR(M40/M$29,0)</f>
        <v>0</v>
      </c>
      <c r="P40" s="155" t="s">
        <v>27</v>
      </c>
      <c r="Q40" s="155" t="s">
        <v>27</v>
      </c>
      <c r="R40" s="186">
        <f t="shared" si="149"/>
        <v>0</v>
      </c>
      <c r="S40" s="186">
        <f t="shared" si="149"/>
        <v>0</v>
      </c>
      <c r="T40" s="187" t="s">
        <v>27</v>
      </c>
      <c r="U40" s="187" t="s">
        <v>27</v>
      </c>
      <c r="V40" s="187" t="s">
        <v>27</v>
      </c>
      <c r="W40" s="187"/>
      <c r="X40" s="186">
        <f t="shared" si="150"/>
        <v>0</v>
      </c>
      <c r="Y40" s="186">
        <f t="shared" si="150"/>
        <v>0</v>
      </c>
      <c r="Z40" s="186">
        <f t="shared" si="150"/>
        <v>0</v>
      </c>
      <c r="AA40" s="149">
        <f t="shared" si="151"/>
        <v>0</v>
      </c>
      <c r="AB40" s="186">
        <f t="shared" si="152"/>
        <v>0</v>
      </c>
      <c r="AC40" s="186">
        <f t="shared" si="152"/>
        <v>0</v>
      </c>
      <c r="AD40" s="186">
        <f t="shared" si="152"/>
        <v>0</v>
      </c>
      <c r="AE40" s="186">
        <f t="shared" si="152"/>
        <v>0</v>
      </c>
      <c r="AF40" s="186">
        <f t="shared" si="152"/>
        <v>0</v>
      </c>
      <c r="AG40" s="147">
        <f t="shared" ref="AG40:AG45" ca="1" si="188">IFERROR(AF40/AF$29,0)</f>
        <v>0</v>
      </c>
      <c r="AH40" s="186">
        <f t="shared" si="153"/>
        <v>0</v>
      </c>
      <c r="AI40" s="186">
        <f t="shared" si="153"/>
        <v>0</v>
      </c>
      <c r="AJ40" s="147">
        <f t="shared" ref="AJ40:AJ45" ca="1" si="189">IFERROR(AI40/AI$29,0)</f>
        <v>0</v>
      </c>
      <c r="AL40" s="155" t="s">
        <v>27</v>
      </c>
      <c r="AM40" s="155" t="s">
        <v>27</v>
      </c>
      <c r="AN40" s="186">
        <f t="shared" si="154"/>
        <v>0</v>
      </c>
      <c r="AO40" s="186">
        <f t="shared" si="154"/>
        <v>0</v>
      </c>
      <c r="AP40" s="187" t="s">
        <v>27</v>
      </c>
      <c r="AQ40" s="187" t="s">
        <v>27</v>
      </c>
      <c r="AR40" s="187" t="s">
        <v>27</v>
      </c>
      <c r="AS40" s="187"/>
      <c r="AT40" s="186">
        <f t="shared" si="155"/>
        <v>0</v>
      </c>
      <c r="AU40" s="186">
        <f t="shared" si="155"/>
        <v>0</v>
      </c>
      <c r="AV40" s="186">
        <f t="shared" si="155"/>
        <v>0</v>
      </c>
      <c r="AW40" s="149">
        <f t="shared" si="156"/>
        <v>0</v>
      </c>
      <c r="AX40" s="186">
        <f t="shared" si="157"/>
        <v>0</v>
      </c>
      <c r="AY40" s="186">
        <f t="shared" si="157"/>
        <v>0</v>
      </c>
      <c r="AZ40" s="186">
        <f t="shared" si="157"/>
        <v>0</v>
      </c>
      <c r="BA40" s="186">
        <f t="shared" si="157"/>
        <v>0</v>
      </c>
      <c r="BB40" s="186">
        <f t="shared" si="157"/>
        <v>0</v>
      </c>
      <c r="BC40" s="147">
        <f t="shared" ref="BC40:BC45" ca="1" si="190">IFERROR(BB40/BB$29,0)</f>
        <v>0</v>
      </c>
      <c r="BD40" s="186">
        <f t="shared" si="158"/>
        <v>0</v>
      </c>
      <c r="BE40" s="186">
        <f t="shared" si="158"/>
        <v>0</v>
      </c>
      <c r="BF40" s="147">
        <f t="shared" ref="BF40:BF45" ca="1" si="191">IFERROR(BE40/BE$29,0)</f>
        <v>0</v>
      </c>
      <c r="BH40" s="190" t="s">
        <v>449</v>
      </c>
      <c r="BI40" s="190" t="s">
        <v>449</v>
      </c>
      <c r="BJ40" s="186">
        <f t="shared" si="159"/>
        <v>0</v>
      </c>
      <c r="BK40" s="186">
        <f t="shared" si="159"/>
        <v>0</v>
      </c>
      <c r="BL40" s="187" t="s">
        <v>27</v>
      </c>
      <c r="BM40" s="187" t="s">
        <v>27</v>
      </c>
      <c r="BN40" s="187" t="s">
        <v>27</v>
      </c>
      <c r="BO40" s="187"/>
      <c r="BP40" s="186">
        <f t="shared" si="160"/>
        <v>0</v>
      </c>
      <c r="BQ40" s="186">
        <f t="shared" si="160"/>
        <v>0</v>
      </c>
      <c r="BR40" s="186">
        <f t="shared" si="160"/>
        <v>0</v>
      </c>
      <c r="BS40" s="149">
        <f t="shared" si="161"/>
        <v>0</v>
      </c>
      <c r="BT40" s="186">
        <f t="shared" si="162"/>
        <v>0</v>
      </c>
      <c r="BU40" s="186">
        <f t="shared" si="162"/>
        <v>0</v>
      </c>
      <c r="BV40" s="186">
        <f t="shared" si="162"/>
        <v>0</v>
      </c>
      <c r="BW40" s="186">
        <f t="shared" si="162"/>
        <v>0</v>
      </c>
      <c r="BX40" s="186">
        <f t="shared" si="162"/>
        <v>0</v>
      </c>
      <c r="BY40" s="147">
        <f t="shared" ref="BY40:BY45" ca="1" si="192">IFERROR(BX40/BX$29,0)</f>
        <v>0</v>
      </c>
      <c r="BZ40" s="186">
        <f t="shared" si="163"/>
        <v>0</v>
      </c>
      <c r="CA40" s="186">
        <f t="shared" si="163"/>
        <v>0</v>
      </c>
      <c r="CB40" s="147">
        <f t="shared" ref="CB40:CB45" ca="1" si="193">IFERROR(CA40/CA$29,0)</f>
        <v>0</v>
      </c>
      <c r="CD40" s="155" t="s">
        <v>27</v>
      </c>
      <c r="CE40" s="155" t="s">
        <v>27</v>
      </c>
      <c r="CF40" s="186">
        <f t="shared" si="164"/>
        <v>0</v>
      </c>
      <c r="CG40" s="186">
        <f t="shared" si="164"/>
        <v>0</v>
      </c>
      <c r="CH40" s="187" t="s">
        <v>27</v>
      </c>
      <c r="CI40" s="187" t="s">
        <v>27</v>
      </c>
      <c r="CJ40" s="187" t="s">
        <v>27</v>
      </c>
      <c r="CK40" s="187"/>
      <c r="CL40" s="186">
        <f t="shared" si="165"/>
        <v>0</v>
      </c>
      <c r="CM40" s="186">
        <f t="shared" si="165"/>
        <v>0</v>
      </c>
      <c r="CN40" s="186">
        <f t="shared" si="165"/>
        <v>0</v>
      </c>
      <c r="CO40" s="149">
        <f t="shared" si="166"/>
        <v>0</v>
      </c>
      <c r="CP40" s="186">
        <f t="shared" si="167"/>
        <v>0</v>
      </c>
      <c r="CQ40" s="186">
        <f t="shared" si="167"/>
        <v>0</v>
      </c>
      <c r="CR40" s="147">
        <f t="shared" ref="CR40:CR45" ca="1" si="194">IFERROR(CQ40/CQ$29,0)</f>
        <v>0</v>
      </c>
      <c r="CS40" s="186">
        <f t="shared" si="168"/>
        <v>0</v>
      </c>
      <c r="CT40" s="186">
        <f t="shared" si="168"/>
        <v>0</v>
      </c>
      <c r="CU40" s="147">
        <f t="shared" ref="CU40:CU45" ca="1" si="195">IFERROR(CT40/CT$29,0)</f>
        <v>0</v>
      </c>
      <c r="CV40" s="186">
        <f t="shared" si="169"/>
        <v>0</v>
      </c>
      <c r="CW40" s="186">
        <f t="shared" si="169"/>
        <v>0</v>
      </c>
      <c r="CX40" s="147">
        <f t="shared" ref="CX40:CX45" ca="1" si="196">IFERROR(CW40/CW$29,0)</f>
        <v>0</v>
      </c>
      <c r="CZ40" s="155" t="s">
        <v>27</v>
      </c>
      <c r="DA40" s="155" t="s">
        <v>27</v>
      </c>
      <c r="DB40" s="186">
        <f t="shared" si="170"/>
        <v>0</v>
      </c>
      <c r="DC40" s="186">
        <f t="shared" si="170"/>
        <v>0</v>
      </c>
      <c r="DD40" s="187" t="s">
        <v>27</v>
      </c>
      <c r="DE40" s="187" t="s">
        <v>27</v>
      </c>
      <c r="DF40" s="187" t="s">
        <v>27</v>
      </c>
      <c r="DG40" s="187"/>
      <c r="DH40" s="186">
        <f t="shared" si="171"/>
        <v>0</v>
      </c>
      <c r="DI40" s="186">
        <f t="shared" si="171"/>
        <v>0</v>
      </c>
      <c r="DJ40" s="186">
        <f t="shared" si="171"/>
        <v>0</v>
      </c>
      <c r="DK40" s="149">
        <f t="shared" si="172"/>
        <v>0</v>
      </c>
      <c r="DL40" s="186">
        <f t="shared" si="173"/>
        <v>0</v>
      </c>
      <c r="DM40" s="186">
        <f t="shared" si="173"/>
        <v>0</v>
      </c>
      <c r="DN40" s="186">
        <f t="shared" si="173"/>
        <v>0</v>
      </c>
      <c r="DO40" s="186">
        <f t="shared" si="173"/>
        <v>0</v>
      </c>
      <c r="DP40" s="186">
        <f t="shared" si="173"/>
        <v>0</v>
      </c>
      <c r="DQ40" s="147">
        <f t="shared" ref="DQ40:DQ45" ca="1" si="197">IFERROR(DP40/DP$29,0)</f>
        <v>0</v>
      </c>
      <c r="DR40" s="186">
        <f t="shared" si="174"/>
        <v>0</v>
      </c>
      <c r="DS40" s="186">
        <f t="shared" si="174"/>
        <v>0</v>
      </c>
      <c r="DT40" s="147">
        <f t="shared" ref="DT40:DT45" ca="1" si="198">IFERROR(DS40/DS$29,0)</f>
        <v>0</v>
      </c>
      <c r="DV40" s="155" t="s">
        <v>27</v>
      </c>
      <c r="DW40" s="155" t="s">
        <v>27</v>
      </c>
      <c r="DX40" s="186">
        <f t="shared" si="175"/>
        <v>0</v>
      </c>
      <c r="DY40" s="186">
        <f t="shared" si="175"/>
        <v>0</v>
      </c>
      <c r="DZ40" s="187" t="s">
        <v>27</v>
      </c>
      <c r="EA40" s="187" t="s">
        <v>27</v>
      </c>
      <c r="EB40" s="187" t="s">
        <v>27</v>
      </c>
      <c r="EC40" s="187"/>
      <c r="ED40" s="186">
        <f t="shared" si="176"/>
        <v>0</v>
      </c>
      <c r="EE40" s="186">
        <f t="shared" si="176"/>
        <v>0</v>
      </c>
      <c r="EF40" s="186">
        <f t="shared" si="176"/>
        <v>0</v>
      </c>
      <c r="EG40" s="149">
        <f t="shared" si="177"/>
        <v>0</v>
      </c>
      <c r="EH40" s="186">
        <f t="shared" si="178"/>
        <v>0</v>
      </c>
      <c r="EI40" s="186">
        <f t="shared" si="178"/>
        <v>0</v>
      </c>
      <c r="EJ40" s="186">
        <f t="shared" si="178"/>
        <v>0</v>
      </c>
      <c r="EK40" s="186">
        <f t="shared" si="178"/>
        <v>0</v>
      </c>
      <c r="EL40" s="186">
        <f t="shared" si="178"/>
        <v>0</v>
      </c>
      <c r="EM40" s="147">
        <f t="shared" ref="EM40:EM45" ca="1" si="199">IFERROR(EL40/EL$29,0)</f>
        <v>0</v>
      </c>
      <c r="EN40" s="186">
        <f t="shared" si="179"/>
        <v>0</v>
      </c>
      <c r="EO40" s="186">
        <f t="shared" si="179"/>
        <v>0</v>
      </c>
      <c r="EP40" s="147">
        <f t="shared" ref="EP40:EP45" ca="1" si="200">IFERROR(EO40/EO$29,0)</f>
        <v>0</v>
      </c>
      <c r="FL40" s="146">
        <f t="shared" ca="1" si="180"/>
        <v>0</v>
      </c>
      <c r="FM40" s="146">
        <f t="shared" ca="1" si="181"/>
        <v>0</v>
      </c>
      <c r="FN40" s="146">
        <f t="shared" ca="1" si="182"/>
        <v>0</v>
      </c>
      <c r="FQ40" s="174" t="str">
        <f t="shared" ca="1" si="183"/>
        <v>na</v>
      </c>
      <c r="FR40" s="174" t="str">
        <f t="shared" ca="1" si="184"/>
        <v>na</v>
      </c>
      <c r="FS40" s="174" t="str">
        <f t="shared" ca="1" si="185"/>
        <v>na</v>
      </c>
    </row>
    <row r="41" spans="2:175">
      <c r="B41" s="150" t="s">
        <v>450</v>
      </c>
      <c r="D41" s="177" t="s">
        <v>27</v>
      </c>
      <c r="E41" s="177" t="s">
        <v>27</v>
      </c>
      <c r="G41" s="155" t="s">
        <v>27</v>
      </c>
      <c r="H41" s="155" t="s">
        <v>27</v>
      </c>
      <c r="I41" s="186">
        <f t="shared" si="147"/>
        <v>0</v>
      </c>
      <c r="J41" s="186">
        <f t="shared" si="147"/>
        <v>0</v>
      </c>
      <c r="K41" s="186">
        <f t="shared" si="147"/>
        <v>0</v>
      </c>
      <c r="L41" s="147">
        <f t="shared" si="186"/>
        <v>0</v>
      </c>
      <c r="M41" s="186">
        <f t="shared" si="148"/>
        <v>0</v>
      </c>
      <c r="N41" s="147">
        <f t="shared" si="187"/>
        <v>0</v>
      </c>
      <c r="P41" s="155" t="s">
        <v>27</v>
      </c>
      <c r="Q41" s="155" t="s">
        <v>27</v>
      </c>
      <c r="R41" s="186">
        <f t="shared" si="149"/>
        <v>0</v>
      </c>
      <c r="S41" s="186">
        <f t="shared" si="149"/>
        <v>0</v>
      </c>
      <c r="T41" s="187" t="s">
        <v>27</v>
      </c>
      <c r="U41" s="187" t="s">
        <v>27</v>
      </c>
      <c r="V41" s="187" t="s">
        <v>27</v>
      </c>
      <c r="W41" s="187"/>
      <c r="X41" s="186">
        <f t="shared" si="150"/>
        <v>0</v>
      </c>
      <c r="Y41" s="186">
        <f t="shared" si="150"/>
        <v>0</v>
      </c>
      <c r="Z41" s="186">
        <f t="shared" si="150"/>
        <v>0</v>
      </c>
      <c r="AA41" s="149">
        <f t="shared" si="151"/>
        <v>0</v>
      </c>
      <c r="AB41" s="186">
        <f t="shared" si="152"/>
        <v>0</v>
      </c>
      <c r="AC41" s="186">
        <f t="shared" si="152"/>
        <v>0</v>
      </c>
      <c r="AD41" s="186">
        <f t="shared" si="152"/>
        <v>0</v>
      </c>
      <c r="AE41" s="186">
        <f t="shared" si="152"/>
        <v>0</v>
      </c>
      <c r="AF41" s="186">
        <f t="shared" si="152"/>
        <v>0</v>
      </c>
      <c r="AG41" s="147">
        <f t="shared" ca="1" si="188"/>
        <v>0</v>
      </c>
      <c r="AH41" s="186">
        <f t="shared" si="153"/>
        <v>0</v>
      </c>
      <c r="AI41" s="186">
        <f t="shared" si="153"/>
        <v>0</v>
      </c>
      <c r="AJ41" s="147">
        <f t="shared" ca="1" si="189"/>
        <v>0</v>
      </c>
      <c r="AL41" s="155" t="s">
        <v>27</v>
      </c>
      <c r="AM41" s="155" t="s">
        <v>27</v>
      </c>
      <c r="AN41" s="186">
        <f t="shared" si="154"/>
        <v>0</v>
      </c>
      <c r="AO41" s="186">
        <f t="shared" si="154"/>
        <v>0</v>
      </c>
      <c r="AP41" s="187" t="s">
        <v>27</v>
      </c>
      <c r="AQ41" s="187" t="s">
        <v>27</v>
      </c>
      <c r="AR41" s="187" t="s">
        <v>27</v>
      </c>
      <c r="AS41" s="187"/>
      <c r="AT41" s="186">
        <f t="shared" si="155"/>
        <v>0</v>
      </c>
      <c r="AU41" s="186">
        <f t="shared" si="155"/>
        <v>0</v>
      </c>
      <c r="AV41" s="186">
        <f t="shared" si="155"/>
        <v>0</v>
      </c>
      <c r="AW41" s="149">
        <f t="shared" si="156"/>
        <v>0</v>
      </c>
      <c r="AX41" s="186">
        <f t="shared" si="157"/>
        <v>0</v>
      </c>
      <c r="AY41" s="186">
        <f t="shared" si="157"/>
        <v>0</v>
      </c>
      <c r="AZ41" s="186">
        <f t="shared" si="157"/>
        <v>0</v>
      </c>
      <c r="BA41" s="186">
        <f t="shared" si="157"/>
        <v>0</v>
      </c>
      <c r="BB41" s="186">
        <f t="shared" si="157"/>
        <v>0</v>
      </c>
      <c r="BC41" s="147">
        <f t="shared" ca="1" si="190"/>
        <v>0</v>
      </c>
      <c r="BD41" s="186">
        <f t="shared" si="158"/>
        <v>0</v>
      </c>
      <c r="BE41" s="186">
        <f t="shared" si="158"/>
        <v>0</v>
      </c>
      <c r="BF41" s="147">
        <f t="shared" ca="1" si="191"/>
        <v>0</v>
      </c>
      <c r="BH41" s="190" t="s">
        <v>449</v>
      </c>
      <c r="BI41" s="190" t="s">
        <v>449</v>
      </c>
      <c r="BJ41" s="186">
        <f t="shared" si="159"/>
        <v>0</v>
      </c>
      <c r="BK41" s="186">
        <f t="shared" si="159"/>
        <v>0</v>
      </c>
      <c r="BL41" s="187" t="s">
        <v>27</v>
      </c>
      <c r="BM41" s="187" t="s">
        <v>27</v>
      </c>
      <c r="BN41" s="187" t="s">
        <v>27</v>
      </c>
      <c r="BO41" s="187"/>
      <c r="BP41" s="186">
        <f t="shared" si="160"/>
        <v>0</v>
      </c>
      <c r="BQ41" s="186">
        <f t="shared" si="160"/>
        <v>0</v>
      </c>
      <c r="BR41" s="186">
        <f t="shared" si="160"/>
        <v>0</v>
      </c>
      <c r="BS41" s="149">
        <f t="shared" si="161"/>
        <v>0</v>
      </c>
      <c r="BT41" s="186">
        <f t="shared" si="162"/>
        <v>0</v>
      </c>
      <c r="BU41" s="186">
        <f t="shared" si="162"/>
        <v>0</v>
      </c>
      <c r="BV41" s="186">
        <f t="shared" si="162"/>
        <v>0</v>
      </c>
      <c r="BW41" s="186">
        <f t="shared" si="162"/>
        <v>0</v>
      </c>
      <c r="BX41" s="186">
        <f t="shared" si="162"/>
        <v>0</v>
      </c>
      <c r="BY41" s="147">
        <f t="shared" ca="1" si="192"/>
        <v>0</v>
      </c>
      <c r="BZ41" s="186">
        <f t="shared" si="163"/>
        <v>0</v>
      </c>
      <c r="CA41" s="186">
        <f t="shared" si="163"/>
        <v>0</v>
      </c>
      <c r="CB41" s="147">
        <f t="shared" ca="1" si="193"/>
        <v>0</v>
      </c>
      <c r="CD41" s="155" t="s">
        <v>27</v>
      </c>
      <c r="CE41" s="155" t="s">
        <v>27</v>
      </c>
      <c r="CF41" s="186">
        <f t="shared" si="164"/>
        <v>0</v>
      </c>
      <c r="CG41" s="186">
        <f t="shared" si="164"/>
        <v>0</v>
      </c>
      <c r="CH41" s="187" t="s">
        <v>27</v>
      </c>
      <c r="CI41" s="187" t="s">
        <v>27</v>
      </c>
      <c r="CJ41" s="187" t="s">
        <v>27</v>
      </c>
      <c r="CK41" s="187"/>
      <c r="CL41" s="186">
        <f t="shared" si="165"/>
        <v>0</v>
      </c>
      <c r="CM41" s="186">
        <f t="shared" si="165"/>
        <v>0</v>
      </c>
      <c r="CN41" s="186">
        <f t="shared" si="165"/>
        <v>0</v>
      </c>
      <c r="CO41" s="149">
        <f t="shared" si="166"/>
        <v>0</v>
      </c>
      <c r="CP41" s="186">
        <f t="shared" si="167"/>
        <v>0</v>
      </c>
      <c r="CQ41" s="186">
        <f t="shared" si="167"/>
        <v>0</v>
      </c>
      <c r="CR41" s="147">
        <f t="shared" ca="1" si="194"/>
        <v>0</v>
      </c>
      <c r="CS41" s="186">
        <f t="shared" si="168"/>
        <v>0</v>
      </c>
      <c r="CT41" s="186">
        <f t="shared" si="168"/>
        <v>0</v>
      </c>
      <c r="CU41" s="147">
        <f t="shared" ca="1" si="195"/>
        <v>0</v>
      </c>
      <c r="CV41" s="186">
        <f t="shared" si="169"/>
        <v>0</v>
      </c>
      <c r="CW41" s="186">
        <f t="shared" si="169"/>
        <v>0</v>
      </c>
      <c r="CX41" s="147">
        <f t="shared" ca="1" si="196"/>
        <v>0</v>
      </c>
      <c r="CZ41" s="155" t="s">
        <v>27</v>
      </c>
      <c r="DA41" s="155" t="s">
        <v>27</v>
      </c>
      <c r="DB41" s="186">
        <f t="shared" si="170"/>
        <v>0</v>
      </c>
      <c r="DC41" s="186">
        <f t="shared" si="170"/>
        <v>0</v>
      </c>
      <c r="DD41" s="187" t="s">
        <v>27</v>
      </c>
      <c r="DE41" s="187" t="s">
        <v>27</v>
      </c>
      <c r="DF41" s="187" t="s">
        <v>27</v>
      </c>
      <c r="DG41" s="187"/>
      <c r="DH41" s="186">
        <f t="shared" si="171"/>
        <v>0</v>
      </c>
      <c r="DI41" s="186">
        <f t="shared" si="171"/>
        <v>0</v>
      </c>
      <c r="DJ41" s="186">
        <f t="shared" si="171"/>
        <v>0</v>
      </c>
      <c r="DK41" s="149">
        <f t="shared" si="172"/>
        <v>0</v>
      </c>
      <c r="DL41" s="186">
        <f t="shared" si="173"/>
        <v>0</v>
      </c>
      <c r="DM41" s="186">
        <f t="shared" si="173"/>
        <v>0</v>
      </c>
      <c r="DN41" s="186">
        <f t="shared" si="173"/>
        <v>0</v>
      </c>
      <c r="DO41" s="186">
        <f t="shared" si="173"/>
        <v>0</v>
      </c>
      <c r="DP41" s="186">
        <f t="shared" si="173"/>
        <v>0</v>
      </c>
      <c r="DQ41" s="147">
        <f t="shared" ca="1" si="197"/>
        <v>0</v>
      </c>
      <c r="DR41" s="186">
        <f t="shared" si="174"/>
        <v>0</v>
      </c>
      <c r="DS41" s="186">
        <f t="shared" si="174"/>
        <v>0</v>
      </c>
      <c r="DT41" s="147">
        <f t="shared" ca="1" si="198"/>
        <v>0</v>
      </c>
      <c r="DV41" s="155" t="s">
        <v>27</v>
      </c>
      <c r="DW41" s="155" t="s">
        <v>27</v>
      </c>
      <c r="DX41" s="186">
        <f t="shared" si="175"/>
        <v>0</v>
      </c>
      <c r="DY41" s="186">
        <f t="shared" si="175"/>
        <v>0</v>
      </c>
      <c r="DZ41" s="187" t="s">
        <v>27</v>
      </c>
      <c r="EA41" s="187" t="s">
        <v>27</v>
      </c>
      <c r="EB41" s="187" t="s">
        <v>27</v>
      </c>
      <c r="EC41" s="187"/>
      <c r="ED41" s="186">
        <f t="shared" si="176"/>
        <v>0</v>
      </c>
      <c r="EE41" s="186">
        <f t="shared" si="176"/>
        <v>0</v>
      </c>
      <c r="EF41" s="186">
        <f t="shared" si="176"/>
        <v>0</v>
      </c>
      <c r="EG41" s="149">
        <f t="shared" si="177"/>
        <v>0</v>
      </c>
      <c r="EH41" s="186">
        <f t="shared" si="178"/>
        <v>0</v>
      </c>
      <c r="EI41" s="186">
        <f t="shared" si="178"/>
        <v>0</v>
      </c>
      <c r="EJ41" s="186">
        <f t="shared" si="178"/>
        <v>0</v>
      </c>
      <c r="EK41" s="186">
        <f t="shared" si="178"/>
        <v>0</v>
      </c>
      <c r="EL41" s="186">
        <f t="shared" si="178"/>
        <v>0</v>
      </c>
      <c r="EM41" s="147">
        <f t="shared" ca="1" si="199"/>
        <v>0</v>
      </c>
      <c r="EN41" s="186">
        <f t="shared" si="179"/>
        <v>0</v>
      </c>
      <c r="EO41" s="186">
        <f t="shared" si="179"/>
        <v>0</v>
      </c>
      <c r="EP41" s="147">
        <f t="shared" ca="1" si="200"/>
        <v>0</v>
      </c>
      <c r="FL41" s="146">
        <f t="shared" ca="1" si="180"/>
        <v>0</v>
      </c>
      <c r="FM41" s="146">
        <f t="shared" ca="1" si="181"/>
        <v>0</v>
      </c>
      <c r="FN41" s="146">
        <f t="shared" ca="1" si="182"/>
        <v>0</v>
      </c>
      <c r="FQ41" s="174" t="str">
        <f t="shared" ca="1" si="183"/>
        <v>na</v>
      </c>
      <c r="FR41" s="174" t="str">
        <f t="shared" ca="1" si="184"/>
        <v>na</v>
      </c>
      <c r="FS41" s="174" t="str">
        <f t="shared" ca="1" si="185"/>
        <v>na</v>
      </c>
    </row>
    <row r="42" spans="2:175">
      <c r="B42" s="150" t="s">
        <v>692</v>
      </c>
      <c r="D42" s="177" t="s">
        <v>27</v>
      </c>
      <c r="E42" s="177" t="s">
        <v>27</v>
      </c>
      <c r="G42" s="155" t="s">
        <v>27</v>
      </c>
      <c r="H42" s="155" t="s">
        <v>27</v>
      </c>
      <c r="I42" s="186">
        <f t="shared" si="147"/>
        <v>0</v>
      </c>
      <c r="J42" s="186">
        <f t="shared" si="147"/>
        <v>0</v>
      </c>
      <c r="K42" s="186">
        <f t="shared" si="147"/>
        <v>0</v>
      </c>
      <c r="L42" s="147">
        <f t="shared" ref="L42" si="201">IFERROR(K42/K$29,0)</f>
        <v>0</v>
      </c>
      <c r="M42" s="186">
        <f t="shared" si="148"/>
        <v>0</v>
      </c>
      <c r="N42" s="147">
        <f t="shared" ref="N42" si="202">IFERROR(M42/M$29,0)</f>
        <v>0</v>
      </c>
      <c r="P42" s="155" t="s">
        <v>27</v>
      </c>
      <c r="Q42" s="155" t="s">
        <v>27</v>
      </c>
      <c r="R42" s="186">
        <f t="shared" si="149"/>
        <v>0</v>
      </c>
      <c r="S42" s="186">
        <f t="shared" si="149"/>
        <v>0</v>
      </c>
      <c r="T42" s="187" t="s">
        <v>27</v>
      </c>
      <c r="U42" s="187" t="s">
        <v>27</v>
      </c>
      <c r="V42" s="187" t="s">
        <v>27</v>
      </c>
      <c r="W42" s="187"/>
      <c r="X42" s="186">
        <f t="shared" si="150"/>
        <v>0</v>
      </c>
      <c r="Y42" s="186">
        <f t="shared" si="150"/>
        <v>0</v>
      </c>
      <c r="Z42" s="186">
        <f t="shared" si="150"/>
        <v>0</v>
      </c>
      <c r="AA42" s="149">
        <f t="shared" ref="AA42" si="203">IFERROR(Z42/AB42,0)</f>
        <v>0</v>
      </c>
      <c r="AB42" s="186">
        <f t="shared" si="152"/>
        <v>0</v>
      </c>
      <c r="AC42" s="186">
        <f t="shared" si="152"/>
        <v>0</v>
      </c>
      <c r="AD42" s="186">
        <f t="shared" si="152"/>
        <v>0</v>
      </c>
      <c r="AE42" s="186">
        <f t="shared" si="152"/>
        <v>0</v>
      </c>
      <c r="AF42" s="186">
        <f t="shared" si="152"/>
        <v>0</v>
      </c>
      <c r="AG42" s="147">
        <f t="shared" ref="AG42" ca="1" si="204">IFERROR(AF42/AF$29,0)</f>
        <v>0</v>
      </c>
      <c r="AH42" s="186">
        <f t="shared" si="153"/>
        <v>0</v>
      </c>
      <c r="AI42" s="186">
        <f t="shared" si="153"/>
        <v>0</v>
      </c>
      <c r="AJ42" s="147">
        <f t="shared" ref="AJ42" ca="1" si="205">IFERROR(AI42/AI$29,0)</f>
        <v>0</v>
      </c>
      <c r="AL42" s="155" t="s">
        <v>27</v>
      </c>
      <c r="AM42" s="155" t="s">
        <v>27</v>
      </c>
      <c r="AN42" s="186">
        <f t="shared" si="154"/>
        <v>0</v>
      </c>
      <c r="AO42" s="186">
        <f t="shared" si="154"/>
        <v>0</v>
      </c>
      <c r="AP42" s="187" t="s">
        <v>27</v>
      </c>
      <c r="AQ42" s="187" t="s">
        <v>27</v>
      </c>
      <c r="AR42" s="187" t="s">
        <v>27</v>
      </c>
      <c r="AS42" s="187"/>
      <c r="AT42" s="186">
        <f t="shared" si="155"/>
        <v>0</v>
      </c>
      <c r="AU42" s="186">
        <f t="shared" si="155"/>
        <v>0</v>
      </c>
      <c r="AV42" s="186">
        <f t="shared" si="155"/>
        <v>0</v>
      </c>
      <c r="AW42" s="149">
        <f t="shared" ref="AW42" si="206">IFERROR(AV42/AX42,0)</f>
        <v>0</v>
      </c>
      <c r="AX42" s="186">
        <f t="shared" si="157"/>
        <v>0</v>
      </c>
      <c r="AY42" s="186">
        <f t="shared" si="157"/>
        <v>0</v>
      </c>
      <c r="AZ42" s="186">
        <f t="shared" si="157"/>
        <v>0</v>
      </c>
      <c r="BA42" s="186">
        <f t="shared" si="157"/>
        <v>0</v>
      </c>
      <c r="BB42" s="186">
        <f t="shared" si="157"/>
        <v>0</v>
      </c>
      <c r="BC42" s="147">
        <f t="shared" ref="BC42" ca="1" si="207">IFERROR(BB42/BB$29,0)</f>
        <v>0</v>
      </c>
      <c r="BD42" s="186">
        <f t="shared" si="158"/>
        <v>0</v>
      </c>
      <c r="BE42" s="186">
        <f t="shared" si="158"/>
        <v>0</v>
      </c>
      <c r="BF42" s="147">
        <f t="shared" ref="BF42" ca="1" si="208">IFERROR(BE42/BE$29,0)</f>
        <v>0</v>
      </c>
      <c r="BH42" s="190" t="s">
        <v>449</v>
      </c>
      <c r="BI42" s="190" t="s">
        <v>449</v>
      </c>
      <c r="BJ42" s="186">
        <f t="shared" si="159"/>
        <v>0</v>
      </c>
      <c r="BK42" s="186">
        <f t="shared" si="159"/>
        <v>0</v>
      </c>
      <c r="BL42" s="187" t="s">
        <v>27</v>
      </c>
      <c r="BM42" s="187" t="s">
        <v>27</v>
      </c>
      <c r="BN42" s="187" t="s">
        <v>27</v>
      </c>
      <c r="BO42" s="187"/>
      <c r="BP42" s="186">
        <f t="shared" si="160"/>
        <v>0</v>
      </c>
      <c r="BQ42" s="186">
        <f t="shared" si="160"/>
        <v>0</v>
      </c>
      <c r="BR42" s="186">
        <f t="shared" si="160"/>
        <v>0</v>
      </c>
      <c r="BS42" s="149">
        <f t="shared" ref="BS42" si="209">IFERROR(BR42/BT42,0)</f>
        <v>0</v>
      </c>
      <c r="BT42" s="186">
        <f t="shared" si="162"/>
        <v>0</v>
      </c>
      <c r="BU42" s="186">
        <f t="shared" si="162"/>
        <v>0</v>
      </c>
      <c r="BV42" s="186">
        <f t="shared" si="162"/>
        <v>0</v>
      </c>
      <c r="BW42" s="186">
        <f t="shared" si="162"/>
        <v>0</v>
      </c>
      <c r="BX42" s="186">
        <f t="shared" si="162"/>
        <v>0</v>
      </c>
      <c r="BY42" s="147">
        <f t="shared" ref="BY42" ca="1" si="210">IFERROR(BX42/BX$29,0)</f>
        <v>0</v>
      </c>
      <c r="BZ42" s="186">
        <f t="shared" si="163"/>
        <v>0</v>
      </c>
      <c r="CA42" s="186">
        <f t="shared" si="163"/>
        <v>0</v>
      </c>
      <c r="CB42" s="147">
        <f t="shared" ref="CB42" ca="1" si="211">IFERROR(CA42/CA$29,0)</f>
        <v>0</v>
      </c>
      <c r="CD42" s="155" t="s">
        <v>27</v>
      </c>
      <c r="CE42" s="155" t="s">
        <v>27</v>
      </c>
      <c r="CF42" s="186">
        <f t="shared" si="164"/>
        <v>0</v>
      </c>
      <c r="CG42" s="186">
        <f t="shared" si="164"/>
        <v>0</v>
      </c>
      <c r="CH42" s="187" t="s">
        <v>27</v>
      </c>
      <c r="CI42" s="187" t="s">
        <v>27</v>
      </c>
      <c r="CJ42" s="187" t="s">
        <v>27</v>
      </c>
      <c r="CK42" s="187"/>
      <c r="CL42" s="186">
        <f t="shared" si="165"/>
        <v>0</v>
      </c>
      <c r="CM42" s="186">
        <f t="shared" si="165"/>
        <v>0</v>
      </c>
      <c r="CN42" s="186">
        <f t="shared" si="165"/>
        <v>0</v>
      </c>
      <c r="CO42" s="149">
        <f t="shared" ref="CO42" si="212">IFERROR(CN42/CP42,0)</f>
        <v>0</v>
      </c>
      <c r="CP42" s="186">
        <f t="shared" si="167"/>
        <v>0</v>
      </c>
      <c r="CQ42" s="186">
        <f t="shared" si="167"/>
        <v>0</v>
      </c>
      <c r="CR42" s="147">
        <f t="shared" ref="CR42" ca="1" si="213">IFERROR(CQ42/CQ$29,0)</f>
        <v>0</v>
      </c>
      <c r="CS42" s="186">
        <f t="shared" si="168"/>
        <v>0</v>
      </c>
      <c r="CT42" s="186">
        <f t="shared" si="168"/>
        <v>0</v>
      </c>
      <c r="CU42" s="147">
        <f t="shared" ref="CU42" ca="1" si="214">IFERROR(CT42/CT$29,0)</f>
        <v>0</v>
      </c>
      <c r="CV42" s="186">
        <f t="shared" si="169"/>
        <v>0</v>
      </c>
      <c r="CW42" s="186">
        <f t="shared" si="169"/>
        <v>0</v>
      </c>
      <c r="CX42" s="147">
        <f t="shared" ref="CX42" ca="1" si="215">IFERROR(CW42/CW$29,0)</f>
        <v>0</v>
      </c>
      <c r="CZ42" s="155" t="s">
        <v>27</v>
      </c>
      <c r="DA42" s="155" t="s">
        <v>27</v>
      </c>
      <c r="DB42" s="186">
        <f t="shared" si="170"/>
        <v>0</v>
      </c>
      <c r="DC42" s="186">
        <f t="shared" si="170"/>
        <v>0</v>
      </c>
      <c r="DD42" s="187" t="s">
        <v>27</v>
      </c>
      <c r="DE42" s="187" t="s">
        <v>27</v>
      </c>
      <c r="DF42" s="187" t="s">
        <v>27</v>
      </c>
      <c r="DG42" s="187"/>
      <c r="DH42" s="186">
        <f t="shared" si="171"/>
        <v>0</v>
      </c>
      <c r="DI42" s="186">
        <f t="shared" si="171"/>
        <v>0</v>
      </c>
      <c r="DJ42" s="186">
        <f t="shared" si="171"/>
        <v>0</v>
      </c>
      <c r="DK42" s="149">
        <f t="shared" ref="DK42" si="216">IFERROR(DJ42/DL42,0)</f>
        <v>0</v>
      </c>
      <c r="DL42" s="186">
        <f t="shared" si="173"/>
        <v>0</v>
      </c>
      <c r="DM42" s="186">
        <f t="shared" si="173"/>
        <v>0</v>
      </c>
      <c r="DN42" s="186">
        <f t="shared" si="173"/>
        <v>0</v>
      </c>
      <c r="DO42" s="186">
        <f t="shared" si="173"/>
        <v>0</v>
      </c>
      <c r="DP42" s="186">
        <f t="shared" si="173"/>
        <v>0</v>
      </c>
      <c r="DQ42" s="147">
        <f t="shared" ref="DQ42" ca="1" si="217">IFERROR(DP42/DP$29,0)</f>
        <v>0</v>
      </c>
      <c r="DR42" s="186">
        <f t="shared" si="174"/>
        <v>0</v>
      </c>
      <c r="DS42" s="186">
        <f t="shared" si="174"/>
        <v>0</v>
      </c>
      <c r="DT42" s="147">
        <f t="shared" ref="DT42" ca="1" si="218">IFERROR(DS42/DS$29,0)</f>
        <v>0</v>
      </c>
      <c r="DV42" s="155" t="s">
        <v>27</v>
      </c>
      <c r="DW42" s="155" t="s">
        <v>27</v>
      </c>
      <c r="DX42" s="186">
        <f t="shared" si="175"/>
        <v>0</v>
      </c>
      <c r="DY42" s="186">
        <f t="shared" si="175"/>
        <v>0</v>
      </c>
      <c r="DZ42" s="187" t="s">
        <v>27</v>
      </c>
      <c r="EA42" s="187" t="s">
        <v>27</v>
      </c>
      <c r="EB42" s="187" t="s">
        <v>27</v>
      </c>
      <c r="EC42" s="187"/>
      <c r="ED42" s="186">
        <f t="shared" si="176"/>
        <v>0</v>
      </c>
      <c r="EE42" s="186">
        <f t="shared" si="176"/>
        <v>0</v>
      </c>
      <c r="EF42" s="186">
        <f t="shared" si="176"/>
        <v>0</v>
      </c>
      <c r="EG42" s="149">
        <f t="shared" ref="EG42" si="219">IFERROR(EF42/EH42,0)</f>
        <v>0</v>
      </c>
      <c r="EH42" s="186">
        <f t="shared" si="178"/>
        <v>0</v>
      </c>
      <c r="EI42" s="186">
        <f t="shared" si="178"/>
        <v>0</v>
      </c>
      <c r="EJ42" s="186">
        <f t="shared" si="178"/>
        <v>0</v>
      </c>
      <c r="EK42" s="186">
        <f t="shared" si="178"/>
        <v>0</v>
      </c>
      <c r="EL42" s="186">
        <f t="shared" si="178"/>
        <v>0</v>
      </c>
      <c r="EM42" s="147">
        <f t="shared" ref="EM42" ca="1" si="220">IFERROR(EL42/EL$29,0)</f>
        <v>0</v>
      </c>
      <c r="EN42" s="186">
        <f t="shared" si="179"/>
        <v>0</v>
      </c>
      <c r="EO42" s="186">
        <f t="shared" si="179"/>
        <v>0</v>
      </c>
      <c r="EP42" s="147">
        <f t="shared" ref="EP42" ca="1" si="221">IFERROR(EO42/EO$29,0)</f>
        <v>0</v>
      </c>
      <c r="FL42" s="146">
        <f t="shared" ca="1" si="180"/>
        <v>0</v>
      </c>
      <c r="FM42" s="146">
        <f t="shared" ca="1" si="181"/>
        <v>0</v>
      </c>
      <c r="FN42" s="146">
        <f t="shared" ca="1" si="182"/>
        <v>0</v>
      </c>
      <c r="FQ42" s="174" t="str">
        <f t="shared" ca="1" si="183"/>
        <v>na</v>
      </c>
      <c r="FR42" s="174" t="str">
        <f t="shared" ca="1" si="184"/>
        <v>na</v>
      </c>
      <c r="FS42" s="174" t="str">
        <f t="shared" ca="1" si="185"/>
        <v>na</v>
      </c>
    </row>
    <row r="43" spans="2:175">
      <c r="B43" s="145" t="s">
        <v>451</v>
      </c>
      <c r="D43" s="177" t="s">
        <v>27</v>
      </c>
      <c r="E43" s="177" t="s">
        <v>27</v>
      </c>
      <c r="G43" s="155" t="s">
        <v>27</v>
      </c>
      <c r="H43" s="155" t="s">
        <v>27</v>
      </c>
      <c r="I43" s="186">
        <f t="shared" si="147"/>
        <v>0</v>
      </c>
      <c r="J43" s="186">
        <f t="shared" si="147"/>
        <v>0</v>
      </c>
      <c r="K43" s="186">
        <f t="shared" si="147"/>
        <v>0</v>
      </c>
      <c r="L43" s="147">
        <f t="shared" si="186"/>
        <v>0</v>
      </c>
      <c r="M43" s="186">
        <f t="shared" si="148"/>
        <v>0</v>
      </c>
      <c r="N43" s="147">
        <f t="shared" si="187"/>
        <v>0</v>
      </c>
      <c r="P43" s="155" t="s">
        <v>27</v>
      </c>
      <c r="Q43" s="155" t="s">
        <v>27</v>
      </c>
      <c r="R43" s="186">
        <f t="shared" si="149"/>
        <v>0</v>
      </c>
      <c r="S43" s="186">
        <f t="shared" si="149"/>
        <v>0</v>
      </c>
      <c r="T43" s="187" t="s">
        <v>27</v>
      </c>
      <c r="U43" s="187" t="s">
        <v>27</v>
      </c>
      <c r="V43" s="187" t="s">
        <v>27</v>
      </c>
      <c r="W43" s="187"/>
      <c r="X43" s="186">
        <f t="shared" si="150"/>
        <v>0</v>
      </c>
      <c r="Y43" s="186">
        <f t="shared" si="150"/>
        <v>0</v>
      </c>
      <c r="Z43" s="186">
        <f t="shared" si="150"/>
        <v>0</v>
      </c>
      <c r="AA43" s="149">
        <f t="shared" si="151"/>
        <v>0</v>
      </c>
      <c r="AB43" s="186">
        <f t="shared" si="152"/>
        <v>0</v>
      </c>
      <c r="AC43" s="186">
        <f t="shared" si="152"/>
        <v>0</v>
      </c>
      <c r="AD43" s="186">
        <f t="shared" si="152"/>
        <v>0</v>
      </c>
      <c r="AE43" s="186">
        <f t="shared" si="152"/>
        <v>0</v>
      </c>
      <c r="AF43" s="186">
        <f t="shared" si="152"/>
        <v>0</v>
      </c>
      <c r="AG43" s="147">
        <f t="shared" ca="1" si="188"/>
        <v>0</v>
      </c>
      <c r="AH43" s="186">
        <f t="shared" si="153"/>
        <v>0</v>
      </c>
      <c r="AI43" s="186">
        <f t="shared" si="153"/>
        <v>0</v>
      </c>
      <c r="AJ43" s="147">
        <f t="shared" ca="1" si="189"/>
        <v>0</v>
      </c>
      <c r="AL43" s="155" t="s">
        <v>27</v>
      </c>
      <c r="AM43" s="155" t="s">
        <v>27</v>
      </c>
      <c r="AN43" s="186">
        <f t="shared" si="154"/>
        <v>0</v>
      </c>
      <c r="AO43" s="186">
        <f t="shared" si="154"/>
        <v>0</v>
      </c>
      <c r="AP43" s="187" t="s">
        <v>27</v>
      </c>
      <c r="AQ43" s="187" t="s">
        <v>27</v>
      </c>
      <c r="AR43" s="187" t="s">
        <v>27</v>
      </c>
      <c r="AS43" s="187"/>
      <c r="AT43" s="186">
        <f t="shared" si="155"/>
        <v>0</v>
      </c>
      <c r="AU43" s="186">
        <f t="shared" si="155"/>
        <v>0</v>
      </c>
      <c r="AV43" s="186">
        <f t="shared" si="155"/>
        <v>0</v>
      </c>
      <c r="AW43" s="149">
        <f t="shared" si="156"/>
        <v>0</v>
      </c>
      <c r="AX43" s="186">
        <f t="shared" si="157"/>
        <v>0</v>
      </c>
      <c r="AY43" s="186">
        <f t="shared" si="157"/>
        <v>0</v>
      </c>
      <c r="AZ43" s="186">
        <f t="shared" si="157"/>
        <v>0</v>
      </c>
      <c r="BA43" s="186">
        <f t="shared" si="157"/>
        <v>0</v>
      </c>
      <c r="BB43" s="186">
        <f t="shared" si="157"/>
        <v>0</v>
      </c>
      <c r="BC43" s="147">
        <f t="shared" ca="1" si="190"/>
        <v>0</v>
      </c>
      <c r="BD43" s="186">
        <f t="shared" si="158"/>
        <v>0</v>
      </c>
      <c r="BE43" s="186">
        <f t="shared" si="158"/>
        <v>0</v>
      </c>
      <c r="BF43" s="147">
        <f t="shared" ca="1" si="191"/>
        <v>0</v>
      </c>
      <c r="BH43" s="190" t="s">
        <v>449</v>
      </c>
      <c r="BI43" s="190" t="s">
        <v>449</v>
      </c>
      <c r="BJ43" s="186">
        <f t="shared" si="159"/>
        <v>0</v>
      </c>
      <c r="BK43" s="186">
        <f t="shared" si="159"/>
        <v>0</v>
      </c>
      <c r="BL43" s="187" t="s">
        <v>27</v>
      </c>
      <c r="BM43" s="187" t="s">
        <v>27</v>
      </c>
      <c r="BN43" s="187" t="s">
        <v>27</v>
      </c>
      <c r="BO43" s="187"/>
      <c r="BP43" s="186">
        <f t="shared" si="160"/>
        <v>0</v>
      </c>
      <c r="BQ43" s="186">
        <f t="shared" si="160"/>
        <v>0</v>
      </c>
      <c r="BR43" s="186">
        <f t="shared" si="160"/>
        <v>0</v>
      </c>
      <c r="BS43" s="149">
        <f t="shared" si="161"/>
        <v>0</v>
      </c>
      <c r="BT43" s="186">
        <f t="shared" si="162"/>
        <v>0</v>
      </c>
      <c r="BU43" s="186">
        <f t="shared" si="162"/>
        <v>0</v>
      </c>
      <c r="BV43" s="186">
        <f t="shared" si="162"/>
        <v>0</v>
      </c>
      <c r="BW43" s="186">
        <f t="shared" si="162"/>
        <v>0</v>
      </c>
      <c r="BX43" s="186">
        <f t="shared" si="162"/>
        <v>0</v>
      </c>
      <c r="BY43" s="147">
        <f t="shared" ca="1" si="192"/>
        <v>0</v>
      </c>
      <c r="BZ43" s="186">
        <f t="shared" si="163"/>
        <v>0</v>
      </c>
      <c r="CA43" s="186">
        <f t="shared" si="163"/>
        <v>0</v>
      </c>
      <c r="CB43" s="147">
        <f t="shared" ca="1" si="193"/>
        <v>0</v>
      </c>
      <c r="CD43" s="155" t="s">
        <v>27</v>
      </c>
      <c r="CE43" s="155" t="s">
        <v>27</v>
      </c>
      <c r="CF43" s="186">
        <f t="shared" si="164"/>
        <v>0</v>
      </c>
      <c r="CG43" s="186">
        <f t="shared" si="164"/>
        <v>0</v>
      </c>
      <c r="CH43" s="187" t="s">
        <v>27</v>
      </c>
      <c r="CI43" s="187" t="s">
        <v>27</v>
      </c>
      <c r="CJ43" s="187" t="s">
        <v>27</v>
      </c>
      <c r="CK43" s="187"/>
      <c r="CL43" s="186">
        <f t="shared" si="165"/>
        <v>0</v>
      </c>
      <c r="CM43" s="186">
        <f t="shared" si="165"/>
        <v>0</v>
      </c>
      <c r="CN43" s="186">
        <f t="shared" si="165"/>
        <v>0</v>
      </c>
      <c r="CO43" s="149">
        <f t="shared" si="166"/>
        <v>0</v>
      </c>
      <c r="CP43" s="186">
        <f t="shared" si="167"/>
        <v>0</v>
      </c>
      <c r="CQ43" s="186">
        <f t="shared" si="167"/>
        <v>0</v>
      </c>
      <c r="CR43" s="147">
        <f t="shared" ca="1" si="194"/>
        <v>0</v>
      </c>
      <c r="CS43" s="186">
        <f t="shared" si="168"/>
        <v>0</v>
      </c>
      <c r="CT43" s="186">
        <f t="shared" si="168"/>
        <v>0</v>
      </c>
      <c r="CU43" s="147">
        <f t="shared" ca="1" si="195"/>
        <v>0</v>
      </c>
      <c r="CV43" s="186">
        <f t="shared" si="169"/>
        <v>0</v>
      </c>
      <c r="CW43" s="186">
        <f t="shared" si="169"/>
        <v>0</v>
      </c>
      <c r="CX43" s="147">
        <f t="shared" ca="1" si="196"/>
        <v>0</v>
      </c>
      <c r="CZ43" s="155" t="s">
        <v>27</v>
      </c>
      <c r="DA43" s="155" t="s">
        <v>27</v>
      </c>
      <c r="DB43" s="186">
        <f t="shared" si="170"/>
        <v>0</v>
      </c>
      <c r="DC43" s="186">
        <f t="shared" si="170"/>
        <v>0</v>
      </c>
      <c r="DD43" s="187" t="s">
        <v>27</v>
      </c>
      <c r="DE43" s="187" t="s">
        <v>27</v>
      </c>
      <c r="DF43" s="187" t="s">
        <v>27</v>
      </c>
      <c r="DG43" s="187"/>
      <c r="DH43" s="186">
        <f t="shared" si="171"/>
        <v>0</v>
      </c>
      <c r="DI43" s="186">
        <f t="shared" si="171"/>
        <v>0</v>
      </c>
      <c r="DJ43" s="186">
        <f t="shared" si="171"/>
        <v>0</v>
      </c>
      <c r="DK43" s="149">
        <f t="shared" si="172"/>
        <v>0</v>
      </c>
      <c r="DL43" s="186">
        <f t="shared" si="173"/>
        <v>0</v>
      </c>
      <c r="DM43" s="186">
        <f t="shared" si="173"/>
        <v>0</v>
      </c>
      <c r="DN43" s="186">
        <f t="shared" si="173"/>
        <v>0</v>
      </c>
      <c r="DO43" s="186">
        <f t="shared" si="173"/>
        <v>0</v>
      </c>
      <c r="DP43" s="186">
        <f t="shared" si="173"/>
        <v>0</v>
      </c>
      <c r="DQ43" s="147">
        <f t="shared" ca="1" si="197"/>
        <v>0</v>
      </c>
      <c r="DR43" s="186">
        <f t="shared" si="174"/>
        <v>0</v>
      </c>
      <c r="DS43" s="186">
        <f t="shared" si="174"/>
        <v>0</v>
      </c>
      <c r="DT43" s="147">
        <f t="shared" ca="1" si="198"/>
        <v>0</v>
      </c>
      <c r="DV43" s="155" t="s">
        <v>27</v>
      </c>
      <c r="DW43" s="155" t="s">
        <v>27</v>
      </c>
      <c r="DX43" s="186">
        <f t="shared" si="175"/>
        <v>0</v>
      </c>
      <c r="DY43" s="186">
        <f t="shared" si="175"/>
        <v>0</v>
      </c>
      <c r="DZ43" s="187" t="s">
        <v>27</v>
      </c>
      <c r="EA43" s="187" t="s">
        <v>27</v>
      </c>
      <c r="EB43" s="187" t="s">
        <v>27</v>
      </c>
      <c r="EC43" s="187"/>
      <c r="ED43" s="186">
        <f t="shared" si="176"/>
        <v>0</v>
      </c>
      <c r="EE43" s="186">
        <f t="shared" si="176"/>
        <v>0</v>
      </c>
      <c r="EF43" s="186">
        <f t="shared" si="176"/>
        <v>0</v>
      </c>
      <c r="EG43" s="149">
        <f t="shared" si="177"/>
        <v>0</v>
      </c>
      <c r="EH43" s="186">
        <f t="shared" si="178"/>
        <v>0</v>
      </c>
      <c r="EI43" s="186">
        <f t="shared" si="178"/>
        <v>0</v>
      </c>
      <c r="EJ43" s="186">
        <f t="shared" si="178"/>
        <v>0</v>
      </c>
      <c r="EK43" s="186">
        <f t="shared" si="178"/>
        <v>0</v>
      </c>
      <c r="EL43" s="186">
        <f t="shared" si="178"/>
        <v>0</v>
      </c>
      <c r="EM43" s="147">
        <f t="shared" ca="1" si="199"/>
        <v>0</v>
      </c>
      <c r="EN43" s="186">
        <f t="shared" si="179"/>
        <v>0</v>
      </c>
      <c r="EO43" s="186">
        <f t="shared" si="179"/>
        <v>0</v>
      </c>
      <c r="EP43" s="147">
        <f t="shared" ca="1" si="200"/>
        <v>0</v>
      </c>
      <c r="FL43" s="146">
        <f t="shared" ca="1" si="180"/>
        <v>0</v>
      </c>
      <c r="FM43" s="146">
        <f t="shared" ca="1" si="181"/>
        <v>0</v>
      </c>
      <c r="FN43" s="146">
        <f t="shared" ca="1" si="182"/>
        <v>0</v>
      </c>
      <c r="FQ43" s="174" t="str">
        <f t="shared" ca="1" si="183"/>
        <v>na</v>
      </c>
      <c r="FR43" s="174" t="str">
        <f t="shared" ca="1" si="184"/>
        <v>na</v>
      </c>
      <c r="FS43" s="174" t="str">
        <f t="shared" ca="1" si="185"/>
        <v>na</v>
      </c>
    </row>
    <row r="44" spans="2:175">
      <c r="B44" s="145" t="s">
        <v>27</v>
      </c>
      <c r="D44" s="177" t="s">
        <v>27</v>
      </c>
      <c r="E44" s="177" t="s">
        <v>27</v>
      </c>
      <c r="G44" s="155" t="s">
        <v>27</v>
      </c>
      <c r="H44" s="155" t="s">
        <v>27</v>
      </c>
      <c r="I44" s="186">
        <f t="shared" si="147"/>
        <v>0</v>
      </c>
      <c r="J44" s="186">
        <f t="shared" si="147"/>
        <v>0</v>
      </c>
      <c r="K44" s="186">
        <f t="shared" si="147"/>
        <v>0</v>
      </c>
      <c r="L44" s="147">
        <f t="shared" si="186"/>
        <v>0</v>
      </c>
      <c r="M44" s="186">
        <f t="shared" si="148"/>
        <v>0</v>
      </c>
      <c r="N44" s="147">
        <f t="shared" si="187"/>
        <v>0</v>
      </c>
      <c r="P44" s="155" t="s">
        <v>27</v>
      </c>
      <c r="Q44" s="155" t="s">
        <v>27</v>
      </c>
      <c r="R44" s="186">
        <f t="shared" si="149"/>
        <v>0</v>
      </c>
      <c r="S44" s="186">
        <f t="shared" si="149"/>
        <v>0</v>
      </c>
      <c r="T44" s="187" t="s">
        <v>27</v>
      </c>
      <c r="U44" s="187" t="s">
        <v>27</v>
      </c>
      <c r="V44" s="187" t="s">
        <v>27</v>
      </c>
      <c r="W44" s="187"/>
      <c r="X44" s="186">
        <f t="shared" si="150"/>
        <v>0</v>
      </c>
      <c r="Y44" s="186">
        <f t="shared" si="150"/>
        <v>0</v>
      </c>
      <c r="Z44" s="186">
        <f t="shared" si="150"/>
        <v>0</v>
      </c>
      <c r="AA44" s="149">
        <f t="shared" si="151"/>
        <v>0</v>
      </c>
      <c r="AB44" s="186">
        <f t="shared" si="152"/>
        <v>0</v>
      </c>
      <c r="AC44" s="186">
        <f t="shared" si="152"/>
        <v>0</v>
      </c>
      <c r="AD44" s="186">
        <f t="shared" si="152"/>
        <v>0</v>
      </c>
      <c r="AE44" s="186">
        <f t="shared" si="152"/>
        <v>0</v>
      </c>
      <c r="AF44" s="186">
        <f t="shared" si="152"/>
        <v>0</v>
      </c>
      <c r="AG44" s="147">
        <f t="shared" ca="1" si="188"/>
        <v>0</v>
      </c>
      <c r="AH44" s="186">
        <f t="shared" si="153"/>
        <v>0</v>
      </c>
      <c r="AI44" s="186">
        <f t="shared" si="153"/>
        <v>0</v>
      </c>
      <c r="AJ44" s="147">
        <f t="shared" ca="1" si="189"/>
        <v>0</v>
      </c>
      <c r="AL44" s="155" t="s">
        <v>27</v>
      </c>
      <c r="AM44" s="155" t="s">
        <v>27</v>
      </c>
      <c r="AN44" s="186">
        <f t="shared" si="154"/>
        <v>0</v>
      </c>
      <c r="AO44" s="186">
        <f t="shared" si="154"/>
        <v>0</v>
      </c>
      <c r="AP44" s="187" t="s">
        <v>27</v>
      </c>
      <c r="AQ44" s="187" t="s">
        <v>27</v>
      </c>
      <c r="AR44" s="187" t="s">
        <v>27</v>
      </c>
      <c r="AS44" s="187"/>
      <c r="AT44" s="186">
        <f t="shared" si="155"/>
        <v>0</v>
      </c>
      <c r="AU44" s="186">
        <f t="shared" si="155"/>
        <v>0</v>
      </c>
      <c r="AV44" s="186">
        <f t="shared" si="155"/>
        <v>0</v>
      </c>
      <c r="AW44" s="149">
        <f t="shared" si="156"/>
        <v>0</v>
      </c>
      <c r="AX44" s="186">
        <f t="shared" si="157"/>
        <v>0</v>
      </c>
      <c r="AY44" s="186">
        <f t="shared" si="157"/>
        <v>0</v>
      </c>
      <c r="AZ44" s="186">
        <f t="shared" si="157"/>
        <v>0</v>
      </c>
      <c r="BA44" s="186">
        <f t="shared" si="157"/>
        <v>0</v>
      </c>
      <c r="BB44" s="186">
        <f t="shared" si="157"/>
        <v>0</v>
      </c>
      <c r="BC44" s="147">
        <f t="shared" ca="1" si="190"/>
        <v>0</v>
      </c>
      <c r="BD44" s="186">
        <f t="shared" si="158"/>
        <v>0</v>
      </c>
      <c r="BE44" s="186">
        <f t="shared" si="158"/>
        <v>0</v>
      </c>
      <c r="BF44" s="147">
        <f t="shared" ca="1" si="191"/>
        <v>0</v>
      </c>
      <c r="BH44" s="190" t="s">
        <v>449</v>
      </c>
      <c r="BI44" s="190" t="s">
        <v>449</v>
      </c>
      <c r="BJ44" s="186">
        <f t="shared" si="159"/>
        <v>0</v>
      </c>
      <c r="BK44" s="186">
        <f t="shared" si="159"/>
        <v>0</v>
      </c>
      <c r="BL44" s="187" t="s">
        <v>27</v>
      </c>
      <c r="BM44" s="187" t="s">
        <v>27</v>
      </c>
      <c r="BN44" s="187" t="s">
        <v>27</v>
      </c>
      <c r="BO44" s="187"/>
      <c r="BP44" s="186">
        <f t="shared" si="160"/>
        <v>0</v>
      </c>
      <c r="BQ44" s="186">
        <f t="shared" si="160"/>
        <v>0</v>
      </c>
      <c r="BR44" s="186">
        <f t="shared" si="160"/>
        <v>0</v>
      </c>
      <c r="BS44" s="149">
        <f t="shared" si="161"/>
        <v>0</v>
      </c>
      <c r="BT44" s="186">
        <f t="shared" si="162"/>
        <v>0</v>
      </c>
      <c r="BU44" s="186">
        <f t="shared" si="162"/>
        <v>0</v>
      </c>
      <c r="BV44" s="186">
        <f t="shared" si="162"/>
        <v>0</v>
      </c>
      <c r="BW44" s="186">
        <f t="shared" si="162"/>
        <v>0</v>
      </c>
      <c r="BX44" s="186">
        <f t="shared" si="162"/>
        <v>0</v>
      </c>
      <c r="BY44" s="147">
        <f t="shared" ca="1" si="192"/>
        <v>0</v>
      </c>
      <c r="BZ44" s="186">
        <f t="shared" si="163"/>
        <v>0</v>
      </c>
      <c r="CA44" s="186">
        <f t="shared" si="163"/>
        <v>0</v>
      </c>
      <c r="CB44" s="147">
        <f t="shared" ca="1" si="193"/>
        <v>0</v>
      </c>
      <c r="CD44" s="155" t="s">
        <v>27</v>
      </c>
      <c r="CE44" s="155" t="s">
        <v>27</v>
      </c>
      <c r="CF44" s="186">
        <f t="shared" si="164"/>
        <v>0</v>
      </c>
      <c r="CG44" s="186">
        <f t="shared" si="164"/>
        <v>0</v>
      </c>
      <c r="CH44" s="187" t="s">
        <v>27</v>
      </c>
      <c r="CI44" s="187" t="s">
        <v>27</v>
      </c>
      <c r="CJ44" s="187" t="s">
        <v>27</v>
      </c>
      <c r="CK44" s="187"/>
      <c r="CL44" s="186">
        <f t="shared" si="165"/>
        <v>0</v>
      </c>
      <c r="CM44" s="186">
        <f t="shared" si="165"/>
        <v>0</v>
      </c>
      <c r="CN44" s="186">
        <f t="shared" si="165"/>
        <v>0</v>
      </c>
      <c r="CO44" s="149">
        <f t="shared" si="166"/>
        <v>0</v>
      </c>
      <c r="CP44" s="186">
        <f t="shared" si="167"/>
        <v>0</v>
      </c>
      <c r="CQ44" s="186">
        <f t="shared" si="167"/>
        <v>0</v>
      </c>
      <c r="CR44" s="147">
        <f t="shared" ca="1" si="194"/>
        <v>0</v>
      </c>
      <c r="CS44" s="186">
        <f t="shared" si="168"/>
        <v>0</v>
      </c>
      <c r="CT44" s="186">
        <f t="shared" si="168"/>
        <v>0</v>
      </c>
      <c r="CU44" s="147">
        <f t="shared" ca="1" si="195"/>
        <v>0</v>
      </c>
      <c r="CV44" s="186">
        <f t="shared" si="169"/>
        <v>0</v>
      </c>
      <c r="CW44" s="186">
        <f t="shared" si="169"/>
        <v>0</v>
      </c>
      <c r="CX44" s="147">
        <f t="shared" ca="1" si="196"/>
        <v>0</v>
      </c>
      <c r="CZ44" s="155" t="s">
        <v>27</v>
      </c>
      <c r="DA44" s="155" t="s">
        <v>27</v>
      </c>
      <c r="DB44" s="186">
        <f t="shared" si="170"/>
        <v>0</v>
      </c>
      <c r="DC44" s="186">
        <f t="shared" si="170"/>
        <v>0</v>
      </c>
      <c r="DD44" s="187" t="s">
        <v>27</v>
      </c>
      <c r="DE44" s="187" t="s">
        <v>27</v>
      </c>
      <c r="DF44" s="187" t="s">
        <v>27</v>
      </c>
      <c r="DG44" s="187"/>
      <c r="DH44" s="186">
        <f t="shared" si="171"/>
        <v>0</v>
      </c>
      <c r="DI44" s="186">
        <f t="shared" si="171"/>
        <v>0</v>
      </c>
      <c r="DJ44" s="186">
        <f t="shared" si="171"/>
        <v>0</v>
      </c>
      <c r="DK44" s="149">
        <f t="shared" si="172"/>
        <v>0</v>
      </c>
      <c r="DL44" s="186">
        <f t="shared" si="173"/>
        <v>0</v>
      </c>
      <c r="DM44" s="186">
        <f t="shared" si="173"/>
        <v>0</v>
      </c>
      <c r="DN44" s="186">
        <f t="shared" si="173"/>
        <v>0</v>
      </c>
      <c r="DO44" s="186">
        <f t="shared" si="173"/>
        <v>0</v>
      </c>
      <c r="DP44" s="186">
        <f t="shared" si="173"/>
        <v>0</v>
      </c>
      <c r="DQ44" s="147">
        <f t="shared" ca="1" si="197"/>
        <v>0</v>
      </c>
      <c r="DR44" s="186">
        <f t="shared" si="174"/>
        <v>0</v>
      </c>
      <c r="DS44" s="186">
        <f t="shared" si="174"/>
        <v>0</v>
      </c>
      <c r="DT44" s="147">
        <f t="shared" ca="1" si="198"/>
        <v>0</v>
      </c>
      <c r="DV44" s="155" t="s">
        <v>27</v>
      </c>
      <c r="DW44" s="155" t="s">
        <v>27</v>
      </c>
      <c r="DX44" s="186">
        <f t="shared" si="175"/>
        <v>0</v>
      </c>
      <c r="DY44" s="186">
        <f t="shared" si="175"/>
        <v>0</v>
      </c>
      <c r="DZ44" s="187" t="s">
        <v>27</v>
      </c>
      <c r="EA44" s="187" t="s">
        <v>27</v>
      </c>
      <c r="EB44" s="187" t="s">
        <v>27</v>
      </c>
      <c r="EC44" s="187"/>
      <c r="ED44" s="186">
        <f t="shared" si="176"/>
        <v>0</v>
      </c>
      <c r="EE44" s="186">
        <f t="shared" si="176"/>
        <v>0</v>
      </c>
      <c r="EF44" s="186">
        <f t="shared" si="176"/>
        <v>0</v>
      </c>
      <c r="EG44" s="149">
        <f t="shared" si="177"/>
        <v>0</v>
      </c>
      <c r="EH44" s="186">
        <f t="shared" si="178"/>
        <v>0</v>
      </c>
      <c r="EI44" s="186">
        <f t="shared" si="178"/>
        <v>0</v>
      </c>
      <c r="EJ44" s="186">
        <f t="shared" si="178"/>
        <v>0</v>
      </c>
      <c r="EK44" s="186">
        <f t="shared" si="178"/>
        <v>0</v>
      </c>
      <c r="EL44" s="186">
        <f t="shared" si="178"/>
        <v>0</v>
      </c>
      <c r="EM44" s="147">
        <f t="shared" ca="1" si="199"/>
        <v>0</v>
      </c>
      <c r="EN44" s="186">
        <f t="shared" si="179"/>
        <v>0</v>
      </c>
      <c r="EO44" s="186">
        <f t="shared" si="179"/>
        <v>0</v>
      </c>
      <c r="EP44" s="147">
        <f t="shared" ca="1" si="200"/>
        <v>0</v>
      </c>
      <c r="FL44" s="146">
        <f t="shared" ca="1" si="180"/>
        <v>0</v>
      </c>
      <c r="FM44" s="146">
        <f t="shared" ca="1" si="181"/>
        <v>0</v>
      </c>
      <c r="FN44" s="146">
        <f t="shared" ca="1" si="182"/>
        <v>0</v>
      </c>
      <c r="FQ44" s="174" t="str">
        <f t="shared" ca="1" si="183"/>
        <v>na</v>
      </c>
      <c r="FR44" s="174" t="str">
        <f t="shared" ca="1" si="184"/>
        <v>na</v>
      </c>
      <c r="FS44" s="174" t="str">
        <f t="shared" ca="1" si="185"/>
        <v>na</v>
      </c>
    </row>
    <row r="45" spans="2:175">
      <c r="B45" s="149" t="s">
        <v>20</v>
      </c>
      <c r="I45" s="188">
        <f>SUM(I39:I44)</f>
        <v>0</v>
      </c>
      <c r="J45" s="188">
        <f>SUM(J39:J44)</f>
        <v>0</v>
      </c>
      <c r="K45" s="188">
        <f>SUM(K39:K44)</f>
        <v>0</v>
      </c>
      <c r="L45" s="152">
        <f t="shared" si="186"/>
        <v>0</v>
      </c>
      <c r="M45" s="188">
        <f>SUM(M39:M44)</f>
        <v>0</v>
      </c>
      <c r="N45" s="152">
        <f t="shared" si="187"/>
        <v>0</v>
      </c>
      <c r="P45" s="182"/>
      <c r="Q45" s="182"/>
      <c r="R45" s="188">
        <f>SUM(R39:R44)</f>
        <v>0</v>
      </c>
      <c r="S45" s="188">
        <f>SUM(S39:S44)</f>
        <v>0</v>
      </c>
      <c r="T45" s="151"/>
      <c r="U45" s="151"/>
      <c r="V45" s="151"/>
      <c r="W45" s="151"/>
      <c r="X45" s="188">
        <f ca="1">SUM(X39:X44)</f>
        <v>0</v>
      </c>
      <c r="Y45" s="188">
        <f ca="1">SUM(Y39:Y44)</f>
        <v>0</v>
      </c>
      <c r="Z45" s="188">
        <f ca="1">SUM(Z39:Z44)</f>
        <v>0</v>
      </c>
      <c r="AA45" s="151"/>
      <c r="AB45" s="188">
        <f ca="1">SUM(AB39:AB44)</f>
        <v>0</v>
      </c>
      <c r="AC45" s="188">
        <f>SUM(AC39:AC44)</f>
        <v>0</v>
      </c>
      <c r="AD45" s="188">
        <f ca="1">SUM(AD39:AD44)</f>
        <v>0</v>
      </c>
      <c r="AE45" s="188">
        <f>SUM(AE39:AE44)</f>
        <v>0</v>
      </c>
      <c r="AF45" s="188">
        <f ca="1">SUM(AF39:AF44)</f>
        <v>0</v>
      </c>
      <c r="AG45" s="152">
        <f t="shared" ca="1" si="188"/>
        <v>0</v>
      </c>
      <c r="AH45" s="188">
        <f ca="1">SUM(AH39:AH44)</f>
        <v>0</v>
      </c>
      <c r="AI45" s="188">
        <f ca="1">SUM(AI39:AI44)</f>
        <v>0</v>
      </c>
      <c r="AJ45" s="152">
        <f t="shared" ca="1" si="189"/>
        <v>0</v>
      </c>
      <c r="AL45" s="182"/>
      <c r="AM45" s="182"/>
      <c r="AN45" s="188">
        <f t="shared" si="154"/>
        <v>0</v>
      </c>
      <c r="AO45" s="188">
        <f t="shared" si="154"/>
        <v>0</v>
      </c>
      <c r="AP45" s="151"/>
      <c r="AQ45" s="151"/>
      <c r="AR45" s="151"/>
      <c r="AS45" s="151"/>
      <c r="AT45" s="188">
        <f t="shared" si="155"/>
        <v>0</v>
      </c>
      <c r="AU45" s="188">
        <f t="shared" si="155"/>
        <v>0</v>
      </c>
      <c r="AV45" s="188">
        <f t="shared" si="155"/>
        <v>0</v>
      </c>
      <c r="AW45" s="188">
        <f>SUMIFS(AW$6:AW$28,$AM$6:$AM$28,$B45)</f>
        <v>0</v>
      </c>
      <c r="AX45" s="188">
        <f t="shared" si="157"/>
        <v>0</v>
      </c>
      <c r="AY45" s="188">
        <f t="shared" si="157"/>
        <v>0</v>
      </c>
      <c r="AZ45" s="188">
        <f t="shared" si="157"/>
        <v>0</v>
      </c>
      <c r="BA45" s="188">
        <f t="shared" si="157"/>
        <v>0</v>
      </c>
      <c r="BB45" s="188">
        <f t="shared" si="157"/>
        <v>0</v>
      </c>
      <c r="BC45" s="152">
        <f t="shared" ca="1" si="190"/>
        <v>0</v>
      </c>
      <c r="BD45" s="188">
        <f t="shared" si="158"/>
        <v>0</v>
      </c>
      <c r="BE45" s="188">
        <f t="shared" si="158"/>
        <v>0</v>
      </c>
      <c r="BF45" s="152">
        <f t="shared" ca="1" si="191"/>
        <v>0</v>
      </c>
      <c r="BH45" s="191"/>
      <c r="BI45" s="191"/>
      <c r="BJ45" s="188">
        <f>SUMIFS(BJ$6:BJ$28,$AM$6:$AM$28,$B45)</f>
        <v>0</v>
      </c>
      <c r="BK45" s="188">
        <f>SUMIFS(BK$6:BK$28,$AM$6:$AM$28,$B45)</f>
        <v>0</v>
      </c>
      <c r="BL45" s="151"/>
      <c r="BM45" s="151"/>
      <c r="BN45" s="151"/>
      <c r="BO45" s="151"/>
      <c r="BP45" s="188">
        <f>SUMIFS(BP$6:BP$28,$AM$6:$AM$28,$B45)</f>
        <v>0</v>
      </c>
      <c r="BQ45" s="188">
        <f>SUMIFS(BQ$6:BQ$28,$AM$6:$AM$28,$B45)</f>
        <v>0</v>
      </c>
      <c r="BR45" s="188">
        <f>SUMIFS(BR$6:BR$28,$AM$6:$AM$28,$B45)</f>
        <v>0</v>
      </c>
      <c r="BS45" s="151"/>
      <c r="BT45" s="188">
        <f>SUMIFS(BT$6:BT$28,$AM$6:$AM$28,$B45)</f>
        <v>0</v>
      </c>
      <c r="BU45" s="188">
        <f>SUMIFS(BU$6:BU$28,$AM$6:$AM$28,$B45)</f>
        <v>0</v>
      </c>
      <c r="BV45" s="188">
        <f>SUMIFS(BV$6:BV$28,$AM$6:$AM$28,$B45)</f>
        <v>0</v>
      </c>
      <c r="BW45" s="188">
        <f>SUMIFS(BW$6:BW$28,$AM$6:$AM$28,$B45)</f>
        <v>0</v>
      </c>
      <c r="BX45" s="188">
        <f>SUMIFS(BX$6:BX$28,$AM$6:$AM$28,$B45)</f>
        <v>0</v>
      </c>
      <c r="BY45" s="152">
        <f t="shared" ca="1" si="192"/>
        <v>0</v>
      </c>
      <c r="BZ45" s="188">
        <f>SUMIFS(BZ$6:BZ$28,$AM$6:$AM$28,$B45)</f>
        <v>0</v>
      </c>
      <c r="CA45" s="188">
        <f>SUMIFS(CA$6:CA$28,$AM$6:$AM$28,$B45)</f>
        <v>0</v>
      </c>
      <c r="CB45" s="152">
        <f t="shared" ca="1" si="193"/>
        <v>0</v>
      </c>
      <c r="CD45" s="182"/>
      <c r="CE45" s="182"/>
      <c r="CF45" s="188">
        <f t="shared" si="164"/>
        <v>0</v>
      </c>
      <c r="CG45" s="188">
        <f t="shared" si="164"/>
        <v>0</v>
      </c>
      <c r="CH45" s="151"/>
      <c r="CI45" s="151"/>
      <c r="CJ45" s="151"/>
      <c r="CK45" s="151"/>
      <c r="CL45" s="188">
        <f t="shared" si="165"/>
        <v>0</v>
      </c>
      <c r="CM45" s="188">
        <f t="shared" si="165"/>
        <v>0</v>
      </c>
      <c r="CN45" s="188">
        <f t="shared" si="165"/>
        <v>0</v>
      </c>
      <c r="CP45" s="188">
        <f t="shared" si="167"/>
        <v>0</v>
      </c>
      <c r="CQ45" s="188">
        <f t="shared" si="167"/>
        <v>0</v>
      </c>
      <c r="CR45" s="152">
        <f t="shared" ca="1" si="194"/>
        <v>0</v>
      </c>
      <c r="CS45" s="188">
        <f t="shared" si="168"/>
        <v>0</v>
      </c>
      <c r="CT45" s="188">
        <f t="shared" si="168"/>
        <v>0</v>
      </c>
      <c r="CU45" s="152">
        <f t="shared" ca="1" si="195"/>
        <v>0</v>
      </c>
      <c r="CV45" s="188">
        <f t="shared" si="169"/>
        <v>0</v>
      </c>
      <c r="CW45" s="188">
        <f t="shared" si="169"/>
        <v>0</v>
      </c>
      <c r="CX45" s="152">
        <f t="shared" ca="1" si="196"/>
        <v>0</v>
      </c>
      <c r="CZ45" s="182"/>
      <c r="DA45" s="182"/>
      <c r="DB45" s="188">
        <f>SUMIFS(DB$6:DB$28,$DA$6:$DA$28,$B45)</f>
        <v>0</v>
      </c>
      <c r="DC45" s="151"/>
      <c r="DD45" s="151"/>
      <c r="DE45" s="151"/>
      <c r="DF45" s="151"/>
      <c r="DG45" s="151"/>
      <c r="DH45" s="151"/>
      <c r="DI45" s="151"/>
      <c r="DJ45" s="151"/>
      <c r="DK45" s="151"/>
      <c r="DL45" s="151"/>
      <c r="DM45" s="151"/>
      <c r="DN45" s="151"/>
      <c r="DO45" s="151"/>
      <c r="DP45" s="151"/>
      <c r="DQ45" s="152">
        <f t="shared" ca="1" si="197"/>
        <v>0</v>
      </c>
      <c r="DR45" s="151"/>
      <c r="DS45" s="151"/>
      <c r="DT45" s="152">
        <f t="shared" ca="1" si="198"/>
        <v>0</v>
      </c>
      <c r="DV45" s="182"/>
      <c r="DW45" s="182"/>
      <c r="DX45" s="151"/>
      <c r="DY45" s="151"/>
      <c r="DZ45" s="151"/>
      <c r="EA45" s="151"/>
      <c r="EB45" s="151"/>
      <c r="EC45" s="151"/>
      <c r="ED45" s="151"/>
      <c r="EE45" s="151"/>
      <c r="EF45" s="151"/>
      <c r="EG45" s="151"/>
      <c r="EH45" s="151"/>
      <c r="EI45" s="151"/>
      <c r="EJ45" s="151"/>
      <c r="EK45" s="151"/>
      <c r="EL45" s="151"/>
      <c r="EM45" s="152">
        <f t="shared" ca="1" si="199"/>
        <v>0</v>
      </c>
      <c r="EN45" s="151"/>
      <c r="EO45" s="151"/>
      <c r="EP45" s="152">
        <f t="shared" ca="1" si="200"/>
        <v>0</v>
      </c>
    </row>
    <row r="46" spans="2:175">
      <c r="BH46" s="155"/>
      <c r="BI46" s="155"/>
      <c r="CD46" s="155"/>
      <c r="CE46" s="155"/>
      <c r="CZ46" s="155"/>
      <c r="DA46" s="155"/>
      <c r="DV46" s="155"/>
      <c r="DW46" s="155"/>
    </row>
    <row r="47" spans="2:175">
      <c r="B47" s="189" t="s">
        <v>452</v>
      </c>
      <c r="BH47" s="155"/>
      <c r="BI47" s="155"/>
      <c r="CD47" s="155"/>
      <c r="CE47" s="155"/>
      <c r="CZ47" s="155"/>
      <c r="DA47" s="155"/>
      <c r="DV47" s="155"/>
      <c r="DW47" s="155"/>
    </row>
    <row r="48" spans="2:175">
      <c r="B48" s="149" t="str">
        <f>I60</f>
        <v>Founding</v>
      </c>
      <c r="D48" s="155" t="str">
        <f>B48</f>
        <v>Founding</v>
      </c>
      <c r="E48" s="177" t="s">
        <v>27</v>
      </c>
      <c r="G48" s="155" t="s">
        <v>27</v>
      </c>
      <c r="H48" s="155" t="s">
        <v>27</v>
      </c>
      <c r="I48" s="186">
        <f>SUMIFS(I$6:I$28,$D$6:$D$28,$B48)</f>
        <v>0</v>
      </c>
      <c r="J48" s="186">
        <f>SUMIFS(J$6:J$28,$D$6:$D$28,$B48)</f>
        <v>0</v>
      </c>
      <c r="K48" s="186">
        <f>SUMIFS(K$6:K$28,$D$6:$D$28,$B48)</f>
        <v>0</v>
      </c>
      <c r="L48" s="148">
        <f>IFERROR(K48/K$29,0)</f>
        <v>0</v>
      </c>
      <c r="M48" s="186">
        <f>SUMIFS(M$6:M$28,$D$6:$D$28,$B48)</f>
        <v>0</v>
      </c>
      <c r="N48" s="148">
        <f>IFERROR(M48/M$29,0)</f>
        <v>0</v>
      </c>
      <c r="P48" s="155" t="s">
        <v>27</v>
      </c>
      <c r="Q48" s="155" t="s">
        <v>27</v>
      </c>
      <c r="R48" s="186">
        <f>SUMIFS(R$6:R$28,$D$6:$D$28,$B48)</f>
        <v>0</v>
      </c>
      <c r="S48" s="186">
        <f>SUMIFS(S$6:S$28,$D$6:$D$28,$B48)</f>
        <v>0</v>
      </c>
      <c r="T48" s="187" t="s">
        <v>27</v>
      </c>
      <c r="U48" s="187" t="s">
        <v>27</v>
      </c>
      <c r="V48" s="187" t="s">
        <v>27</v>
      </c>
      <c r="W48" s="187"/>
      <c r="X48" s="186">
        <f ca="1">SUMIFS(X$6:X$28,$D$6:$D$28,$B48)</f>
        <v>0</v>
      </c>
      <c r="Y48" s="186">
        <f ca="1">SUMIFS(Y$6:Y$28,$D$6:$D$28,$B48)</f>
        <v>0</v>
      </c>
      <c r="Z48" s="186">
        <f ca="1">SUMIFS(Z$6:Z$28,$D$6:$D$28,$B48)</f>
        <v>0</v>
      </c>
      <c r="AA48" s="149">
        <f ca="1">IFERROR(Z48/AB48,0)</f>
        <v>0</v>
      </c>
      <c r="AB48" s="186">
        <f ca="1">SUMIFS(AB$6:AB$28,$D$6:$D$28,$B48)</f>
        <v>0</v>
      </c>
      <c r="AC48" s="186">
        <f>SUMIFS(AC$6:AC$28,$D$6:$D$28,$B48)</f>
        <v>0</v>
      </c>
      <c r="AD48" s="186">
        <f ca="1">SUMIFS(AD$6:AD$28,$D$6:$D$28,$B48)</f>
        <v>0</v>
      </c>
      <c r="AE48" s="186">
        <f>SUMIFS(AE$6:AE$28,$D$6:$D$28,$B48)</f>
        <v>0</v>
      </c>
      <c r="AF48" s="186">
        <f ca="1">SUMIFS(AF$6:AF$28,$D$6:$D$28,$B48)</f>
        <v>0</v>
      </c>
      <c r="AG48" s="148">
        <f ca="1">IFERROR(AF48/AF$29,0)</f>
        <v>0</v>
      </c>
      <c r="AH48" s="186">
        <f ca="1">SUMIFS(AH$6:AH$28,$D$6:$D$28,$B48)</f>
        <v>0</v>
      </c>
      <c r="AI48" s="186">
        <f ca="1">SUMIFS(AI$6:AI$28,$D$6:$D$28,$B48)</f>
        <v>0</v>
      </c>
      <c r="AJ48" s="148">
        <f ca="1">IFERROR(AI48/AI$29,0)</f>
        <v>0</v>
      </c>
      <c r="AL48" s="155" t="s">
        <v>27</v>
      </c>
      <c r="AM48" s="155" t="s">
        <v>27</v>
      </c>
      <c r="AN48" s="186">
        <f>SUMIFS(AN$6:AN$28,$D$6:$D$28,$B48)</f>
        <v>0</v>
      </c>
      <c r="AO48" s="186">
        <f>SUMIFS(AO$6:AO$28,$D$6:$D$28,$B48)</f>
        <v>0</v>
      </c>
      <c r="AP48" s="187" t="s">
        <v>27</v>
      </c>
      <c r="AQ48" s="187" t="s">
        <v>27</v>
      </c>
      <c r="AR48" s="187" t="s">
        <v>27</v>
      </c>
      <c r="AS48" s="187"/>
      <c r="AT48" s="186">
        <f ca="1">SUMIFS(AT$6:AT$28,$D$6:$D$28,$B48)</f>
        <v>0</v>
      </c>
      <c r="AU48" s="186">
        <f ca="1">SUMIFS(AU$6:AU$28,$D$6:$D$28,$B48)</f>
        <v>0</v>
      </c>
      <c r="AV48" s="186">
        <f ca="1">SUMIFS(AV$6:AV$28,$D$6:$D$28,$B48)</f>
        <v>0</v>
      </c>
      <c r="AW48" s="149">
        <f ca="1">IFERROR(AV48/AX48,0)</f>
        <v>0</v>
      </c>
      <c r="AX48" s="186">
        <f ca="1">SUMIFS(AX$6:AX$28,$D$6:$D$28,$B48)</f>
        <v>0</v>
      </c>
      <c r="AY48" s="186">
        <f>SUMIFS(AY$6:AY$28,$D$6:$D$28,$B48)</f>
        <v>0</v>
      </c>
      <c r="AZ48" s="186">
        <f ca="1">SUMIFS(AZ$6:AZ$28,$D$6:$D$28,$B48)</f>
        <v>0</v>
      </c>
      <c r="BA48" s="186">
        <f>SUMIFS(BA$6:BA$28,$D$6:$D$28,$B48)</f>
        <v>0</v>
      </c>
      <c r="BB48" s="186">
        <f ca="1">SUMIFS(BB$6:BB$28,$D$6:$D$28,$B48)</f>
        <v>0</v>
      </c>
      <c r="BC48" s="148">
        <f ca="1">IFERROR(BB48/BB$29,0)</f>
        <v>0</v>
      </c>
      <c r="BD48" s="186">
        <f ca="1">SUMIFS(BD$6:BD$28,$D$6:$D$28,$B48)</f>
        <v>0</v>
      </c>
      <c r="BE48" s="186">
        <f ca="1">SUMIFS(BE$6:BE$28,$D$6:$D$28,$B48)</f>
        <v>0</v>
      </c>
      <c r="BF48" s="148">
        <f ca="1">IFERROR(BE48/BE$29,0)</f>
        <v>0</v>
      </c>
      <c r="BH48" s="155" t="s">
        <v>27</v>
      </c>
      <c r="BI48" s="155" t="s">
        <v>27</v>
      </c>
      <c r="BJ48" s="186">
        <f>SUMIFS(BJ$6:BJ$28,$D$6:$D$28,$B48)</f>
        <v>0</v>
      </c>
      <c r="BK48" s="186">
        <f>SUMIFS(BK$6:BK$28,$D$6:$D$28,$B48)</f>
        <v>0</v>
      </c>
      <c r="BL48" s="187" t="s">
        <v>27</v>
      </c>
      <c r="BM48" s="187" t="s">
        <v>27</v>
      </c>
      <c r="BN48" s="187" t="s">
        <v>27</v>
      </c>
      <c r="BO48" s="187"/>
      <c r="BP48" s="186">
        <f ca="1">SUMIFS(BP$6:BP$28,$D$6:$D$28,$B48)</f>
        <v>0</v>
      </c>
      <c r="BQ48" s="186">
        <f ca="1">SUMIFS(BQ$6:BQ$28,$D$6:$D$28,$B48)</f>
        <v>0</v>
      </c>
      <c r="BR48" s="186">
        <f ca="1">SUMIFS(BR$6:BR$28,$D$6:$D$28,$B48)</f>
        <v>0</v>
      </c>
      <c r="BS48" s="149">
        <f ca="1">IFERROR(BR48/BT48,0)</f>
        <v>0</v>
      </c>
      <c r="BT48" s="186">
        <f ca="1">SUMIFS(BT$6:BT$28,$D$6:$D$28,$B48)</f>
        <v>0</v>
      </c>
      <c r="BU48" s="186">
        <f>SUMIFS(BU$6:BU$28,$D$6:$D$28,$B48)</f>
        <v>0</v>
      </c>
      <c r="BV48" s="186">
        <f ca="1">SUMIFS(BV$6:BV$28,$D$6:$D$28,$B48)</f>
        <v>0</v>
      </c>
      <c r="BW48" s="186">
        <f>SUMIFS(BW$6:BW$28,$D$6:$D$28,$B48)</f>
        <v>0</v>
      </c>
      <c r="BX48" s="186">
        <f ca="1">SUMIFS(BX$6:BX$28,$D$6:$D$28,$B48)</f>
        <v>0</v>
      </c>
      <c r="BY48" s="148">
        <f ca="1">IFERROR(BX48/BX$29,0)</f>
        <v>0</v>
      </c>
      <c r="BZ48" s="186">
        <f ca="1">SUMIFS(BZ$6:BZ$28,$D$6:$D$28,$B48)</f>
        <v>0</v>
      </c>
      <c r="CA48" s="186">
        <f ca="1">SUMIFS(CA$6:CA$28,$D$6:$D$28,$B48)</f>
        <v>0</v>
      </c>
      <c r="CB48" s="148">
        <f ca="1">IFERROR(CA48/CA$29,0)</f>
        <v>0</v>
      </c>
      <c r="CD48" s="155" t="s">
        <v>27</v>
      </c>
      <c r="CE48" s="155" t="s">
        <v>27</v>
      </c>
      <c r="CF48" s="186">
        <f>SUMIFS(CF$6:CF$28,$D$6:$D$28,$B48)</f>
        <v>0</v>
      </c>
      <c r="CG48" s="186">
        <f>SUMIFS(CG$6:CG$28,$D$6:$D$28,$B48)</f>
        <v>0</v>
      </c>
      <c r="CH48" s="187" t="s">
        <v>27</v>
      </c>
      <c r="CI48" s="187" t="s">
        <v>27</v>
      </c>
      <c r="CJ48" s="187" t="s">
        <v>27</v>
      </c>
      <c r="CK48" s="187"/>
      <c r="CL48" s="186">
        <f ca="1">SUMIFS(CL$6:CL$28,$D$6:$D$28,$B48)</f>
        <v>0</v>
      </c>
      <c r="CM48" s="186">
        <f ca="1">SUMIFS(CM$6:CM$28,$D$6:$D$28,$B48)</f>
        <v>0</v>
      </c>
      <c r="CN48" s="186">
        <f ca="1">SUMIFS(CN$6:CN$28,$D$6:$D$28,$B48)</f>
        <v>0</v>
      </c>
      <c r="CO48" s="149">
        <f ca="1">IFERROR(CN48/CP48,0)</f>
        <v>0</v>
      </c>
      <c r="CP48" s="186">
        <f ca="1">SUMIFS(CP$6:CP$28,$D$6:$D$28,$B48)</f>
        <v>0</v>
      </c>
      <c r="CQ48" s="186">
        <f>SUMIFS(CQ$6:CQ$28,$D$6:$D$28,$B48)</f>
        <v>0</v>
      </c>
      <c r="CR48" s="186">
        <f ca="1">SUMIFS(CR$6:CR$28,$D$6:$D$28,$B48)</f>
        <v>0</v>
      </c>
      <c r="CS48" s="186">
        <f>SUMIFS(CS$6:CS$28,$D$6:$D$28,$B48)</f>
        <v>0</v>
      </c>
      <c r="CT48" s="186">
        <f ca="1">SUMIFS(CT$6:CT$28,$D$6:$D$28,$B48)</f>
        <v>0</v>
      </c>
      <c r="CU48" s="148">
        <f ca="1">IFERROR(CT48/CT$29,0)</f>
        <v>0</v>
      </c>
      <c r="CV48" s="186">
        <f ca="1">SUMIFS(CV$6:CV$28,$D$6:$D$28,$B48)</f>
        <v>0</v>
      </c>
      <c r="CW48" s="186">
        <f ca="1">SUMIFS(CW$6:CW$28,$D$6:$D$28,$B48)</f>
        <v>0</v>
      </c>
      <c r="CX48" s="148">
        <f ca="1">IFERROR(CW48/CW$29,0)</f>
        <v>0</v>
      </c>
      <c r="CZ48" s="155" t="s">
        <v>27</v>
      </c>
      <c r="DA48" s="155" t="s">
        <v>27</v>
      </c>
      <c r="DB48" s="186">
        <f>SUMIFS(DB$6:DB$28,$D$6:$D$28,$B48)</f>
        <v>0</v>
      </c>
      <c r="DC48" s="186">
        <f>SUMIFS(DC$6:DC$28,$D$6:$D$28,$B48)</f>
        <v>0</v>
      </c>
      <c r="DD48" s="187" t="s">
        <v>27</v>
      </c>
      <c r="DE48" s="187" t="s">
        <v>27</v>
      </c>
      <c r="DF48" s="187" t="s">
        <v>27</v>
      </c>
      <c r="DG48" s="187"/>
      <c r="DH48" s="186">
        <f ca="1">SUMIFS(DH$6:DH$28,$D$6:$D$28,$B48)</f>
        <v>0</v>
      </c>
      <c r="DI48" s="186">
        <f ca="1">SUMIFS(DI$6:DI$28,$D$6:$D$28,$B48)</f>
        <v>0</v>
      </c>
      <c r="DJ48" s="186">
        <f ca="1">SUMIFS(DJ$6:DJ$28,$D$6:$D$28,$B48)</f>
        <v>0</v>
      </c>
      <c r="DK48" s="149">
        <f ca="1">IFERROR(DJ48/DL48,0)</f>
        <v>0</v>
      </c>
      <c r="DL48" s="186">
        <f ca="1">SUMIFS(DL$6:DL$28,$D$6:$D$28,$B48)</f>
        <v>0</v>
      </c>
      <c r="DM48" s="186">
        <f>SUMIFS(DM$6:DM$28,$D$6:$D$28,$B48)</f>
        <v>0</v>
      </c>
      <c r="DN48" s="186">
        <f ca="1">SUMIFS(DN$6:DN$28,$D$6:$D$28,$B48)</f>
        <v>0</v>
      </c>
      <c r="DO48" s="186">
        <f>SUMIFS(DO$6:DO$28,$D$6:$D$28,$B48)</f>
        <v>0</v>
      </c>
      <c r="DP48" s="186">
        <f ca="1">SUMIFS(DP$6:DP$28,$D$6:$D$28,$B48)</f>
        <v>0</v>
      </c>
      <c r="DQ48" s="148">
        <f ca="1">IFERROR(DP48/DP$29,0)</f>
        <v>0</v>
      </c>
      <c r="DR48" s="186">
        <f ca="1">SUMIFS(DR$6:DR$28,$D$6:$D$28,$B48)</f>
        <v>0</v>
      </c>
      <c r="DS48" s="186">
        <f ca="1">SUMIFS(DS$6:DS$28,$D$6:$D$28,$B48)</f>
        <v>0</v>
      </c>
      <c r="DT48" s="148">
        <f ca="1">IFERROR(DS48/DS$29,0)</f>
        <v>0</v>
      </c>
      <c r="DV48" s="155" t="s">
        <v>27</v>
      </c>
      <c r="DW48" s="155" t="s">
        <v>27</v>
      </c>
      <c r="DX48" s="186">
        <f>SUMIFS(DX$6:DX$28,$D$6:$D$28,$B48)</f>
        <v>0</v>
      </c>
      <c r="DY48" s="186">
        <f>SUMIFS(DY$6:DY$28,$D$6:$D$28,$B48)</f>
        <v>0</v>
      </c>
      <c r="DZ48" s="187" t="s">
        <v>27</v>
      </c>
      <c r="EA48" s="187" t="s">
        <v>27</v>
      </c>
      <c r="EB48" s="187" t="s">
        <v>27</v>
      </c>
      <c r="EC48" s="187"/>
      <c r="ED48" s="186">
        <f ca="1">SUMIFS(ED$6:ED$28,$D$6:$D$28,$B48)</f>
        <v>0</v>
      </c>
      <c r="EE48" s="186">
        <f ca="1">SUMIFS(EE$6:EE$28,$D$6:$D$28,$B48)</f>
        <v>0</v>
      </c>
      <c r="EF48" s="186">
        <f ca="1">SUMIFS(EF$6:EF$28,$D$6:$D$28,$B48)</f>
        <v>0</v>
      </c>
      <c r="EG48" s="149">
        <f ca="1">IFERROR(EF48/EH48,0)</f>
        <v>0</v>
      </c>
      <c r="EH48" s="186">
        <f ca="1">SUMIFS(EH$6:EH$28,$D$6:$D$28,$B48)</f>
        <v>0</v>
      </c>
      <c r="EI48" s="186">
        <f>SUMIFS(EI$6:EI$28,$D$6:$D$28,$B48)</f>
        <v>0</v>
      </c>
      <c r="EJ48" s="186">
        <f ca="1">SUMIFS(EJ$6:EJ$28,$D$6:$D$28,$B48)</f>
        <v>0</v>
      </c>
      <c r="EK48" s="186">
        <f>SUMIFS(EK$6:EK$28,$D$6:$D$28,$B48)</f>
        <v>0</v>
      </c>
      <c r="EL48" s="186">
        <f ca="1">SUMIFS(EL$6:EL$28,$D$6:$D$28,$B48)</f>
        <v>0</v>
      </c>
      <c r="EM48" s="148">
        <f ca="1">IFERROR(EL48/EL$29,0)</f>
        <v>0</v>
      </c>
      <c r="EN48" s="186">
        <f ca="1">SUMIFS(EN$6:EN$28,$D$6:$D$28,$B48)</f>
        <v>0</v>
      </c>
      <c r="EO48" s="186">
        <f ca="1">SUMIFS(EO$6:EO$28,$D$6:$D$28,$B48)</f>
        <v>0</v>
      </c>
      <c r="EP48" s="148">
        <f ca="1">IFERROR(EO48/EO$29,0)</f>
        <v>0</v>
      </c>
      <c r="ER48" s="186">
        <f>SUMIFS(ER$6:ER$28,$D$6:$D$28,$B48)</f>
        <v>0</v>
      </c>
      <c r="ES48" s="186">
        <f>SUMIFS(ES$6:ES$28,$D$6:$D$28,$B48)</f>
        <v>0</v>
      </c>
      <c r="ET48" s="174" t="s">
        <v>27</v>
      </c>
      <c r="EU48" s="174" t="s">
        <v>27</v>
      </c>
      <c r="EV48" s="174" t="s">
        <v>27</v>
      </c>
      <c r="EW48" s="186">
        <f ca="1">SUMIFS(EW$6:EW$28,$D$6:$D$28,$B48)</f>
        <v>0</v>
      </c>
      <c r="EX48" s="186">
        <f ca="1">SUMIFS(EX$6:EX$28,$D$6:$D$28,$B48)</f>
        <v>0</v>
      </c>
      <c r="EY48" s="186">
        <f ca="1">SUMIFS(EY$6:EY$28,$D$6:$D$28,$B48)</f>
        <v>0</v>
      </c>
      <c r="EZ48" s="149">
        <f ca="1">IFERROR(EY48/FA48,0)</f>
        <v>0</v>
      </c>
      <c r="FA48" s="186">
        <f ca="1">SUMIFS(FA$6:FA$28,$D$6:$D$28,$B48)</f>
        <v>0</v>
      </c>
      <c r="FB48" s="186">
        <f>SUMIFS(FB$6:FB$28,$D$6:$D$28,$B48)</f>
        <v>0</v>
      </c>
      <c r="FC48" s="186">
        <f ca="1">SUMIFS(FC$6:FC$28,$D$6:$D$28,$B48)</f>
        <v>0</v>
      </c>
      <c r="FD48" s="186">
        <f>SUMIFS(FD$6:FD$28,$D$6:$D$28,$B48)</f>
        <v>0</v>
      </c>
      <c r="FE48" s="186">
        <f ca="1">SUMIFS(FE$6:FE$28,$D$6:$D$28,$B48)</f>
        <v>0</v>
      </c>
      <c r="FF48" s="148">
        <f ca="1">IFERROR(FE48/FE$29,0)</f>
        <v>0</v>
      </c>
      <c r="FG48" s="186">
        <f ca="1">SUMIFS(FG$6:FG$28,$D$6:$D$28,$B48)</f>
        <v>0</v>
      </c>
      <c r="FH48" s="186">
        <f ca="1">SUMIFS(FH$6:FH$28,$D$6:$D$28,$B48)</f>
        <v>0</v>
      </c>
      <c r="FI48" s="148">
        <f ca="1">IFERROR(FH48/FH$29,0)</f>
        <v>0</v>
      </c>
      <c r="FL48" s="146">
        <f t="shared" ref="FL48:FL56" ca="1" si="222">OFFSET($G48,0,IF($FL$4=$G$4,1,13)+MATCH($FL$4,$G$4:$FI$4,0))</f>
        <v>0</v>
      </c>
      <c r="FM48" s="146">
        <f t="shared" ref="FM48:FM56" ca="1" si="223">OFFSET($G48,0,IF($FL$4=$G$4,2,14)+MATCH($FL$4,$G$4:$FI$4,0))</f>
        <v>0</v>
      </c>
      <c r="FN48" s="146">
        <f t="shared" ref="FN48:FN56" ca="1" si="224">OFFSET($G48,0,IF($FL$4=$G$4,5,18)+MATCH($FL$4,$G$4:$FI$4,0))</f>
        <v>0</v>
      </c>
      <c r="FQ48" s="174" t="str">
        <f t="shared" ref="FQ48:FQ56" ca="1" si="225">IFERROR(OFFSET($G48,0,IF($FQ$4=$G$4,1,13)+MATCH($FQ$4,$G$4:$FI$4,0)),"na")</f>
        <v>na</v>
      </c>
      <c r="FR48" s="174" t="str">
        <f t="shared" ref="FR48:FR56" ca="1" si="226">IFERROR(OFFSET($G48,0,IF($FQ$4=$G$4,1,14)+MATCH($FQ$4,$G$4:$FI$4,0)),"na")</f>
        <v>na</v>
      </c>
      <c r="FS48" s="174" t="str">
        <f t="shared" ref="FS48:FS56" ca="1" si="227">IFERROR(OFFSET($G48,0,IF($FQ$4=$G$4,5,18)+MATCH($FQ$4,$G$4:$FI$4,0)),"na")</f>
        <v>na</v>
      </c>
    </row>
    <row r="49" spans="2:175">
      <c r="B49" s="149" t="str">
        <f>R60</f>
        <v>Seed</v>
      </c>
      <c r="D49" s="155" t="str">
        <f t="shared" ref="D49:D55" si="228">B49</f>
        <v>Seed</v>
      </c>
      <c r="E49" s="177" t="s">
        <v>27</v>
      </c>
      <c r="G49" s="155" t="s">
        <v>27</v>
      </c>
      <c r="H49" s="155" t="s">
        <v>27</v>
      </c>
      <c r="I49" s="186">
        <f t="shared" ref="I49:K55" si="229">SUMIFS(I$6:I$28,$D$6:$D$28,$B49)</f>
        <v>0</v>
      </c>
      <c r="J49" s="186">
        <f t="shared" si="229"/>
        <v>0</v>
      </c>
      <c r="K49" s="186">
        <f t="shared" si="229"/>
        <v>0</v>
      </c>
      <c r="L49" s="148">
        <f t="shared" ref="L49:L55" si="230">IFERROR(K49/K$29,0)</f>
        <v>0</v>
      </c>
      <c r="M49" s="186">
        <f t="shared" ref="M49:M55" si="231">SUMIFS(M$6:M$28,$D$6:$D$28,$B49)</f>
        <v>0</v>
      </c>
      <c r="N49" s="148">
        <f t="shared" ref="N49:N55" si="232">IFERROR(M49/M$29,0)</f>
        <v>0</v>
      </c>
      <c r="P49" s="155" t="s">
        <v>27</v>
      </c>
      <c r="Q49" s="155" t="s">
        <v>27</v>
      </c>
      <c r="R49" s="186">
        <f t="shared" ref="R49:S55" si="233">SUMIFS(R$6:R$28,$D$6:$D$28,$B49)</f>
        <v>0</v>
      </c>
      <c r="S49" s="186">
        <f t="shared" si="233"/>
        <v>0</v>
      </c>
      <c r="T49" s="187" t="s">
        <v>27</v>
      </c>
      <c r="U49" s="187" t="s">
        <v>27</v>
      </c>
      <c r="V49" s="187" t="s">
        <v>27</v>
      </c>
      <c r="W49" s="187"/>
      <c r="X49" s="186">
        <f t="shared" ref="X49:Z55" ca="1" si="234">SUMIFS(X$6:X$28,$D$6:$D$28,$B49)</f>
        <v>0</v>
      </c>
      <c r="Y49" s="186">
        <f t="shared" ca="1" si="234"/>
        <v>0</v>
      </c>
      <c r="Z49" s="186">
        <f t="shared" ca="1" si="234"/>
        <v>0</v>
      </c>
      <c r="AA49" s="149">
        <f t="shared" ref="AA49:AA56" ca="1" si="235">IFERROR(Z49/AB49,0)</f>
        <v>0</v>
      </c>
      <c r="AB49" s="186">
        <f t="shared" ref="AB49:AF55" ca="1" si="236">SUMIFS(AB$6:AB$28,$D$6:$D$28,$B49)</f>
        <v>0</v>
      </c>
      <c r="AC49" s="186">
        <f t="shared" si="236"/>
        <v>0</v>
      </c>
      <c r="AD49" s="186">
        <f t="shared" ca="1" si="236"/>
        <v>0</v>
      </c>
      <c r="AE49" s="186">
        <f t="shared" si="236"/>
        <v>0</v>
      </c>
      <c r="AF49" s="186">
        <f t="shared" ca="1" si="236"/>
        <v>0</v>
      </c>
      <c r="AG49" s="148">
        <f t="shared" ref="AG49:AG55" ca="1" si="237">IFERROR(AF49/AF$29,0)</f>
        <v>0</v>
      </c>
      <c r="AH49" s="186">
        <f t="shared" ref="AH49:AI55" ca="1" si="238">SUMIFS(AH$6:AH$28,$D$6:$D$28,$B49)</f>
        <v>0</v>
      </c>
      <c r="AI49" s="186">
        <f t="shared" ca="1" si="238"/>
        <v>0</v>
      </c>
      <c r="AJ49" s="148">
        <f t="shared" ref="AJ49:AJ55" ca="1" si="239">IFERROR(AI49/AI$29,0)</f>
        <v>0</v>
      </c>
      <c r="AL49" s="155" t="s">
        <v>27</v>
      </c>
      <c r="AM49" s="155" t="s">
        <v>27</v>
      </c>
      <c r="AN49" s="186">
        <f t="shared" ref="AN49:AO55" si="240">SUMIFS(AN$6:AN$28,$D$6:$D$28,$B49)</f>
        <v>0</v>
      </c>
      <c r="AO49" s="186">
        <f t="shared" si="240"/>
        <v>0</v>
      </c>
      <c r="AP49" s="187" t="s">
        <v>27</v>
      </c>
      <c r="AQ49" s="187" t="s">
        <v>27</v>
      </c>
      <c r="AR49" s="187" t="s">
        <v>27</v>
      </c>
      <c r="AS49" s="187"/>
      <c r="AT49" s="186">
        <f t="shared" ref="AT49:AV55" ca="1" si="241">SUMIFS(AT$6:AT$28,$D$6:$D$28,$B49)</f>
        <v>0</v>
      </c>
      <c r="AU49" s="186">
        <f t="shared" ca="1" si="241"/>
        <v>0</v>
      </c>
      <c r="AV49" s="186">
        <f t="shared" ca="1" si="241"/>
        <v>0</v>
      </c>
      <c r="AW49" s="149">
        <f t="shared" ref="AW49:AW56" ca="1" si="242">IFERROR(AV49/AX49,0)</f>
        <v>0</v>
      </c>
      <c r="AX49" s="186">
        <f t="shared" ref="AX49:BB55" ca="1" si="243">SUMIFS(AX$6:AX$28,$D$6:$D$28,$B49)</f>
        <v>0</v>
      </c>
      <c r="AY49" s="186">
        <f t="shared" si="243"/>
        <v>0</v>
      </c>
      <c r="AZ49" s="186">
        <f t="shared" ca="1" si="243"/>
        <v>0</v>
      </c>
      <c r="BA49" s="186">
        <f t="shared" si="243"/>
        <v>0</v>
      </c>
      <c r="BB49" s="186">
        <f t="shared" ca="1" si="243"/>
        <v>0</v>
      </c>
      <c r="BC49" s="148">
        <f t="shared" ref="BC49:BC55" ca="1" si="244">IFERROR(BB49/BB$29,0)</f>
        <v>0</v>
      </c>
      <c r="BD49" s="186">
        <f t="shared" ref="BD49:BE55" ca="1" si="245">SUMIFS(BD$6:BD$28,$D$6:$D$28,$B49)</f>
        <v>0</v>
      </c>
      <c r="BE49" s="186">
        <f t="shared" ca="1" si="245"/>
        <v>0</v>
      </c>
      <c r="BF49" s="148">
        <f t="shared" ref="BF49:BF55" ca="1" si="246">IFERROR(BE49/BE$29,0)</f>
        <v>0</v>
      </c>
      <c r="BH49" s="155" t="s">
        <v>27</v>
      </c>
      <c r="BI49" s="155" t="s">
        <v>27</v>
      </c>
      <c r="BJ49" s="186">
        <f t="shared" ref="BJ49:BK55" si="247">SUMIFS(BJ$6:BJ$28,$D$6:$D$28,$B49)</f>
        <v>0</v>
      </c>
      <c r="BK49" s="186">
        <f t="shared" si="247"/>
        <v>0</v>
      </c>
      <c r="BL49" s="187" t="s">
        <v>27</v>
      </c>
      <c r="BM49" s="187" t="s">
        <v>27</v>
      </c>
      <c r="BN49" s="187" t="s">
        <v>27</v>
      </c>
      <c r="BO49" s="187"/>
      <c r="BP49" s="186">
        <f t="shared" ref="BP49:BR55" ca="1" si="248">SUMIFS(BP$6:BP$28,$D$6:$D$28,$B49)</f>
        <v>0</v>
      </c>
      <c r="BQ49" s="186">
        <f t="shared" ca="1" si="248"/>
        <v>0</v>
      </c>
      <c r="BR49" s="186">
        <f t="shared" ca="1" si="248"/>
        <v>0</v>
      </c>
      <c r="BS49" s="149">
        <f t="shared" ref="BS49:BS56" ca="1" si="249">IFERROR(BR49/BT49,0)</f>
        <v>0</v>
      </c>
      <c r="BT49" s="186">
        <f t="shared" ref="BT49:BX55" ca="1" si="250">SUMIFS(BT$6:BT$28,$D$6:$D$28,$B49)</f>
        <v>0</v>
      </c>
      <c r="BU49" s="186">
        <f t="shared" si="250"/>
        <v>0</v>
      </c>
      <c r="BV49" s="186">
        <f t="shared" ca="1" si="250"/>
        <v>0</v>
      </c>
      <c r="BW49" s="186">
        <f t="shared" si="250"/>
        <v>0</v>
      </c>
      <c r="BX49" s="186">
        <f t="shared" ca="1" si="250"/>
        <v>0</v>
      </c>
      <c r="BY49" s="148">
        <f t="shared" ref="BY49:BY55" ca="1" si="251">IFERROR(BX49/BX$29,0)</f>
        <v>0</v>
      </c>
      <c r="BZ49" s="186">
        <f t="shared" ref="BZ49:CA55" ca="1" si="252">SUMIFS(BZ$6:BZ$28,$D$6:$D$28,$B49)</f>
        <v>0</v>
      </c>
      <c r="CA49" s="186">
        <f t="shared" ca="1" si="252"/>
        <v>0</v>
      </c>
      <c r="CB49" s="148">
        <f t="shared" ref="CB49:CB55" ca="1" si="253">IFERROR(CA49/CA$29,0)</f>
        <v>0</v>
      </c>
      <c r="CD49" s="155" t="s">
        <v>27</v>
      </c>
      <c r="CE49" s="155" t="s">
        <v>27</v>
      </c>
      <c r="CF49" s="186">
        <f t="shared" ref="CF49:CG55" si="254">SUMIFS(CF$6:CF$28,$D$6:$D$28,$B49)</f>
        <v>0</v>
      </c>
      <c r="CG49" s="186">
        <f t="shared" si="254"/>
        <v>0</v>
      </c>
      <c r="CH49" s="187" t="s">
        <v>27</v>
      </c>
      <c r="CI49" s="187" t="s">
        <v>27</v>
      </c>
      <c r="CJ49" s="187" t="s">
        <v>27</v>
      </c>
      <c r="CK49" s="187"/>
      <c r="CL49" s="186">
        <f t="shared" ref="CL49:CN55" ca="1" si="255">SUMIFS(CL$6:CL$28,$D$6:$D$28,$B49)</f>
        <v>0</v>
      </c>
      <c r="CM49" s="186">
        <f t="shared" ca="1" si="255"/>
        <v>0</v>
      </c>
      <c r="CN49" s="186">
        <f t="shared" ca="1" si="255"/>
        <v>0</v>
      </c>
      <c r="CO49" s="149">
        <f t="shared" ref="CO49:CO56" ca="1" si="256">IFERROR(CN49/CP49,0)</f>
        <v>0</v>
      </c>
      <c r="CP49" s="186">
        <f t="shared" ref="CP49:CT55" ca="1" si="257">SUMIFS(CP$6:CP$28,$D$6:$D$28,$B49)</f>
        <v>0</v>
      </c>
      <c r="CQ49" s="186">
        <f t="shared" si="257"/>
        <v>0</v>
      </c>
      <c r="CR49" s="186">
        <f t="shared" ca="1" si="257"/>
        <v>0</v>
      </c>
      <c r="CS49" s="186">
        <f t="shared" si="257"/>
        <v>0</v>
      </c>
      <c r="CT49" s="186">
        <f t="shared" ca="1" si="257"/>
        <v>0</v>
      </c>
      <c r="CU49" s="148">
        <f t="shared" ref="CU49:CU55" ca="1" si="258">IFERROR(CT49/CT$29,0)</f>
        <v>0</v>
      </c>
      <c r="CV49" s="186">
        <f t="shared" ref="CV49:CW55" ca="1" si="259">SUMIFS(CV$6:CV$28,$D$6:$D$28,$B49)</f>
        <v>0</v>
      </c>
      <c r="CW49" s="186">
        <f t="shared" ca="1" si="259"/>
        <v>0</v>
      </c>
      <c r="CX49" s="148">
        <f t="shared" ref="CX49:CX55" ca="1" si="260">IFERROR(CW49/CW$29,0)</f>
        <v>0</v>
      </c>
      <c r="CZ49" s="155" t="s">
        <v>27</v>
      </c>
      <c r="DA49" s="155" t="s">
        <v>27</v>
      </c>
      <c r="DB49" s="186">
        <f t="shared" ref="DB49:DC55" si="261">SUMIFS(DB$6:DB$28,$D$6:$D$28,$B49)</f>
        <v>0</v>
      </c>
      <c r="DC49" s="186">
        <f t="shared" si="261"/>
        <v>0</v>
      </c>
      <c r="DD49" s="187" t="s">
        <v>27</v>
      </c>
      <c r="DE49" s="187" t="s">
        <v>27</v>
      </c>
      <c r="DF49" s="187" t="s">
        <v>27</v>
      </c>
      <c r="DG49" s="187"/>
      <c r="DH49" s="186">
        <f t="shared" ref="DH49:DJ55" ca="1" si="262">SUMIFS(DH$6:DH$28,$D$6:$D$28,$B49)</f>
        <v>0</v>
      </c>
      <c r="DI49" s="186">
        <f t="shared" ca="1" si="262"/>
        <v>0</v>
      </c>
      <c r="DJ49" s="186">
        <f t="shared" ca="1" si="262"/>
        <v>0</v>
      </c>
      <c r="DK49" s="149">
        <f t="shared" ref="DK49:DK56" ca="1" si="263">IFERROR(DJ49/DL49,0)</f>
        <v>0</v>
      </c>
      <c r="DL49" s="186">
        <f t="shared" ref="DL49:DP55" ca="1" si="264">SUMIFS(DL$6:DL$28,$D$6:$D$28,$B49)</f>
        <v>0</v>
      </c>
      <c r="DM49" s="186">
        <f t="shared" si="264"/>
        <v>0</v>
      </c>
      <c r="DN49" s="186">
        <f t="shared" ca="1" si="264"/>
        <v>0</v>
      </c>
      <c r="DO49" s="186">
        <f t="shared" si="264"/>
        <v>0</v>
      </c>
      <c r="DP49" s="186">
        <f t="shared" ca="1" si="264"/>
        <v>0</v>
      </c>
      <c r="DQ49" s="148">
        <f t="shared" ref="DQ49:DQ55" ca="1" si="265">IFERROR(DP49/DP$29,0)</f>
        <v>0</v>
      </c>
      <c r="DR49" s="186">
        <f t="shared" ref="DR49:DS55" ca="1" si="266">SUMIFS(DR$6:DR$28,$D$6:$D$28,$B49)</f>
        <v>0</v>
      </c>
      <c r="DS49" s="186">
        <f t="shared" ca="1" si="266"/>
        <v>0</v>
      </c>
      <c r="DT49" s="148">
        <f t="shared" ref="DT49:DT55" ca="1" si="267">IFERROR(DS49/DS$29,0)</f>
        <v>0</v>
      </c>
      <c r="DV49" s="155" t="s">
        <v>27</v>
      </c>
      <c r="DW49" s="155" t="s">
        <v>27</v>
      </c>
      <c r="DX49" s="186">
        <f t="shared" ref="DX49:DY55" si="268">SUMIFS(DX$6:DX$28,$D$6:$D$28,$B49)</f>
        <v>0</v>
      </c>
      <c r="DY49" s="186">
        <f t="shared" si="268"/>
        <v>0</v>
      </c>
      <c r="DZ49" s="187" t="s">
        <v>27</v>
      </c>
      <c r="EA49" s="187" t="s">
        <v>27</v>
      </c>
      <c r="EB49" s="187" t="s">
        <v>27</v>
      </c>
      <c r="EC49" s="187"/>
      <c r="ED49" s="186">
        <f t="shared" ref="ED49:EF55" ca="1" si="269">SUMIFS(ED$6:ED$28,$D$6:$D$28,$B49)</f>
        <v>0</v>
      </c>
      <c r="EE49" s="186">
        <f t="shared" ca="1" si="269"/>
        <v>0</v>
      </c>
      <c r="EF49" s="186">
        <f t="shared" ca="1" si="269"/>
        <v>0</v>
      </c>
      <c r="EG49" s="149">
        <f t="shared" ref="EG49:EG56" ca="1" si="270">IFERROR(EF49/EH49,0)</f>
        <v>0</v>
      </c>
      <c r="EH49" s="186">
        <f t="shared" ref="EH49:EL55" ca="1" si="271">SUMIFS(EH$6:EH$28,$D$6:$D$28,$B49)</f>
        <v>0</v>
      </c>
      <c r="EI49" s="186">
        <f t="shared" si="271"/>
        <v>0</v>
      </c>
      <c r="EJ49" s="186">
        <f t="shared" ca="1" si="271"/>
        <v>0</v>
      </c>
      <c r="EK49" s="186">
        <f t="shared" si="271"/>
        <v>0</v>
      </c>
      <c r="EL49" s="186">
        <f t="shared" ca="1" si="271"/>
        <v>0</v>
      </c>
      <c r="EM49" s="148">
        <f t="shared" ref="EM49:EM55" ca="1" si="272">IFERROR(EL49/EL$29,0)</f>
        <v>0</v>
      </c>
      <c r="EN49" s="186">
        <f t="shared" ref="EN49:EO55" ca="1" si="273">SUMIFS(EN$6:EN$28,$D$6:$D$28,$B49)</f>
        <v>0</v>
      </c>
      <c r="EO49" s="186">
        <f t="shared" ca="1" si="273"/>
        <v>0</v>
      </c>
      <c r="EP49" s="148">
        <f t="shared" ref="EP49:EP55" ca="1" si="274">IFERROR(EO49/EO$29,0)</f>
        <v>0</v>
      </c>
      <c r="ER49" s="186">
        <f t="shared" ref="ER49:ES55" si="275">SUMIFS(ER$6:ER$28,$D$6:$D$28,$B49)</f>
        <v>0</v>
      </c>
      <c r="ES49" s="186">
        <f t="shared" si="275"/>
        <v>0</v>
      </c>
      <c r="ET49" s="174" t="s">
        <v>27</v>
      </c>
      <c r="EU49" s="174" t="s">
        <v>27</v>
      </c>
      <c r="EV49" s="174" t="s">
        <v>27</v>
      </c>
      <c r="EW49" s="186">
        <f t="shared" ref="EW49:EY55" ca="1" si="276">SUMIFS(EW$6:EW$28,$D$6:$D$28,$B49)</f>
        <v>0</v>
      </c>
      <c r="EX49" s="186">
        <f t="shared" ca="1" si="276"/>
        <v>0</v>
      </c>
      <c r="EY49" s="186">
        <f t="shared" ca="1" si="276"/>
        <v>0</v>
      </c>
      <c r="EZ49" s="149">
        <f t="shared" ref="EZ49:EZ56" ca="1" si="277">IFERROR(EY49/FA49,0)</f>
        <v>0</v>
      </c>
      <c r="FA49" s="186">
        <f t="shared" ref="FA49:FE55" ca="1" si="278">SUMIFS(FA$6:FA$28,$D$6:$D$28,$B49)</f>
        <v>0</v>
      </c>
      <c r="FB49" s="186">
        <f t="shared" si="278"/>
        <v>0</v>
      </c>
      <c r="FC49" s="186">
        <f t="shared" ca="1" si="278"/>
        <v>0</v>
      </c>
      <c r="FD49" s="186">
        <f t="shared" si="278"/>
        <v>0</v>
      </c>
      <c r="FE49" s="186">
        <f t="shared" ca="1" si="278"/>
        <v>0</v>
      </c>
      <c r="FF49" s="148">
        <f t="shared" ref="FF49:FF55" ca="1" si="279">IFERROR(FE49/FE$29,0)</f>
        <v>0</v>
      </c>
      <c r="FG49" s="186">
        <f t="shared" ref="FG49:FH55" ca="1" si="280">SUMIFS(FG$6:FG$28,$D$6:$D$28,$B49)</f>
        <v>0</v>
      </c>
      <c r="FH49" s="186">
        <f t="shared" ca="1" si="280"/>
        <v>0</v>
      </c>
      <c r="FI49" s="148">
        <f t="shared" ref="FI49:FI55" ca="1" si="281">IFERROR(FH49/FH$29,0)</f>
        <v>0</v>
      </c>
      <c r="FL49" s="146">
        <f t="shared" ca="1" si="222"/>
        <v>0</v>
      </c>
      <c r="FM49" s="146">
        <f t="shared" ca="1" si="223"/>
        <v>0</v>
      </c>
      <c r="FN49" s="146">
        <f t="shared" ca="1" si="224"/>
        <v>0</v>
      </c>
      <c r="FQ49" s="174" t="str">
        <f t="shared" ca="1" si="225"/>
        <v>na</v>
      </c>
      <c r="FR49" s="174" t="str">
        <f t="shared" ca="1" si="226"/>
        <v>na</v>
      </c>
      <c r="FS49" s="174" t="str">
        <f t="shared" ca="1" si="227"/>
        <v>na</v>
      </c>
    </row>
    <row r="50" spans="2:175">
      <c r="B50" s="149" t="str">
        <f>AN60</f>
        <v>A</v>
      </c>
      <c r="D50" s="155" t="str">
        <f t="shared" si="228"/>
        <v>A</v>
      </c>
      <c r="E50" s="177" t="s">
        <v>27</v>
      </c>
      <c r="G50" s="155" t="s">
        <v>27</v>
      </c>
      <c r="H50" s="155" t="s">
        <v>27</v>
      </c>
      <c r="I50" s="186">
        <f t="shared" si="229"/>
        <v>0</v>
      </c>
      <c r="J50" s="186">
        <f t="shared" si="229"/>
        <v>0</v>
      </c>
      <c r="K50" s="186">
        <f t="shared" si="229"/>
        <v>0</v>
      </c>
      <c r="L50" s="148">
        <f t="shared" si="230"/>
        <v>0</v>
      </c>
      <c r="M50" s="186">
        <f t="shared" si="231"/>
        <v>0</v>
      </c>
      <c r="N50" s="148">
        <f t="shared" si="232"/>
        <v>0</v>
      </c>
      <c r="P50" s="155" t="s">
        <v>27</v>
      </c>
      <c r="Q50" s="155" t="s">
        <v>27</v>
      </c>
      <c r="R50" s="186">
        <f t="shared" si="233"/>
        <v>0</v>
      </c>
      <c r="S50" s="186">
        <f t="shared" si="233"/>
        <v>0</v>
      </c>
      <c r="T50" s="187" t="s">
        <v>27</v>
      </c>
      <c r="U50" s="187" t="s">
        <v>27</v>
      </c>
      <c r="V50" s="187" t="s">
        <v>27</v>
      </c>
      <c r="W50" s="187"/>
      <c r="X50" s="186">
        <f t="shared" ca="1" si="234"/>
        <v>0</v>
      </c>
      <c r="Y50" s="186">
        <f t="shared" ca="1" si="234"/>
        <v>0</v>
      </c>
      <c r="Z50" s="186">
        <f t="shared" ca="1" si="234"/>
        <v>0</v>
      </c>
      <c r="AA50" s="149">
        <f t="shared" ca="1" si="235"/>
        <v>0</v>
      </c>
      <c r="AB50" s="186">
        <f t="shared" ca="1" si="236"/>
        <v>0</v>
      </c>
      <c r="AC50" s="186">
        <f t="shared" si="236"/>
        <v>0</v>
      </c>
      <c r="AD50" s="186">
        <f t="shared" ca="1" si="236"/>
        <v>0</v>
      </c>
      <c r="AE50" s="186">
        <f t="shared" si="236"/>
        <v>0</v>
      </c>
      <c r="AF50" s="186">
        <f t="shared" ca="1" si="236"/>
        <v>0</v>
      </c>
      <c r="AG50" s="148">
        <f t="shared" ca="1" si="237"/>
        <v>0</v>
      </c>
      <c r="AH50" s="186">
        <f t="shared" ca="1" si="238"/>
        <v>0</v>
      </c>
      <c r="AI50" s="186">
        <f t="shared" ca="1" si="238"/>
        <v>0</v>
      </c>
      <c r="AJ50" s="148">
        <f t="shared" ca="1" si="239"/>
        <v>0</v>
      </c>
      <c r="AL50" s="155" t="s">
        <v>27</v>
      </c>
      <c r="AM50" s="155" t="s">
        <v>27</v>
      </c>
      <c r="AN50" s="186">
        <f t="shared" si="240"/>
        <v>0</v>
      </c>
      <c r="AO50" s="186">
        <f t="shared" si="240"/>
        <v>0</v>
      </c>
      <c r="AP50" s="187" t="s">
        <v>27</v>
      </c>
      <c r="AQ50" s="187" t="s">
        <v>27</v>
      </c>
      <c r="AR50" s="187" t="s">
        <v>27</v>
      </c>
      <c r="AS50" s="187"/>
      <c r="AT50" s="186">
        <f t="shared" ca="1" si="241"/>
        <v>0</v>
      </c>
      <c r="AU50" s="186">
        <f t="shared" ca="1" si="241"/>
        <v>0</v>
      </c>
      <c r="AV50" s="186">
        <f t="shared" ca="1" si="241"/>
        <v>0</v>
      </c>
      <c r="AW50" s="149">
        <f t="shared" ca="1" si="242"/>
        <v>0</v>
      </c>
      <c r="AX50" s="186">
        <f t="shared" ca="1" si="243"/>
        <v>0</v>
      </c>
      <c r="AY50" s="186">
        <f t="shared" si="243"/>
        <v>0</v>
      </c>
      <c r="AZ50" s="186">
        <f t="shared" ca="1" si="243"/>
        <v>0</v>
      </c>
      <c r="BA50" s="186">
        <f t="shared" si="243"/>
        <v>0</v>
      </c>
      <c r="BB50" s="186">
        <f t="shared" ca="1" si="243"/>
        <v>0</v>
      </c>
      <c r="BC50" s="148">
        <f t="shared" ca="1" si="244"/>
        <v>0</v>
      </c>
      <c r="BD50" s="186">
        <f t="shared" ca="1" si="245"/>
        <v>0</v>
      </c>
      <c r="BE50" s="186">
        <f t="shared" ca="1" si="245"/>
        <v>0</v>
      </c>
      <c r="BF50" s="148">
        <f t="shared" ca="1" si="246"/>
        <v>0</v>
      </c>
      <c r="BH50" s="155" t="s">
        <v>27</v>
      </c>
      <c r="BI50" s="155" t="s">
        <v>27</v>
      </c>
      <c r="BJ50" s="186">
        <f t="shared" si="247"/>
        <v>0</v>
      </c>
      <c r="BK50" s="186">
        <f t="shared" si="247"/>
        <v>0</v>
      </c>
      <c r="BL50" s="187" t="s">
        <v>27</v>
      </c>
      <c r="BM50" s="187" t="s">
        <v>27</v>
      </c>
      <c r="BN50" s="187" t="s">
        <v>27</v>
      </c>
      <c r="BO50" s="187"/>
      <c r="BP50" s="186">
        <f t="shared" ca="1" si="248"/>
        <v>0</v>
      </c>
      <c r="BQ50" s="186">
        <f t="shared" ca="1" si="248"/>
        <v>0</v>
      </c>
      <c r="BR50" s="186">
        <f t="shared" ca="1" si="248"/>
        <v>0</v>
      </c>
      <c r="BS50" s="149">
        <f t="shared" ca="1" si="249"/>
        <v>0</v>
      </c>
      <c r="BT50" s="186">
        <f t="shared" ca="1" si="250"/>
        <v>0</v>
      </c>
      <c r="BU50" s="186">
        <f t="shared" si="250"/>
        <v>0</v>
      </c>
      <c r="BV50" s="186">
        <f t="shared" ca="1" si="250"/>
        <v>0</v>
      </c>
      <c r="BW50" s="186">
        <f t="shared" si="250"/>
        <v>0</v>
      </c>
      <c r="BX50" s="186">
        <f t="shared" ca="1" si="250"/>
        <v>0</v>
      </c>
      <c r="BY50" s="148">
        <f t="shared" ca="1" si="251"/>
        <v>0</v>
      </c>
      <c r="BZ50" s="186">
        <f t="shared" ca="1" si="252"/>
        <v>0</v>
      </c>
      <c r="CA50" s="186">
        <f t="shared" ca="1" si="252"/>
        <v>0</v>
      </c>
      <c r="CB50" s="148">
        <f t="shared" ca="1" si="253"/>
        <v>0</v>
      </c>
      <c r="CD50" s="155" t="s">
        <v>27</v>
      </c>
      <c r="CE50" s="155" t="s">
        <v>27</v>
      </c>
      <c r="CF50" s="186">
        <f t="shared" si="254"/>
        <v>0</v>
      </c>
      <c r="CG50" s="186">
        <f t="shared" si="254"/>
        <v>0</v>
      </c>
      <c r="CH50" s="187" t="s">
        <v>27</v>
      </c>
      <c r="CI50" s="187" t="s">
        <v>27</v>
      </c>
      <c r="CJ50" s="187" t="s">
        <v>27</v>
      </c>
      <c r="CK50" s="187"/>
      <c r="CL50" s="186">
        <f t="shared" ca="1" si="255"/>
        <v>0</v>
      </c>
      <c r="CM50" s="186">
        <f t="shared" ca="1" si="255"/>
        <v>0</v>
      </c>
      <c r="CN50" s="186">
        <f t="shared" ca="1" si="255"/>
        <v>0</v>
      </c>
      <c r="CO50" s="149">
        <f t="shared" ca="1" si="256"/>
        <v>0</v>
      </c>
      <c r="CP50" s="186">
        <f t="shared" ca="1" si="257"/>
        <v>0</v>
      </c>
      <c r="CQ50" s="186">
        <f t="shared" si="257"/>
        <v>0</v>
      </c>
      <c r="CR50" s="186">
        <f t="shared" ca="1" si="257"/>
        <v>0</v>
      </c>
      <c r="CS50" s="186">
        <f t="shared" si="257"/>
        <v>0</v>
      </c>
      <c r="CT50" s="186">
        <f t="shared" ca="1" si="257"/>
        <v>0</v>
      </c>
      <c r="CU50" s="148">
        <f t="shared" ca="1" si="258"/>
        <v>0</v>
      </c>
      <c r="CV50" s="186">
        <f t="shared" ca="1" si="259"/>
        <v>0</v>
      </c>
      <c r="CW50" s="186">
        <f t="shared" ca="1" si="259"/>
        <v>0</v>
      </c>
      <c r="CX50" s="148">
        <f t="shared" ca="1" si="260"/>
        <v>0</v>
      </c>
      <c r="CZ50" s="155" t="s">
        <v>27</v>
      </c>
      <c r="DA50" s="155" t="s">
        <v>27</v>
      </c>
      <c r="DB50" s="186">
        <f t="shared" si="261"/>
        <v>0</v>
      </c>
      <c r="DC50" s="186">
        <f t="shared" si="261"/>
        <v>0</v>
      </c>
      <c r="DD50" s="187" t="s">
        <v>27</v>
      </c>
      <c r="DE50" s="187" t="s">
        <v>27</v>
      </c>
      <c r="DF50" s="187" t="s">
        <v>27</v>
      </c>
      <c r="DG50" s="187"/>
      <c r="DH50" s="186">
        <f t="shared" ca="1" si="262"/>
        <v>0</v>
      </c>
      <c r="DI50" s="186">
        <f t="shared" ca="1" si="262"/>
        <v>0</v>
      </c>
      <c r="DJ50" s="186">
        <f t="shared" ca="1" si="262"/>
        <v>0</v>
      </c>
      <c r="DK50" s="149">
        <f t="shared" ca="1" si="263"/>
        <v>0</v>
      </c>
      <c r="DL50" s="186">
        <f t="shared" ca="1" si="264"/>
        <v>0</v>
      </c>
      <c r="DM50" s="186">
        <f t="shared" si="264"/>
        <v>0</v>
      </c>
      <c r="DN50" s="186">
        <f t="shared" ca="1" si="264"/>
        <v>0</v>
      </c>
      <c r="DO50" s="186">
        <f t="shared" si="264"/>
        <v>0</v>
      </c>
      <c r="DP50" s="186">
        <f t="shared" ca="1" si="264"/>
        <v>0</v>
      </c>
      <c r="DQ50" s="148">
        <f t="shared" ca="1" si="265"/>
        <v>0</v>
      </c>
      <c r="DR50" s="186">
        <f t="shared" ca="1" si="266"/>
        <v>0</v>
      </c>
      <c r="DS50" s="186">
        <f t="shared" ca="1" si="266"/>
        <v>0</v>
      </c>
      <c r="DT50" s="148">
        <f t="shared" ca="1" si="267"/>
        <v>0</v>
      </c>
      <c r="DV50" s="155" t="s">
        <v>27</v>
      </c>
      <c r="DW50" s="155" t="s">
        <v>27</v>
      </c>
      <c r="DX50" s="186">
        <f t="shared" si="268"/>
        <v>0</v>
      </c>
      <c r="DY50" s="186">
        <f t="shared" si="268"/>
        <v>0</v>
      </c>
      <c r="DZ50" s="187" t="s">
        <v>27</v>
      </c>
      <c r="EA50" s="187" t="s">
        <v>27</v>
      </c>
      <c r="EB50" s="187" t="s">
        <v>27</v>
      </c>
      <c r="EC50" s="187"/>
      <c r="ED50" s="186">
        <f t="shared" ca="1" si="269"/>
        <v>0</v>
      </c>
      <c r="EE50" s="186">
        <f t="shared" ca="1" si="269"/>
        <v>0</v>
      </c>
      <c r="EF50" s="186">
        <f t="shared" ca="1" si="269"/>
        <v>0</v>
      </c>
      <c r="EG50" s="149">
        <f t="shared" ca="1" si="270"/>
        <v>0</v>
      </c>
      <c r="EH50" s="186">
        <f t="shared" ca="1" si="271"/>
        <v>0</v>
      </c>
      <c r="EI50" s="186">
        <f t="shared" si="271"/>
        <v>0</v>
      </c>
      <c r="EJ50" s="186">
        <f t="shared" ca="1" si="271"/>
        <v>0</v>
      </c>
      <c r="EK50" s="186">
        <f t="shared" si="271"/>
        <v>0</v>
      </c>
      <c r="EL50" s="186">
        <f t="shared" ca="1" si="271"/>
        <v>0</v>
      </c>
      <c r="EM50" s="148">
        <f t="shared" ca="1" si="272"/>
        <v>0</v>
      </c>
      <c r="EN50" s="186">
        <f t="shared" ca="1" si="273"/>
        <v>0</v>
      </c>
      <c r="EO50" s="186">
        <f t="shared" ca="1" si="273"/>
        <v>0</v>
      </c>
      <c r="EP50" s="148">
        <f t="shared" ca="1" si="274"/>
        <v>0</v>
      </c>
      <c r="ER50" s="186">
        <f t="shared" si="275"/>
        <v>0</v>
      </c>
      <c r="ES50" s="186">
        <f t="shared" si="275"/>
        <v>0</v>
      </c>
      <c r="ET50" s="174" t="s">
        <v>27</v>
      </c>
      <c r="EU50" s="174" t="s">
        <v>27</v>
      </c>
      <c r="EV50" s="174" t="s">
        <v>27</v>
      </c>
      <c r="EW50" s="186">
        <f t="shared" ca="1" si="276"/>
        <v>0</v>
      </c>
      <c r="EX50" s="186">
        <f t="shared" ca="1" si="276"/>
        <v>0</v>
      </c>
      <c r="EY50" s="186">
        <f t="shared" ca="1" si="276"/>
        <v>0</v>
      </c>
      <c r="EZ50" s="149">
        <f t="shared" ca="1" si="277"/>
        <v>0</v>
      </c>
      <c r="FA50" s="186">
        <f t="shared" ca="1" si="278"/>
        <v>0</v>
      </c>
      <c r="FB50" s="186">
        <f t="shared" si="278"/>
        <v>0</v>
      </c>
      <c r="FC50" s="186">
        <f t="shared" ca="1" si="278"/>
        <v>0</v>
      </c>
      <c r="FD50" s="186">
        <f t="shared" si="278"/>
        <v>0</v>
      </c>
      <c r="FE50" s="186">
        <f t="shared" ca="1" si="278"/>
        <v>0</v>
      </c>
      <c r="FF50" s="148">
        <f t="shared" ca="1" si="279"/>
        <v>0</v>
      </c>
      <c r="FG50" s="186">
        <f t="shared" ca="1" si="280"/>
        <v>0</v>
      </c>
      <c r="FH50" s="186">
        <f t="shared" ca="1" si="280"/>
        <v>0</v>
      </c>
      <c r="FI50" s="148">
        <f t="shared" ca="1" si="281"/>
        <v>0</v>
      </c>
      <c r="FL50" s="146">
        <f t="shared" ca="1" si="222"/>
        <v>0</v>
      </c>
      <c r="FM50" s="146">
        <f t="shared" ca="1" si="223"/>
        <v>0</v>
      </c>
      <c r="FN50" s="146">
        <f t="shared" ca="1" si="224"/>
        <v>0</v>
      </c>
      <c r="FQ50" s="174" t="str">
        <f t="shared" ca="1" si="225"/>
        <v>na</v>
      </c>
      <c r="FR50" s="174" t="str">
        <f t="shared" ca="1" si="226"/>
        <v>na</v>
      </c>
      <c r="FS50" s="174" t="str">
        <f t="shared" ca="1" si="227"/>
        <v>na</v>
      </c>
    </row>
    <row r="51" spans="2:175">
      <c r="B51" s="149" t="str">
        <f>BJ60</f>
        <v>B</v>
      </c>
      <c r="D51" s="155" t="str">
        <f t="shared" si="228"/>
        <v>B</v>
      </c>
      <c r="E51" s="177" t="s">
        <v>27</v>
      </c>
      <c r="G51" s="155" t="s">
        <v>27</v>
      </c>
      <c r="H51" s="155" t="s">
        <v>27</v>
      </c>
      <c r="I51" s="186">
        <f t="shared" si="229"/>
        <v>0</v>
      </c>
      <c r="J51" s="186">
        <f t="shared" si="229"/>
        <v>0</v>
      </c>
      <c r="K51" s="186">
        <f t="shared" si="229"/>
        <v>0</v>
      </c>
      <c r="L51" s="148">
        <f t="shared" si="230"/>
        <v>0</v>
      </c>
      <c r="M51" s="186">
        <f t="shared" si="231"/>
        <v>0</v>
      </c>
      <c r="N51" s="148">
        <f t="shared" si="232"/>
        <v>0</v>
      </c>
      <c r="P51" s="155" t="s">
        <v>27</v>
      </c>
      <c r="Q51" s="155" t="s">
        <v>27</v>
      </c>
      <c r="R51" s="186">
        <f t="shared" si="233"/>
        <v>0</v>
      </c>
      <c r="S51" s="186">
        <f t="shared" si="233"/>
        <v>0</v>
      </c>
      <c r="T51" s="187" t="s">
        <v>27</v>
      </c>
      <c r="U51" s="187" t="s">
        <v>27</v>
      </c>
      <c r="V51" s="187" t="s">
        <v>27</v>
      </c>
      <c r="W51" s="187"/>
      <c r="X51" s="186">
        <f t="shared" si="234"/>
        <v>0</v>
      </c>
      <c r="Y51" s="186">
        <f t="shared" si="234"/>
        <v>0</v>
      </c>
      <c r="Z51" s="186">
        <f t="shared" si="234"/>
        <v>0</v>
      </c>
      <c r="AA51" s="149">
        <f t="shared" si="235"/>
        <v>0</v>
      </c>
      <c r="AB51" s="186">
        <f t="shared" si="236"/>
        <v>0</v>
      </c>
      <c r="AC51" s="186">
        <f t="shared" si="236"/>
        <v>0</v>
      </c>
      <c r="AD51" s="186">
        <f t="shared" si="236"/>
        <v>0</v>
      </c>
      <c r="AE51" s="186">
        <f t="shared" si="236"/>
        <v>0</v>
      </c>
      <c r="AF51" s="186">
        <f t="shared" si="236"/>
        <v>0</v>
      </c>
      <c r="AG51" s="148">
        <f t="shared" ca="1" si="237"/>
        <v>0</v>
      </c>
      <c r="AH51" s="186">
        <f t="shared" si="238"/>
        <v>0</v>
      </c>
      <c r="AI51" s="186">
        <f t="shared" si="238"/>
        <v>0</v>
      </c>
      <c r="AJ51" s="148">
        <f t="shared" ca="1" si="239"/>
        <v>0</v>
      </c>
      <c r="AL51" s="155" t="s">
        <v>27</v>
      </c>
      <c r="AM51" s="155" t="s">
        <v>27</v>
      </c>
      <c r="AN51" s="186">
        <f t="shared" si="240"/>
        <v>0</v>
      </c>
      <c r="AO51" s="186">
        <f t="shared" si="240"/>
        <v>0</v>
      </c>
      <c r="AP51" s="187" t="s">
        <v>27</v>
      </c>
      <c r="AQ51" s="187" t="s">
        <v>27</v>
      </c>
      <c r="AR51" s="187" t="s">
        <v>27</v>
      </c>
      <c r="AS51" s="187"/>
      <c r="AT51" s="186">
        <f t="shared" si="241"/>
        <v>0</v>
      </c>
      <c r="AU51" s="186">
        <f t="shared" si="241"/>
        <v>0</v>
      </c>
      <c r="AV51" s="186">
        <f t="shared" si="241"/>
        <v>0</v>
      </c>
      <c r="AW51" s="149">
        <f t="shared" si="242"/>
        <v>0</v>
      </c>
      <c r="AX51" s="186">
        <f t="shared" si="243"/>
        <v>0</v>
      </c>
      <c r="AY51" s="186">
        <f t="shared" si="243"/>
        <v>0</v>
      </c>
      <c r="AZ51" s="186">
        <f t="shared" si="243"/>
        <v>0</v>
      </c>
      <c r="BA51" s="186">
        <f t="shared" si="243"/>
        <v>0</v>
      </c>
      <c r="BB51" s="186">
        <f t="shared" si="243"/>
        <v>0</v>
      </c>
      <c r="BC51" s="148">
        <f t="shared" ca="1" si="244"/>
        <v>0</v>
      </c>
      <c r="BD51" s="186">
        <f t="shared" si="245"/>
        <v>0</v>
      </c>
      <c r="BE51" s="186">
        <f t="shared" si="245"/>
        <v>0</v>
      </c>
      <c r="BF51" s="148">
        <f t="shared" ca="1" si="246"/>
        <v>0</v>
      </c>
      <c r="BH51" s="155" t="s">
        <v>27</v>
      </c>
      <c r="BI51" s="155" t="s">
        <v>27</v>
      </c>
      <c r="BJ51" s="186">
        <f t="shared" si="247"/>
        <v>0</v>
      </c>
      <c r="BK51" s="186">
        <f t="shared" si="247"/>
        <v>0</v>
      </c>
      <c r="BL51" s="187" t="s">
        <v>27</v>
      </c>
      <c r="BM51" s="187" t="s">
        <v>27</v>
      </c>
      <c r="BN51" s="187" t="s">
        <v>27</v>
      </c>
      <c r="BO51" s="187"/>
      <c r="BP51" s="186">
        <f t="shared" si="248"/>
        <v>0</v>
      </c>
      <c r="BQ51" s="186">
        <f t="shared" si="248"/>
        <v>0</v>
      </c>
      <c r="BR51" s="186">
        <f t="shared" si="248"/>
        <v>0</v>
      </c>
      <c r="BS51" s="149">
        <f t="shared" si="249"/>
        <v>0</v>
      </c>
      <c r="BT51" s="186">
        <f t="shared" si="250"/>
        <v>0</v>
      </c>
      <c r="BU51" s="186">
        <f t="shared" si="250"/>
        <v>0</v>
      </c>
      <c r="BV51" s="186">
        <f t="shared" si="250"/>
        <v>0</v>
      </c>
      <c r="BW51" s="186">
        <f t="shared" si="250"/>
        <v>0</v>
      </c>
      <c r="BX51" s="186">
        <f t="shared" si="250"/>
        <v>0</v>
      </c>
      <c r="BY51" s="148">
        <f t="shared" ca="1" si="251"/>
        <v>0</v>
      </c>
      <c r="BZ51" s="186">
        <f t="shared" si="252"/>
        <v>0</v>
      </c>
      <c r="CA51" s="186">
        <f t="shared" si="252"/>
        <v>0</v>
      </c>
      <c r="CB51" s="148">
        <f t="shared" ca="1" si="253"/>
        <v>0</v>
      </c>
      <c r="CD51" s="155" t="s">
        <v>27</v>
      </c>
      <c r="CE51" s="155" t="s">
        <v>27</v>
      </c>
      <c r="CF51" s="186">
        <f t="shared" si="254"/>
        <v>0</v>
      </c>
      <c r="CG51" s="186">
        <f t="shared" si="254"/>
        <v>0</v>
      </c>
      <c r="CH51" s="187" t="s">
        <v>27</v>
      </c>
      <c r="CI51" s="187" t="s">
        <v>27</v>
      </c>
      <c r="CJ51" s="187" t="s">
        <v>27</v>
      </c>
      <c r="CK51" s="187"/>
      <c r="CL51" s="186">
        <f t="shared" si="255"/>
        <v>0</v>
      </c>
      <c r="CM51" s="186">
        <f t="shared" si="255"/>
        <v>0</v>
      </c>
      <c r="CN51" s="186">
        <f t="shared" si="255"/>
        <v>0</v>
      </c>
      <c r="CO51" s="149">
        <f t="shared" si="256"/>
        <v>0</v>
      </c>
      <c r="CP51" s="186">
        <f t="shared" si="257"/>
        <v>0</v>
      </c>
      <c r="CQ51" s="186">
        <f t="shared" si="257"/>
        <v>0</v>
      </c>
      <c r="CR51" s="186">
        <f t="shared" si="257"/>
        <v>0</v>
      </c>
      <c r="CS51" s="186">
        <f t="shared" si="257"/>
        <v>0</v>
      </c>
      <c r="CT51" s="186">
        <f t="shared" si="257"/>
        <v>0</v>
      </c>
      <c r="CU51" s="148">
        <f t="shared" ca="1" si="258"/>
        <v>0</v>
      </c>
      <c r="CV51" s="186">
        <f t="shared" si="259"/>
        <v>0</v>
      </c>
      <c r="CW51" s="186">
        <f t="shared" si="259"/>
        <v>0</v>
      </c>
      <c r="CX51" s="148">
        <f t="shared" ca="1" si="260"/>
        <v>0</v>
      </c>
      <c r="CZ51" s="155" t="s">
        <v>27</v>
      </c>
      <c r="DA51" s="155" t="s">
        <v>27</v>
      </c>
      <c r="DB51" s="186">
        <f t="shared" si="261"/>
        <v>0</v>
      </c>
      <c r="DC51" s="186">
        <f t="shared" si="261"/>
        <v>0</v>
      </c>
      <c r="DD51" s="187" t="s">
        <v>27</v>
      </c>
      <c r="DE51" s="187" t="s">
        <v>27</v>
      </c>
      <c r="DF51" s="187" t="s">
        <v>27</v>
      </c>
      <c r="DG51" s="187"/>
      <c r="DH51" s="186">
        <f t="shared" si="262"/>
        <v>0</v>
      </c>
      <c r="DI51" s="186">
        <f t="shared" si="262"/>
        <v>0</v>
      </c>
      <c r="DJ51" s="186">
        <f t="shared" si="262"/>
        <v>0</v>
      </c>
      <c r="DK51" s="149">
        <f t="shared" si="263"/>
        <v>0</v>
      </c>
      <c r="DL51" s="186">
        <f t="shared" si="264"/>
        <v>0</v>
      </c>
      <c r="DM51" s="186">
        <f t="shared" si="264"/>
        <v>0</v>
      </c>
      <c r="DN51" s="186">
        <f t="shared" si="264"/>
        <v>0</v>
      </c>
      <c r="DO51" s="186">
        <f t="shared" si="264"/>
        <v>0</v>
      </c>
      <c r="DP51" s="186">
        <f t="shared" si="264"/>
        <v>0</v>
      </c>
      <c r="DQ51" s="148">
        <f t="shared" ca="1" si="265"/>
        <v>0</v>
      </c>
      <c r="DR51" s="186">
        <f t="shared" si="266"/>
        <v>0</v>
      </c>
      <c r="DS51" s="186">
        <f t="shared" si="266"/>
        <v>0</v>
      </c>
      <c r="DT51" s="148">
        <f t="shared" ca="1" si="267"/>
        <v>0</v>
      </c>
      <c r="DV51" s="155" t="s">
        <v>27</v>
      </c>
      <c r="DW51" s="155" t="s">
        <v>27</v>
      </c>
      <c r="DX51" s="186">
        <f t="shared" si="268"/>
        <v>0</v>
      </c>
      <c r="DY51" s="186">
        <f t="shared" si="268"/>
        <v>0</v>
      </c>
      <c r="DZ51" s="187" t="s">
        <v>27</v>
      </c>
      <c r="EA51" s="187" t="s">
        <v>27</v>
      </c>
      <c r="EB51" s="187" t="s">
        <v>27</v>
      </c>
      <c r="EC51" s="187"/>
      <c r="ED51" s="186">
        <f t="shared" si="269"/>
        <v>0</v>
      </c>
      <c r="EE51" s="186">
        <f t="shared" si="269"/>
        <v>0</v>
      </c>
      <c r="EF51" s="186">
        <f t="shared" si="269"/>
        <v>0</v>
      </c>
      <c r="EG51" s="149">
        <f t="shared" si="270"/>
        <v>0</v>
      </c>
      <c r="EH51" s="186">
        <f t="shared" si="271"/>
        <v>0</v>
      </c>
      <c r="EI51" s="186">
        <f t="shared" si="271"/>
        <v>0</v>
      </c>
      <c r="EJ51" s="186">
        <f t="shared" si="271"/>
        <v>0</v>
      </c>
      <c r="EK51" s="186">
        <f t="shared" si="271"/>
        <v>0</v>
      </c>
      <c r="EL51" s="186">
        <f t="shared" si="271"/>
        <v>0</v>
      </c>
      <c r="EM51" s="148">
        <f t="shared" ca="1" si="272"/>
        <v>0</v>
      </c>
      <c r="EN51" s="186">
        <f t="shared" si="273"/>
        <v>0</v>
      </c>
      <c r="EO51" s="186">
        <f t="shared" si="273"/>
        <v>0</v>
      </c>
      <c r="EP51" s="148">
        <f t="shared" ca="1" si="274"/>
        <v>0</v>
      </c>
      <c r="ER51" s="186">
        <f t="shared" si="275"/>
        <v>0</v>
      </c>
      <c r="ES51" s="186">
        <f t="shared" si="275"/>
        <v>0</v>
      </c>
      <c r="ET51" s="174" t="s">
        <v>27</v>
      </c>
      <c r="EU51" s="174" t="s">
        <v>27</v>
      </c>
      <c r="EV51" s="174" t="s">
        <v>27</v>
      </c>
      <c r="EW51" s="186">
        <f t="shared" si="276"/>
        <v>0</v>
      </c>
      <c r="EX51" s="186">
        <f t="shared" si="276"/>
        <v>0</v>
      </c>
      <c r="EY51" s="186">
        <f t="shared" si="276"/>
        <v>0</v>
      </c>
      <c r="EZ51" s="149">
        <f t="shared" si="277"/>
        <v>0</v>
      </c>
      <c r="FA51" s="186">
        <f t="shared" si="278"/>
        <v>0</v>
      </c>
      <c r="FB51" s="186">
        <f t="shared" si="278"/>
        <v>0</v>
      </c>
      <c r="FC51" s="186">
        <f t="shared" si="278"/>
        <v>0</v>
      </c>
      <c r="FD51" s="186">
        <f t="shared" si="278"/>
        <v>0</v>
      </c>
      <c r="FE51" s="186">
        <f t="shared" si="278"/>
        <v>0</v>
      </c>
      <c r="FF51" s="148">
        <f t="shared" ca="1" si="279"/>
        <v>0</v>
      </c>
      <c r="FG51" s="186">
        <f t="shared" si="280"/>
        <v>0</v>
      </c>
      <c r="FH51" s="186">
        <f t="shared" si="280"/>
        <v>0</v>
      </c>
      <c r="FI51" s="148">
        <f t="shared" ca="1" si="281"/>
        <v>0</v>
      </c>
      <c r="FL51" s="146">
        <f t="shared" ca="1" si="222"/>
        <v>0</v>
      </c>
      <c r="FM51" s="146">
        <f t="shared" ca="1" si="223"/>
        <v>0</v>
      </c>
      <c r="FN51" s="146">
        <f t="shared" ca="1" si="224"/>
        <v>0</v>
      </c>
      <c r="FQ51" s="174" t="str">
        <f t="shared" ca="1" si="225"/>
        <v>na</v>
      </c>
      <c r="FR51" s="174" t="str">
        <f t="shared" ca="1" si="226"/>
        <v>na</v>
      </c>
      <c r="FS51" s="174" t="str">
        <f t="shared" ca="1" si="227"/>
        <v>na</v>
      </c>
    </row>
    <row r="52" spans="2:175">
      <c r="B52" s="149" t="str">
        <f>CF60</f>
        <v>C</v>
      </c>
      <c r="D52" s="155" t="str">
        <f t="shared" si="228"/>
        <v>C</v>
      </c>
      <c r="E52" s="177" t="s">
        <v>27</v>
      </c>
      <c r="G52" s="155" t="s">
        <v>27</v>
      </c>
      <c r="H52" s="155" t="s">
        <v>27</v>
      </c>
      <c r="I52" s="186">
        <f t="shared" si="229"/>
        <v>0</v>
      </c>
      <c r="J52" s="186">
        <f t="shared" si="229"/>
        <v>0</v>
      </c>
      <c r="K52" s="186">
        <f t="shared" si="229"/>
        <v>0</v>
      </c>
      <c r="L52" s="148">
        <f t="shared" si="230"/>
        <v>0</v>
      </c>
      <c r="M52" s="186">
        <f t="shared" si="231"/>
        <v>0</v>
      </c>
      <c r="N52" s="148">
        <f t="shared" si="232"/>
        <v>0</v>
      </c>
      <c r="P52" s="155" t="s">
        <v>27</v>
      </c>
      <c r="Q52" s="155" t="s">
        <v>27</v>
      </c>
      <c r="R52" s="186">
        <f t="shared" si="233"/>
        <v>0</v>
      </c>
      <c r="S52" s="186">
        <f t="shared" si="233"/>
        <v>0</v>
      </c>
      <c r="T52" s="187" t="s">
        <v>27</v>
      </c>
      <c r="U52" s="187" t="s">
        <v>27</v>
      </c>
      <c r="V52" s="187" t="s">
        <v>27</v>
      </c>
      <c r="W52" s="187"/>
      <c r="X52" s="186">
        <f t="shared" si="234"/>
        <v>0</v>
      </c>
      <c r="Y52" s="186">
        <f t="shared" si="234"/>
        <v>0</v>
      </c>
      <c r="Z52" s="186">
        <f t="shared" si="234"/>
        <v>0</v>
      </c>
      <c r="AA52" s="149">
        <f t="shared" si="235"/>
        <v>0</v>
      </c>
      <c r="AB52" s="186">
        <f t="shared" si="236"/>
        <v>0</v>
      </c>
      <c r="AC52" s="186">
        <f t="shared" si="236"/>
        <v>0</v>
      </c>
      <c r="AD52" s="186">
        <f t="shared" si="236"/>
        <v>0</v>
      </c>
      <c r="AE52" s="186">
        <f t="shared" si="236"/>
        <v>0</v>
      </c>
      <c r="AF52" s="186">
        <f t="shared" si="236"/>
        <v>0</v>
      </c>
      <c r="AG52" s="148">
        <f t="shared" ca="1" si="237"/>
        <v>0</v>
      </c>
      <c r="AH52" s="186">
        <f t="shared" si="238"/>
        <v>0</v>
      </c>
      <c r="AI52" s="186">
        <f t="shared" si="238"/>
        <v>0</v>
      </c>
      <c r="AJ52" s="148">
        <f t="shared" ca="1" si="239"/>
        <v>0</v>
      </c>
      <c r="AL52" s="155" t="s">
        <v>27</v>
      </c>
      <c r="AM52" s="155" t="s">
        <v>27</v>
      </c>
      <c r="AN52" s="186">
        <f t="shared" si="240"/>
        <v>0</v>
      </c>
      <c r="AO52" s="186">
        <f t="shared" si="240"/>
        <v>0</v>
      </c>
      <c r="AP52" s="187" t="s">
        <v>27</v>
      </c>
      <c r="AQ52" s="187" t="s">
        <v>27</v>
      </c>
      <c r="AR52" s="187" t="s">
        <v>27</v>
      </c>
      <c r="AS52" s="187"/>
      <c r="AT52" s="186">
        <f t="shared" si="241"/>
        <v>0</v>
      </c>
      <c r="AU52" s="186">
        <f t="shared" si="241"/>
        <v>0</v>
      </c>
      <c r="AV52" s="186">
        <f t="shared" si="241"/>
        <v>0</v>
      </c>
      <c r="AW52" s="149">
        <f t="shared" si="242"/>
        <v>0</v>
      </c>
      <c r="AX52" s="186">
        <f t="shared" si="243"/>
        <v>0</v>
      </c>
      <c r="AY52" s="186">
        <f t="shared" si="243"/>
        <v>0</v>
      </c>
      <c r="AZ52" s="186">
        <f t="shared" si="243"/>
        <v>0</v>
      </c>
      <c r="BA52" s="186">
        <f t="shared" si="243"/>
        <v>0</v>
      </c>
      <c r="BB52" s="186">
        <f t="shared" si="243"/>
        <v>0</v>
      </c>
      <c r="BC52" s="148">
        <f t="shared" ca="1" si="244"/>
        <v>0</v>
      </c>
      <c r="BD52" s="186">
        <f t="shared" si="245"/>
        <v>0</v>
      </c>
      <c r="BE52" s="186">
        <f t="shared" si="245"/>
        <v>0</v>
      </c>
      <c r="BF52" s="148">
        <f t="shared" ca="1" si="246"/>
        <v>0</v>
      </c>
      <c r="BH52" s="155" t="s">
        <v>27</v>
      </c>
      <c r="BI52" s="155" t="s">
        <v>27</v>
      </c>
      <c r="BJ52" s="186">
        <f t="shared" si="247"/>
        <v>0</v>
      </c>
      <c r="BK52" s="186">
        <f t="shared" si="247"/>
        <v>0</v>
      </c>
      <c r="BL52" s="187" t="s">
        <v>27</v>
      </c>
      <c r="BM52" s="187" t="s">
        <v>27</v>
      </c>
      <c r="BN52" s="187" t="s">
        <v>27</v>
      </c>
      <c r="BO52" s="187"/>
      <c r="BP52" s="186">
        <f t="shared" si="248"/>
        <v>0</v>
      </c>
      <c r="BQ52" s="186">
        <f t="shared" si="248"/>
        <v>0</v>
      </c>
      <c r="BR52" s="186">
        <f t="shared" si="248"/>
        <v>0</v>
      </c>
      <c r="BS52" s="149">
        <f t="shared" si="249"/>
        <v>0</v>
      </c>
      <c r="BT52" s="186">
        <f t="shared" si="250"/>
        <v>0</v>
      </c>
      <c r="BU52" s="186">
        <f t="shared" si="250"/>
        <v>0</v>
      </c>
      <c r="BV52" s="186">
        <f t="shared" si="250"/>
        <v>0</v>
      </c>
      <c r="BW52" s="186">
        <f t="shared" si="250"/>
        <v>0</v>
      </c>
      <c r="BX52" s="186">
        <f t="shared" si="250"/>
        <v>0</v>
      </c>
      <c r="BY52" s="148">
        <f t="shared" ca="1" si="251"/>
        <v>0</v>
      </c>
      <c r="BZ52" s="186">
        <f t="shared" si="252"/>
        <v>0</v>
      </c>
      <c r="CA52" s="186">
        <f t="shared" si="252"/>
        <v>0</v>
      </c>
      <c r="CB52" s="148">
        <f t="shared" ca="1" si="253"/>
        <v>0</v>
      </c>
      <c r="CD52" s="155" t="s">
        <v>27</v>
      </c>
      <c r="CE52" s="155" t="s">
        <v>27</v>
      </c>
      <c r="CF52" s="186">
        <f t="shared" si="254"/>
        <v>0</v>
      </c>
      <c r="CG52" s="186">
        <f t="shared" si="254"/>
        <v>0</v>
      </c>
      <c r="CH52" s="187" t="s">
        <v>27</v>
      </c>
      <c r="CI52" s="187" t="s">
        <v>27</v>
      </c>
      <c r="CJ52" s="187" t="s">
        <v>27</v>
      </c>
      <c r="CK52" s="187"/>
      <c r="CL52" s="186">
        <f t="shared" si="255"/>
        <v>0</v>
      </c>
      <c r="CM52" s="186">
        <f t="shared" si="255"/>
        <v>0</v>
      </c>
      <c r="CN52" s="186">
        <f t="shared" si="255"/>
        <v>0</v>
      </c>
      <c r="CO52" s="149">
        <f t="shared" si="256"/>
        <v>0</v>
      </c>
      <c r="CP52" s="186">
        <f t="shared" si="257"/>
        <v>0</v>
      </c>
      <c r="CQ52" s="186">
        <f t="shared" si="257"/>
        <v>0</v>
      </c>
      <c r="CR52" s="186">
        <f t="shared" si="257"/>
        <v>0</v>
      </c>
      <c r="CS52" s="186">
        <f t="shared" si="257"/>
        <v>0</v>
      </c>
      <c r="CT52" s="186">
        <f t="shared" si="257"/>
        <v>0</v>
      </c>
      <c r="CU52" s="148">
        <f t="shared" ca="1" si="258"/>
        <v>0</v>
      </c>
      <c r="CV52" s="186">
        <f t="shared" si="259"/>
        <v>0</v>
      </c>
      <c r="CW52" s="186">
        <f t="shared" si="259"/>
        <v>0</v>
      </c>
      <c r="CX52" s="148">
        <f t="shared" ca="1" si="260"/>
        <v>0</v>
      </c>
      <c r="CZ52" s="155" t="s">
        <v>27</v>
      </c>
      <c r="DA52" s="155" t="s">
        <v>27</v>
      </c>
      <c r="DB52" s="186">
        <f t="shared" si="261"/>
        <v>0</v>
      </c>
      <c r="DC52" s="186">
        <f t="shared" si="261"/>
        <v>0</v>
      </c>
      <c r="DD52" s="187" t="s">
        <v>27</v>
      </c>
      <c r="DE52" s="187" t="s">
        <v>27</v>
      </c>
      <c r="DF52" s="187" t="s">
        <v>27</v>
      </c>
      <c r="DG52" s="187"/>
      <c r="DH52" s="186">
        <f t="shared" si="262"/>
        <v>0</v>
      </c>
      <c r="DI52" s="186">
        <f t="shared" si="262"/>
        <v>0</v>
      </c>
      <c r="DJ52" s="186">
        <f t="shared" si="262"/>
        <v>0</v>
      </c>
      <c r="DK52" s="149">
        <f t="shared" si="263"/>
        <v>0</v>
      </c>
      <c r="DL52" s="186">
        <f t="shared" si="264"/>
        <v>0</v>
      </c>
      <c r="DM52" s="186">
        <f t="shared" si="264"/>
        <v>0</v>
      </c>
      <c r="DN52" s="186">
        <f t="shared" si="264"/>
        <v>0</v>
      </c>
      <c r="DO52" s="186">
        <f t="shared" si="264"/>
        <v>0</v>
      </c>
      <c r="DP52" s="186">
        <f t="shared" si="264"/>
        <v>0</v>
      </c>
      <c r="DQ52" s="148">
        <f t="shared" ca="1" si="265"/>
        <v>0</v>
      </c>
      <c r="DR52" s="186">
        <f t="shared" si="266"/>
        <v>0</v>
      </c>
      <c r="DS52" s="186">
        <f t="shared" si="266"/>
        <v>0</v>
      </c>
      <c r="DT52" s="148">
        <f t="shared" ca="1" si="267"/>
        <v>0</v>
      </c>
      <c r="DV52" s="155" t="s">
        <v>27</v>
      </c>
      <c r="DW52" s="155" t="s">
        <v>27</v>
      </c>
      <c r="DX52" s="186">
        <f t="shared" si="268"/>
        <v>0</v>
      </c>
      <c r="DY52" s="186">
        <f t="shared" si="268"/>
        <v>0</v>
      </c>
      <c r="DZ52" s="187" t="s">
        <v>27</v>
      </c>
      <c r="EA52" s="187" t="s">
        <v>27</v>
      </c>
      <c r="EB52" s="187" t="s">
        <v>27</v>
      </c>
      <c r="EC52" s="187"/>
      <c r="ED52" s="186">
        <f t="shared" si="269"/>
        <v>0</v>
      </c>
      <c r="EE52" s="186">
        <f t="shared" si="269"/>
        <v>0</v>
      </c>
      <c r="EF52" s="186">
        <f t="shared" si="269"/>
        <v>0</v>
      </c>
      <c r="EG52" s="149">
        <f t="shared" si="270"/>
        <v>0</v>
      </c>
      <c r="EH52" s="186">
        <f t="shared" si="271"/>
        <v>0</v>
      </c>
      <c r="EI52" s="186">
        <f t="shared" si="271"/>
        <v>0</v>
      </c>
      <c r="EJ52" s="186">
        <f t="shared" si="271"/>
        <v>0</v>
      </c>
      <c r="EK52" s="186">
        <f t="shared" si="271"/>
        <v>0</v>
      </c>
      <c r="EL52" s="186">
        <f t="shared" si="271"/>
        <v>0</v>
      </c>
      <c r="EM52" s="148">
        <f t="shared" ca="1" si="272"/>
        <v>0</v>
      </c>
      <c r="EN52" s="186">
        <f t="shared" si="273"/>
        <v>0</v>
      </c>
      <c r="EO52" s="186">
        <f t="shared" si="273"/>
        <v>0</v>
      </c>
      <c r="EP52" s="148">
        <f t="shared" ca="1" si="274"/>
        <v>0</v>
      </c>
      <c r="ER52" s="186">
        <f t="shared" si="275"/>
        <v>0</v>
      </c>
      <c r="ES52" s="186">
        <f t="shared" si="275"/>
        <v>0</v>
      </c>
      <c r="ET52" s="174" t="s">
        <v>27</v>
      </c>
      <c r="EU52" s="174" t="s">
        <v>27</v>
      </c>
      <c r="EV52" s="174" t="s">
        <v>27</v>
      </c>
      <c r="EW52" s="186">
        <f t="shared" si="276"/>
        <v>0</v>
      </c>
      <c r="EX52" s="186">
        <f t="shared" si="276"/>
        <v>0</v>
      </c>
      <c r="EY52" s="186">
        <f t="shared" si="276"/>
        <v>0</v>
      </c>
      <c r="EZ52" s="149">
        <f t="shared" si="277"/>
        <v>0</v>
      </c>
      <c r="FA52" s="186">
        <f t="shared" si="278"/>
        <v>0</v>
      </c>
      <c r="FB52" s="186">
        <f t="shared" si="278"/>
        <v>0</v>
      </c>
      <c r="FC52" s="186">
        <f t="shared" si="278"/>
        <v>0</v>
      </c>
      <c r="FD52" s="186">
        <f t="shared" si="278"/>
        <v>0</v>
      </c>
      <c r="FE52" s="186">
        <f t="shared" si="278"/>
        <v>0</v>
      </c>
      <c r="FF52" s="148">
        <f t="shared" ca="1" si="279"/>
        <v>0</v>
      </c>
      <c r="FG52" s="186">
        <f t="shared" si="280"/>
        <v>0</v>
      </c>
      <c r="FH52" s="186">
        <f t="shared" si="280"/>
        <v>0</v>
      </c>
      <c r="FI52" s="148">
        <f t="shared" ca="1" si="281"/>
        <v>0</v>
      </c>
      <c r="FL52" s="146">
        <f t="shared" ca="1" si="222"/>
        <v>0</v>
      </c>
      <c r="FM52" s="146">
        <f t="shared" ca="1" si="223"/>
        <v>0</v>
      </c>
      <c r="FN52" s="146">
        <f t="shared" ca="1" si="224"/>
        <v>0</v>
      </c>
      <c r="FQ52" s="174" t="str">
        <f t="shared" ca="1" si="225"/>
        <v>na</v>
      </c>
      <c r="FR52" s="174" t="str">
        <f t="shared" ca="1" si="226"/>
        <v>na</v>
      </c>
      <c r="FS52" s="174" t="str">
        <f t="shared" ca="1" si="227"/>
        <v>na</v>
      </c>
    </row>
    <row r="53" spans="2:175">
      <c r="B53" s="149" t="str">
        <f>DB60</f>
        <v>D</v>
      </c>
      <c r="D53" s="155" t="str">
        <f t="shared" si="228"/>
        <v>D</v>
      </c>
      <c r="E53" s="177" t="s">
        <v>27</v>
      </c>
      <c r="G53" s="155" t="s">
        <v>27</v>
      </c>
      <c r="H53" s="155" t="s">
        <v>27</v>
      </c>
      <c r="I53" s="186">
        <f t="shared" si="229"/>
        <v>0</v>
      </c>
      <c r="J53" s="186">
        <f t="shared" si="229"/>
        <v>0</v>
      </c>
      <c r="K53" s="186">
        <f t="shared" si="229"/>
        <v>0</v>
      </c>
      <c r="L53" s="148">
        <f t="shared" si="230"/>
        <v>0</v>
      </c>
      <c r="M53" s="186">
        <f t="shared" si="231"/>
        <v>0</v>
      </c>
      <c r="N53" s="148">
        <f t="shared" si="232"/>
        <v>0</v>
      </c>
      <c r="P53" s="155" t="s">
        <v>27</v>
      </c>
      <c r="Q53" s="155" t="s">
        <v>27</v>
      </c>
      <c r="R53" s="186">
        <f t="shared" si="233"/>
        <v>0</v>
      </c>
      <c r="S53" s="186">
        <f t="shared" si="233"/>
        <v>0</v>
      </c>
      <c r="T53" s="187" t="s">
        <v>27</v>
      </c>
      <c r="U53" s="187" t="s">
        <v>27</v>
      </c>
      <c r="V53" s="187" t="s">
        <v>27</v>
      </c>
      <c r="W53" s="187"/>
      <c r="X53" s="186">
        <f t="shared" si="234"/>
        <v>0</v>
      </c>
      <c r="Y53" s="186">
        <f t="shared" si="234"/>
        <v>0</v>
      </c>
      <c r="Z53" s="186">
        <f t="shared" si="234"/>
        <v>0</v>
      </c>
      <c r="AA53" s="149">
        <f t="shared" si="235"/>
        <v>0</v>
      </c>
      <c r="AB53" s="186">
        <f t="shared" si="236"/>
        <v>0</v>
      </c>
      <c r="AC53" s="186">
        <f t="shared" si="236"/>
        <v>0</v>
      </c>
      <c r="AD53" s="186">
        <f t="shared" si="236"/>
        <v>0</v>
      </c>
      <c r="AE53" s="186">
        <f t="shared" si="236"/>
        <v>0</v>
      </c>
      <c r="AF53" s="186">
        <f t="shared" si="236"/>
        <v>0</v>
      </c>
      <c r="AG53" s="148">
        <f t="shared" ca="1" si="237"/>
        <v>0</v>
      </c>
      <c r="AH53" s="186">
        <f t="shared" si="238"/>
        <v>0</v>
      </c>
      <c r="AI53" s="186">
        <f t="shared" si="238"/>
        <v>0</v>
      </c>
      <c r="AJ53" s="148">
        <f t="shared" ca="1" si="239"/>
        <v>0</v>
      </c>
      <c r="AL53" s="155" t="s">
        <v>27</v>
      </c>
      <c r="AM53" s="155" t="s">
        <v>27</v>
      </c>
      <c r="AN53" s="186">
        <f t="shared" si="240"/>
        <v>0</v>
      </c>
      <c r="AO53" s="186">
        <f t="shared" si="240"/>
        <v>0</v>
      </c>
      <c r="AP53" s="187" t="s">
        <v>27</v>
      </c>
      <c r="AQ53" s="187" t="s">
        <v>27</v>
      </c>
      <c r="AR53" s="187" t="s">
        <v>27</v>
      </c>
      <c r="AS53" s="187"/>
      <c r="AT53" s="186">
        <f t="shared" si="241"/>
        <v>0</v>
      </c>
      <c r="AU53" s="186">
        <f t="shared" si="241"/>
        <v>0</v>
      </c>
      <c r="AV53" s="186">
        <f t="shared" si="241"/>
        <v>0</v>
      </c>
      <c r="AW53" s="149">
        <f t="shared" si="242"/>
        <v>0</v>
      </c>
      <c r="AX53" s="186">
        <f t="shared" si="243"/>
        <v>0</v>
      </c>
      <c r="AY53" s="186">
        <f t="shared" si="243"/>
        <v>0</v>
      </c>
      <c r="AZ53" s="186">
        <f t="shared" si="243"/>
        <v>0</v>
      </c>
      <c r="BA53" s="186">
        <f t="shared" si="243"/>
        <v>0</v>
      </c>
      <c r="BB53" s="186">
        <f t="shared" si="243"/>
        <v>0</v>
      </c>
      <c r="BC53" s="148">
        <f t="shared" ca="1" si="244"/>
        <v>0</v>
      </c>
      <c r="BD53" s="186">
        <f t="shared" si="245"/>
        <v>0</v>
      </c>
      <c r="BE53" s="186">
        <f t="shared" si="245"/>
        <v>0</v>
      </c>
      <c r="BF53" s="148">
        <f t="shared" ca="1" si="246"/>
        <v>0</v>
      </c>
      <c r="BH53" s="155" t="s">
        <v>27</v>
      </c>
      <c r="BI53" s="155" t="s">
        <v>27</v>
      </c>
      <c r="BJ53" s="186">
        <f t="shared" si="247"/>
        <v>0</v>
      </c>
      <c r="BK53" s="186">
        <f t="shared" si="247"/>
        <v>0</v>
      </c>
      <c r="BL53" s="187" t="s">
        <v>27</v>
      </c>
      <c r="BM53" s="187" t="s">
        <v>27</v>
      </c>
      <c r="BN53" s="187" t="s">
        <v>27</v>
      </c>
      <c r="BO53" s="187"/>
      <c r="BP53" s="186">
        <f t="shared" si="248"/>
        <v>0</v>
      </c>
      <c r="BQ53" s="186">
        <f t="shared" si="248"/>
        <v>0</v>
      </c>
      <c r="BR53" s="186">
        <f t="shared" si="248"/>
        <v>0</v>
      </c>
      <c r="BS53" s="149">
        <f t="shared" si="249"/>
        <v>0</v>
      </c>
      <c r="BT53" s="186">
        <f t="shared" si="250"/>
        <v>0</v>
      </c>
      <c r="BU53" s="186">
        <f t="shared" si="250"/>
        <v>0</v>
      </c>
      <c r="BV53" s="186">
        <f t="shared" si="250"/>
        <v>0</v>
      </c>
      <c r="BW53" s="186">
        <f t="shared" si="250"/>
        <v>0</v>
      </c>
      <c r="BX53" s="186">
        <f t="shared" si="250"/>
        <v>0</v>
      </c>
      <c r="BY53" s="148">
        <f t="shared" ca="1" si="251"/>
        <v>0</v>
      </c>
      <c r="BZ53" s="186">
        <f t="shared" si="252"/>
        <v>0</v>
      </c>
      <c r="CA53" s="186">
        <f t="shared" si="252"/>
        <v>0</v>
      </c>
      <c r="CB53" s="148">
        <f t="shared" ca="1" si="253"/>
        <v>0</v>
      </c>
      <c r="CD53" s="155" t="s">
        <v>27</v>
      </c>
      <c r="CE53" s="155" t="s">
        <v>27</v>
      </c>
      <c r="CF53" s="186">
        <f t="shared" si="254"/>
        <v>0</v>
      </c>
      <c r="CG53" s="186">
        <f t="shared" si="254"/>
        <v>0</v>
      </c>
      <c r="CH53" s="187" t="s">
        <v>27</v>
      </c>
      <c r="CI53" s="187" t="s">
        <v>27</v>
      </c>
      <c r="CJ53" s="187" t="s">
        <v>27</v>
      </c>
      <c r="CK53" s="187"/>
      <c r="CL53" s="186">
        <f t="shared" si="255"/>
        <v>0</v>
      </c>
      <c r="CM53" s="186">
        <f t="shared" si="255"/>
        <v>0</v>
      </c>
      <c r="CN53" s="186">
        <f t="shared" si="255"/>
        <v>0</v>
      </c>
      <c r="CO53" s="149">
        <f t="shared" si="256"/>
        <v>0</v>
      </c>
      <c r="CP53" s="186">
        <f t="shared" si="257"/>
        <v>0</v>
      </c>
      <c r="CQ53" s="186">
        <f t="shared" si="257"/>
        <v>0</v>
      </c>
      <c r="CR53" s="186">
        <f t="shared" si="257"/>
        <v>0</v>
      </c>
      <c r="CS53" s="186">
        <f t="shared" si="257"/>
        <v>0</v>
      </c>
      <c r="CT53" s="186">
        <f t="shared" si="257"/>
        <v>0</v>
      </c>
      <c r="CU53" s="148">
        <f t="shared" ca="1" si="258"/>
        <v>0</v>
      </c>
      <c r="CV53" s="186">
        <f t="shared" si="259"/>
        <v>0</v>
      </c>
      <c r="CW53" s="186">
        <f t="shared" si="259"/>
        <v>0</v>
      </c>
      <c r="CX53" s="148">
        <f t="shared" ca="1" si="260"/>
        <v>0</v>
      </c>
      <c r="CZ53" s="155" t="s">
        <v>27</v>
      </c>
      <c r="DA53" s="155" t="s">
        <v>27</v>
      </c>
      <c r="DB53" s="186">
        <f t="shared" si="261"/>
        <v>0</v>
      </c>
      <c r="DC53" s="186">
        <f t="shared" si="261"/>
        <v>0</v>
      </c>
      <c r="DD53" s="187" t="s">
        <v>27</v>
      </c>
      <c r="DE53" s="187" t="s">
        <v>27</v>
      </c>
      <c r="DF53" s="187" t="s">
        <v>27</v>
      </c>
      <c r="DG53" s="187"/>
      <c r="DH53" s="186">
        <f t="shared" si="262"/>
        <v>0</v>
      </c>
      <c r="DI53" s="186">
        <f t="shared" si="262"/>
        <v>0</v>
      </c>
      <c r="DJ53" s="186">
        <f t="shared" si="262"/>
        <v>0</v>
      </c>
      <c r="DK53" s="149">
        <f t="shared" si="263"/>
        <v>0</v>
      </c>
      <c r="DL53" s="186">
        <f t="shared" si="264"/>
        <v>0</v>
      </c>
      <c r="DM53" s="186">
        <f t="shared" si="264"/>
        <v>0</v>
      </c>
      <c r="DN53" s="186">
        <f t="shared" si="264"/>
        <v>0</v>
      </c>
      <c r="DO53" s="186">
        <f t="shared" si="264"/>
        <v>0</v>
      </c>
      <c r="DP53" s="186">
        <f t="shared" si="264"/>
        <v>0</v>
      </c>
      <c r="DQ53" s="148">
        <f t="shared" ca="1" si="265"/>
        <v>0</v>
      </c>
      <c r="DR53" s="186">
        <f t="shared" si="266"/>
        <v>0</v>
      </c>
      <c r="DS53" s="186">
        <f t="shared" si="266"/>
        <v>0</v>
      </c>
      <c r="DT53" s="148">
        <f t="shared" ca="1" si="267"/>
        <v>0</v>
      </c>
      <c r="DV53" s="155" t="s">
        <v>27</v>
      </c>
      <c r="DW53" s="155" t="s">
        <v>27</v>
      </c>
      <c r="DX53" s="186">
        <f t="shared" si="268"/>
        <v>0</v>
      </c>
      <c r="DY53" s="186">
        <f t="shared" si="268"/>
        <v>0</v>
      </c>
      <c r="DZ53" s="187" t="s">
        <v>27</v>
      </c>
      <c r="EA53" s="187" t="s">
        <v>27</v>
      </c>
      <c r="EB53" s="187" t="s">
        <v>27</v>
      </c>
      <c r="EC53" s="187"/>
      <c r="ED53" s="186">
        <f t="shared" si="269"/>
        <v>0</v>
      </c>
      <c r="EE53" s="186">
        <f t="shared" si="269"/>
        <v>0</v>
      </c>
      <c r="EF53" s="186">
        <f t="shared" si="269"/>
        <v>0</v>
      </c>
      <c r="EG53" s="149">
        <f t="shared" si="270"/>
        <v>0</v>
      </c>
      <c r="EH53" s="186">
        <f t="shared" si="271"/>
        <v>0</v>
      </c>
      <c r="EI53" s="186">
        <f t="shared" si="271"/>
        <v>0</v>
      </c>
      <c r="EJ53" s="186">
        <f t="shared" si="271"/>
        <v>0</v>
      </c>
      <c r="EK53" s="186">
        <f t="shared" si="271"/>
        <v>0</v>
      </c>
      <c r="EL53" s="186">
        <f t="shared" si="271"/>
        <v>0</v>
      </c>
      <c r="EM53" s="148">
        <f t="shared" ca="1" si="272"/>
        <v>0</v>
      </c>
      <c r="EN53" s="186">
        <f t="shared" si="273"/>
        <v>0</v>
      </c>
      <c r="EO53" s="186">
        <f t="shared" si="273"/>
        <v>0</v>
      </c>
      <c r="EP53" s="148">
        <f t="shared" ca="1" si="274"/>
        <v>0</v>
      </c>
      <c r="ER53" s="186">
        <f t="shared" si="275"/>
        <v>0</v>
      </c>
      <c r="ES53" s="186">
        <f t="shared" si="275"/>
        <v>0</v>
      </c>
      <c r="ET53" s="174" t="s">
        <v>27</v>
      </c>
      <c r="EU53" s="174" t="s">
        <v>27</v>
      </c>
      <c r="EV53" s="174" t="s">
        <v>27</v>
      </c>
      <c r="EW53" s="186">
        <f t="shared" si="276"/>
        <v>0</v>
      </c>
      <c r="EX53" s="186">
        <f t="shared" si="276"/>
        <v>0</v>
      </c>
      <c r="EY53" s="186">
        <f t="shared" si="276"/>
        <v>0</v>
      </c>
      <c r="EZ53" s="149">
        <f t="shared" si="277"/>
        <v>0</v>
      </c>
      <c r="FA53" s="186">
        <f t="shared" si="278"/>
        <v>0</v>
      </c>
      <c r="FB53" s="186">
        <f t="shared" si="278"/>
        <v>0</v>
      </c>
      <c r="FC53" s="186">
        <f t="shared" si="278"/>
        <v>0</v>
      </c>
      <c r="FD53" s="186">
        <f t="shared" si="278"/>
        <v>0</v>
      </c>
      <c r="FE53" s="186">
        <f t="shared" si="278"/>
        <v>0</v>
      </c>
      <c r="FF53" s="148">
        <f t="shared" ca="1" si="279"/>
        <v>0</v>
      </c>
      <c r="FG53" s="186">
        <f t="shared" si="280"/>
        <v>0</v>
      </c>
      <c r="FH53" s="186">
        <f t="shared" si="280"/>
        <v>0</v>
      </c>
      <c r="FI53" s="148">
        <f t="shared" ca="1" si="281"/>
        <v>0</v>
      </c>
      <c r="FL53" s="146">
        <f t="shared" ca="1" si="222"/>
        <v>0</v>
      </c>
      <c r="FM53" s="146">
        <f t="shared" ca="1" si="223"/>
        <v>0</v>
      </c>
      <c r="FN53" s="146">
        <f t="shared" ca="1" si="224"/>
        <v>0</v>
      </c>
      <c r="FQ53" s="174" t="str">
        <f t="shared" ca="1" si="225"/>
        <v>na</v>
      </c>
      <c r="FR53" s="174" t="str">
        <f t="shared" ca="1" si="226"/>
        <v>na</v>
      </c>
      <c r="FS53" s="174" t="str">
        <f t="shared" ca="1" si="227"/>
        <v>na</v>
      </c>
    </row>
    <row r="54" spans="2:175">
      <c r="B54" s="149" t="str">
        <f>DX60</f>
        <v>E</v>
      </c>
      <c r="D54" s="155" t="str">
        <f t="shared" si="228"/>
        <v>E</v>
      </c>
      <c r="E54" s="177" t="s">
        <v>27</v>
      </c>
      <c r="G54" s="155" t="s">
        <v>27</v>
      </c>
      <c r="H54" s="155" t="s">
        <v>27</v>
      </c>
      <c r="I54" s="186">
        <f t="shared" si="229"/>
        <v>0</v>
      </c>
      <c r="J54" s="186">
        <f t="shared" si="229"/>
        <v>0</v>
      </c>
      <c r="K54" s="186">
        <f t="shared" si="229"/>
        <v>0</v>
      </c>
      <c r="L54" s="148">
        <f t="shared" si="230"/>
        <v>0</v>
      </c>
      <c r="M54" s="186">
        <f t="shared" si="231"/>
        <v>0</v>
      </c>
      <c r="N54" s="148">
        <f t="shared" si="232"/>
        <v>0</v>
      </c>
      <c r="P54" s="155" t="s">
        <v>27</v>
      </c>
      <c r="Q54" s="155" t="s">
        <v>27</v>
      </c>
      <c r="R54" s="186">
        <f t="shared" si="233"/>
        <v>0</v>
      </c>
      <c r="S54" s="186">
        <f t="shared" si="233"/>
        <v>0</v>
      </c>
      <c r="T54" s="187" t="s">
        <v>27</v>
      </c>
      <c r="U54" s="187" t="s">
        <v>27</v>
      </c>
      <c r="V54" s="187" t="s">
        <v>27</v>
      </c>
      <c r="W54" s="187"/>
      <c r="X54" s="186">
        <f t="shared" si="234"/>
        <v>0</v>
      </c>
      <c r="Y54" s="186">
        <f t="shared" si="234"/>
        <v>0</v>
      </c>
      <c r="Z54" s="186">
        <f t="shared" si="234"/>
        <v>0</v>
      </c>
      <c r="AA54" s="149">
        <f t="shared" si="235"/>
        <v>0</v>
      </c>
      <c r="AB54" s="186">
        <f t="shared" si="236"/>
        <v>0</v>
      </c>
      <c r="AC54" s="186">
        <f t="shared" si="236"/>
        <v>0</v>
      </c>
      <c r="AD54" s="186">
        <f t="shared" si="236"/>
        <v>0</v>
      </c>
      <c r="AE54" s="186">
        <f t="shared" si="236"/>
        <v>0</v>
      </c>
      <c r="AF54" s="186">
        <f t="shared" si="236"/>
        <v>0</v>
      </c>
      <c r="AG54" s="148">
        <f t="shared" ca="1" si="237"/>
        <v>0</v>
      </c>
      <c r="AH54" s="186">
        <f t="shared" si="238"/>
        <v>0</v>
      </c>
      <c r="AI54" s="186">
        <f t="shared" si="238"/>
        <v>0</v>
      </c>
      <c r="AJ54" s="148">
        <f t="shared" ca="1" si="239"/>
        <v>0</v>
      </c>
      <c r="AL54" s="155" t="s">
        <v>27</v>
      </c>
      <c r="AM54" s="155" t="s">
        <v>27</v>
      </c>
      <c r="AN54" s="186">
        <f t="shared" si="240"/>
        <v>0</v>
      </c>
      <c r="AO54" s="186">
        <f t="shared" si="240"/>
        <v>0</v>
      </c>
      <c r="AP54" s="187" t="s">
        <v>27</v>
      </c>
      <c r="AQ54" s="187" t="s">
        <v>27</v>
      </c>
      <c r="AR54" s="187" t="s">
        <v>27</v>
      </c>
      <c r="AS54" s="187"/>
      <c r="AT54" s="186">
        <f t="shared" si="241"/>
        <v>0</v>
      </c>
      <c r="AU54" s="186">
        <f t="shared" si="241"/>
        <v>0</v>
      </c>
      <c r="AV54" s="186">
        <f t="shared" si="241"/>
        <v>0</v>
      </c>
      <c r="AW54" s="149">
        <f t="shared" si="242"/>
        <v>0</v>
      </c>
      <c r="AX54" s="186">
        <f t="shared" si="243"/>
        <v>0</v>
      </c>
      <c r="AY54" s="186">
        <f t="shared" si="243"/>
        <v>0</v>
      </c>
      <c r="AZ54" s="186">
        <f t="shared" si="243"/>
        <v>0</v>
      </c>
      <c r="BA54" s="186">
        <f t="shared" si="243"/>
        <v>0</v>
      </c>
      <c r="BB54" s="186">
        <f t="shared" si="243"/>
        <v>0</v>
      </c>
      <c r="BC54" s="148">
        <f t="shared" ca="1" si="244"/>
        <v>0</v>
      </c>
      <c r="BD54" s="186">
        <f t="shared" si="245"/>
        <v>0</v>
      </c>
      <c r="BE54" s="186">
        <f t="shared" si="245"/>
        <v>0</v>
      </c>
      <c r="BF54" s="148">
        <f t="shared" ca="1" si="246"/>
        <v>0</v>
      </c>
      <c r="BH54" s="155" t="s">
        <v>27</v>
      </c>
      <c r="BI54" s="155" t="s">
        <v>27</v>
      </c>
      <c r="BJ54" s="186">
        <f t="shared" si="247"/>
        <v>0</v>
      </c>
      <c r="BK54" s="186">
        <f t="shared" si="247"/>
        <v>0</v>
      </c>
      <c r="BL54" s="187" t="s">
        <v>27</v>
      </c>
      <c r="BM54" s="187" t="s">
        <v>27</v>
      </c>
      <c r="BN54" s="187" t="s">
        <v>27</v>
      </c>
      <c r="BO54" s="187"/>
      <c r="BP54" s="186">
        <f t="shared" si="248"/>
        <v>0</v>
      </c>
      <c r="BQ54" s="186">
        <f t="shared" si="248"/>
        <v>0</v>
      </c>
      <c r="BR54" s="186">
        <f t="shared" si="248"/>
        <v>0</v>
      </c>
      <c r="BS54" s="149">
        <f t="shared" si="249"/>
        <v>0</v>
      </c>
      <c r="BT54" s="186">
        <f t="shared" si="250"/>
        <v>0</v>
      </c>
      <c r="BU54" s="186">
        <f t="shared" si="250"/>
        <v>0</v>
      </c>
      <c r="BV54" s="186">
        <f t="shared" si="250"/>
        <v>0</v>
      </c>
      <c r="BW54" s="186">
        <f t="shared" si="250"/>
        <v>0</v>
      </c>
      <c r="BX54" s="186">
        <f t="shared" si="250"/>
        <v>0</v>
      </c>
      <c r="BY54" s="148">
        <f t="shared" ca="1" si="251"/>
        <v>0</v>
      </c>
      <c r="BZ54" s="186">
        <f t="shared" si="252"/>
        <v>0</v>
      </c>
      <c r="CA54" s="186">
        <f t="shared" si="252"/>
        <v>0</v>
      </c>
      <c r="CB54" s="148">
        <f t="shared" ca="1" si="253"/>
        <v>0</v>
      </c>
      <c r="CD54" s="155" t="s">
        <v>27</v>
      </c>
      <c r="CE54" s="155" t="s">
        <v>27</v>
      </c>
      <c r="CF54" s="186">
        <f t="shared" si="254"/>
        <v>0</v>
      </c>
      <c r="CG54" s="186">
        <f t="shared" si="254"/>
        <v>0</v>
      </c>
      <c r="CH54" s="187" t="s">
        <v>27</v>
      </c>
      <c r="CI54" s="187" t="s">
        <v>27</v>
      </c>
      <c r="CJ54" s="187" t="s">
        <v>27</v>
      </c>
      <c r="CK54" s="187"/>
      <c r="CL54" s="186">
        <f t="shared" si="255"/>
        <v>0</v>
      </c>
      <c r="CM54" s="186">
        <f t="shared" si="255"/>
        <v>0</v>
      </c>
      <c r="CN54" s="186">
        <f t="shared" si="255"/>
        <v>0</v>
      </c>
      <c r="CO54" s="149">
        <f t="shared" si="256"/>
        <v>0</v>
      </c>
      <c r="CP54" s="186">
        <f t="shared" si="257"/>
        <v>0</v>
      </c>
      <c r="CQ54" s="186">
        <f t="shared" si="257"/>
        <v>0</v>
      </c>
      <c r="CR54" s="186">
        <f t="shared" si="257"/>
        <v>0</v>
      </c>
      <c r="CS54" s="186">
        <f t="shared" si="257"/>
        <v>0</v>
      </c>
      <c r="CT54" s="186">
        <f t="shared" si="257"/>
        <v>0</v>
      </c>
      <c r="CU54" s="148">
        <f t="shared" ca="1" si="258"/>
        <v>0</v>
      </c>
      <c r="CV54" s="186">
        <f t="shared" si="259"/>
        <v>0</v>
      </c>
      <c r="CW54" s="186">
        <f t="shared" si="259"/>
        <v>0</v>
      </c>
      <c r="CX54" s="148">
        <f t="shared" ca="1" si="260"/>
        <v>0</v>
      </c>
      <c r="CZ54" s="155" t="s">
        <v>27</v>
      </c>
      <c r="DA54" s="155" t="s">
        <v>27</v>
      </c>
      <c r="DB54" s="186">
        <f t="shared" si="261"/>
        <v>0</v>
      </c>
      <c r="DC54" s="186">
        <f t="shared" si="261"/>
        <v>0</v>
      </c>
      <c r="DD54" s="187" t="s">
        <v>27</v>
      </c>
      <c r="DE54" s="187" t="s">
        <v>27</v>
      </c>
      <c r="DF54" s="187" t="s">
        <v>27</v>
      </c>
      <c r="DG54" s="187"/>
      <c r="DH54" s="186">
        <f t="shared" si="262"/>
        <v>0</v>
      </c>
      <c r="DI54" s="186">
        <f t="shared" si="262"/>
        <v>0</v>
      </c>
      <c r="DJ54" s="186">
        <f t="shared" si="262"/>
        <v>0</v>
      </c>
      <c r="DK54" s="149">
        <f t="shared" si="263"/>
        <v>0</v>
      </c>
      <c r="DL54" s="186">
        <f t="shared" si="264"/>
        <v>0</v>
      </c>
      <c r="DM54" s="186">
        <f t="shared" si="264"/>
        <v>0</v>
      </c>
      <c r="DN54" s="186">
        <f t="shared" si="264"/>
        <v>0</v>
      </c>
      <c r="DO54" s="186">
        <f t="shared" si="264"/>
        <v>0</v>
      </c>
      <c r="DP54" s="186">
        <f t="shared" si="264"/>
        <v>0</v>
      </c>
      <c r="DQ54" s="148">
        <f t="shared" ca="1" si="265"/>
        <v>0</v>
      </c>
      <c r="DR54" s="186">
        <f t="shared" si="266"/>
        <v>0</v>
      </c>
      <c r="DS54" s="186">
        <f t="shared" si="266"/>
        <v>0</v>
      </c>
      <c r="DT54" s="148">
        <f t="shared" ca="1" si="267"/>
        <v>0</v>
      </c>
      <c r="DV54" s="155" t="s">
        <v>27</v>
      </c>
      <c r="DW54" s="155" t="s">
        <v>27</v>
      </c>
      <c r="DX54" s="186">
        <f t="shared" si="268"/>
        <v>0</v>
      </c>
      <c r="DY54" s="186">
        <f t="shared" si="268"/>
        <v>0</v>
      </c>
      <c r="DZ54" s="187" t="s">
        <v>27</v>
      </c>
      <c r="EA54" s="187" t="s">
        <v>27</v>
      </c>
      <c r="EB54" s="187" t="s">
        <v>27</v>
      </c>
      <c r="EC54" s="187"/>
      <c r="ED54" s="186">
        <f t="shared" si="269"/>
        <v>0</v>
      </c>
      <c r="EE54" s="186">
        <f t="shared" si="269"/>
        <v>0</v>
      </c>
      <c r="EF54" s="186">
        <f t="shared" si="269"/>
        <v>0</v>
      </c>
      <c r="EG54" s="149">
        <f t="shared" si="270"/>
        <v>0</v>
      </c>
      <c r="EH54" s="186">
        <f t="shared" si="271"/>
        <v>0</v>
      </c>
      <c r="EI54" s="186">
        <f t="shared" si="271"/>
        <v>0</v>
      </c>
      <c r="EJ54" s="186">
        <f t="shared" si="271"/>
        <v>0</v>
      </c>
      <c r="EK54" s="186">
        <f t="shared" si="271"/>
        <v>0</v>
      </c>
      <c r="EL54" s="186">
        <f t="shared" si="271"/>
        <v>0</v>
      </c>
      <c r="EM54" s="148">
        <f t="shared" ca="1" si="272"/>
        <v>0</v>
      </c>
      <c r="EN54" s="186">
        <f t="shared" si="273"/>
        <v>0</v>
      </c>
      <c r="EO54" s="186">
        <f t="shared" si="273"/>
        <v>0</v>
      </c>
      <c r="EP54" s="148">
        <f t="shared" ca="1" si="274"/>
        <v>0</v>
      </c>
      <c r="ER54" s="186">
        <f t="shared" si="275"/>
        <v>0</v>
      </c>
      <c r="ES54" s="186">
        <f t="shared" si="275"/>
        <v>0</v>
      </c>
      <c r="ET54" s="174" t="s">
        <v>27</v>
      </c>
      <c r="EU54" s="174" t="s">
        <v>27</v>
      </c>
      <c r="EV54" s="174" t="s">
        <v>27</v>
      </c>
      <c r="EW54" s="186">
        <f t="shared" si="276"/>
        <v>0</v>
      </c>
      <c r="EX54" s="186">
        <f t="shared" si="276"/>
        <v>0</v>
      </c>
      <c r="EY54" s="186">
        <f t="shared" si="276"/>
        <v>0</v>
      </c>
      <c r="EZ54" s="149">
        <f t="shared" si="277"/>
        <v>0</v>
      </c>
      <c r="FA54" s="186">
        <f t="shared" si="278"/>
        <v>0</v>
      </c>
      <c r="FB54" s="186">
        <f t="shared" si="278"/>
        <v>0</v>
      </c>
      <c r="FC54" s="186">
        <f t="shared" si="278"/>
        <v>0</v>
      </c>
      <c r="FD54" s="186">
        <f t="shared" si="278"/>
        <v>0</v>
      </c>
      <c r="FE54" s="186">
        <f t="shared" si="278"/>
        <v>0</v>
      </c>
      <c r="FF54" s="148">
        <f t="shared" ca="1" si="279"/>
        <v>0</v>
      </c>
      <c r="FG54" s="186">
        <f t="shared" si="280"/>
        <v>0</v>
      </c>
      <c r="FH54" s="186">
        <f t="shared" si="280"/>
        <v>0</v>
      </c>
      <c r="FI54" s="148">
        <f t="shared" ca="1" si="281"/>
        <v>0</v>
      </c>
      <c r="FL54" s="146">
        <f t="shared" ca="1" si="222"/>
        <v>0</v>
      </c>
      <c r="FM54" s="146">
        <f t="shared" ca="1" si="223"/>
        <v>0</v>
      </c>
      <c r="FN54" s="146">
        <f t="shared" ca="1" si="224"/>
        <v>0</v>
      </c>
      <c r="FQ54" s="174" t="str">
        <f t="shared" ca="1" si="225"/>
        <v>na</v>
      </c>
      <c r="FR54" s="174" t="str">
        <f t="shared" ca="1" si="226"/>
        <v>na</v>
      </c>
      <c r="FS54" s="174" t="str">
        <f t="shared" ca="1" si="227"/>
        <v>na</v>
      </c>
    </row>
    <row r="55" spans="2:175">
      <c r="B55" s="149" t="s">
        <v>27</v>
      </c>
      <c r="D55" s="155" t="str">
        <f t="shared" si="228"/>
        <v>na</v>
      </c>
      <c r="E55" s="177" t="s">
        <v>27</v>
      </c>
      <c r="G55" s="155" t="s">
        <v>27</v>
      </c>
      <c r="H55" s="155" t="s">
        <v>27</v>
      </c>
      <c r="I55" s="186">
        <f t="shared" si="229"/>
        <v>0</v>
      </c>
      <c r="J55" s="186">
        <f t="shared" si="229"/>
        <v>0</v>
      </c>
      <c r="K55" s="186">
        <f t="shared" si="229"/>
        <v>0</v>
      </c>
      <c r="L55" s="148">
        <f t="shared" si="230"/>
        <v>0</v>
      </c>
      <c r="M55" s="186">
        <f t="shared" si="231"/>
        <v>0</v>
      </c>
      <c r="N55" s="148">
        <f t="shared" si="232"/>
        <v>0</v>
      </c>
      <c r="P55" s="155" t="s">
        <v>27</v>
      </c>
      <c r="Q55" s="155" t="s">
        <v>27</v>
      </c>
      <c r="R55" s="186">
        <f t="shared" si="233"/>
        <v>0</v>
      </c>
      <c r="S55" s="186">
        <f t="shared" si="233"/>
        <v>0</v>
      </c>
      <c r="T55" s="187" t="s">
        <v>27</v>
      </c>
      <c r="U55" s="187" t="s">
        <v>27</v>
      </c>
      <c r="V55" s="187" t="s">
        <v>27</v>
      </c>
      <c r="W55" s="187"/>
      <c r="X55" s="186">
        <f t="shared" ca="1" si="234"/>
        <v>0</v>
      </c>
      <c r="Y55" s="186">
        <f t="shared" ca="1" si="234"/>
        <v>0</v>
      </c>
      <c r="Z55" s="186">
        <f t="shared" ca="1" si="234"/>
        <v>0</v>
      </c>
      <c r="AA55" s="149">
        <f t="shared" ca="1" si="235"/>
        <v>0</v>
      </c>
      <c r="AB55" s="186">
        <f t="shared" ca="1" si="236"/>
        <v>0</v>
      </c>
      <c r="AC55" s="186">
        <f t="shared" si="236"/>
        <v>0</v>
      </c>
      <c r="AD55" s="186">
        <f t="shared" ca="1" si="236"/>
        <v>0</v>
      </c>
      <c r="AE55" s="186">
        <f t="shared" si="236"/>
        <v>0</v>
      </c>
      <c r="AF55" s="186">
        <f t="shared" ca="1" si="236"/>
        <v>0</v>
      </c>
      <c r="AG55" s="148">
        <f t="shared" ca="1" si="237"/>
        <v>0</v>
      </c>
      <c r="AH55" s="186">
        <f t="shared" ca="1" si="238"/>
        <v>0</v>
      </c>
      <c r="AI55" s="186">
        <f t="shared" ca="1" si="238"/>
        <v>0</v>
      </c>
      <c r="AJ55" s="148">
        <f t="shared" ca="1" si="239"/>
        <v>0</v>
      </c>
      <c r="AL55" s="155" t="s">
        <v>27</v>
      </c>
      <c r="AM55" s="155" t="s">
        <v>27</v>
      </c>
      <c r="AN55" s="186">
        <f t="shared" si="240"/>
        <v>0</v>
      </c>
      <c r="AO55" s="186">
        <f t="shared" si="240"/>
        <v>0</v>
      </c>
      <c r="AP55" s="187" t="s">
        <v>27</v>
      </c>
      <c r="AQ55" s="187" t="s">
        <v>27</v>
      </c>
      <c r="AR55" s="187" t="s">
        <v>27</v>
      </c>
      <c r="AS55" s="187"/>
      <c r="AT55" s="186">
        <f t="shared" ca="1" si="241"/>
        <v>0</v>
      </c>
      <c r="AU55" s="186">
        <f t="shared" ca="1" si="241"/>
        <v>0</v>
      </c>
      <c r="AV55" s="186">
        <f t="shared" ca="1" si="241"/>
        <v>0</v>
      </c>
      <c r="AW55" s="149">
        <f t="shared" ca="1" si="242"/>
        <v>0</v>
      </c>
      <c r="AX55" s="186">
        <f t="shared" ca="1" si="243"/>
        <v>0</v>
      </c>
      <c r="AY55" s="186">
        <f t="shared" ca="1" si="243"/>
        <v>0</v>
      </c>
      <c r="AZ55" s="186">
        <f t="shared" ca="1" si="243"/>
        <v>0</v>
      </c>
      <c r="BA55" s="186">
        <f t="shared" ca="1" si="243"/>
        <v>0</v>
      </c>
      <c r="BB55" s="186">
        <f t="shared" ca="1" si="243"/>
        <v>0</v>
      </c>
      <c r="BC55" s="148">
        <f t="shared" ca="1" si="244"/>
        <v>0</v>
      </c>
      <c r="BD55" s="186">
        <f t="shared" ca="1" si="245"/>
        <v>0</v>
      </c>
      <c r="BE55" s="186">
        <f t="shared" ca="1" si="245"/>
        <v>0</v>
      </c>
      <c r="BF55" s="148">
        <f t="shared" ca="1" si="246"/>
        <v>0</v>
      </c>
      <c r="BH55" s="155" t="s">
        <v>27</v>
      </c>
      <c r="BI55" s="155" t="s">
        <v>27</v>
      </c>
      <c r="BJ55" s="186">
        <f t="shared" si="247"/>
        <v>0</v>
      </c>
      <c r="BK55" s="186">
        <f t="shared" si="247"/>
        <v>0</v>
      </c>
      <c r="BL55" s="187" t="s">
        <v>27</v>
      </c>
      <c r="BM55" s="187" t="s">
        <v>27</v>
      </c>
      <c r="BN55" s="187" t="s">
        <v>27</v>
      </c>
      <c r="BO55" s="187"/>
      <c r="BP55" s="186">
        <f t="shared" ca="1" si="248"/>
        <v>0</v>
      </c>
      <c r="BQ55" s="186">
        <f t="shared" ca="1" si="248"/>
        <v>0</v>
      </c>
      <c r="BR55" s="186">
        <f t="shared" ca="1" si="248"/>
        <v>0</v>
      </c>
      <c r="BS55" s="149">
        <f t="shared" ca="1" si="249"/>
        <v>0</v>
      </c>
      <c r="BT55" s="186">
        <f t="shared" ca="1" si="250"/>
        <v>0</v>
      </c>
      <c r="BU55" s="186">
        <f t="shared" ca="1" si="250"/>
        <v>0</v>
      </c>
      <c r="BV55" s="186">
        <f t="shared" ca="1" si="250"/>
        <v>0</v>
      </c>
      <c r="BW55" s="186">
        <f t="shared" ca="1" si="250"/>
        <v>0</v>
      </c>
      <c r="BX55" s="186">
        <f t="shared" ca="1" si="250"/>
        <v>0</v>
      </c>
      <c r="BY55" s="148">
        <f t="shared" ca="1" si="251"/>
        <v>0</v>
      </c>
      <c r="BZ55" s="186">
        <f t="shared" ca="1" si="252"/>
        <v>0</v>
      </c>
      <c r="CA55" s="186">
        <f t="shared" ca="1" si="252"/>
        <v>0</v>
      </c>
      <c r="CB55" s="148">
        <f t="shared" ca="1" si="253"/>
        <v>0</v>
      </c>
      <c r="CD55" s="155" t="s">
        <v>27</v>
      </c>
      <c r="CE55" s="155" t="s">
        <v>27</v>
      </c>
      <c r="CF55" s="186">
        <f t="shared" si="254"/>
        <v>0</v>
      </c>
      <c r="CG55" s="186">
        <f t="shared" si="254"/>
        <v>0</v>
      </c>
      <c r="CH55" s="187" t="s">
        <v>27</v>
      </c>
      <c r="CI55" s="187" t="s">
        <v>27</v>
      </c>
      <c r="CJ55" s="187" t="s">
        <v>27</v>
      </c>
      <c r="CK55" s="187"/>
      <c r="CL55" s="186">
        <f t="shared" ca="1" si="255"/>
        <v>0</v>
      </c>
      <c r="CM55" s="186">
        <f t="shared" ca="1" si="255"/>
        <v>0</v>
      </c>
      <c r="CN55" s="186">
        <f t="shared" ca="1" si="255"/>
        <v>0</v>
      </c>
      <c r="CO55" s="149">
        <f t="shared" ca="1" si="256"/>
        <v>0</v>
      </c>
      <c r="CP55" s="186">
        <f t="shared" ca="1" si="257"/>
        <v>0</v>
      </c>
      <c r="CQ55" s="186">
        <f t="shared" ca="1" si="257"/>
        <v>0</v>
      </c>
      <c r="CR55" s="186">
        <f t="shared" ca="1" si="257"/>
        <v>0</v>
      </c>
      <c r="CS55" s="186">
        <f t="shared" ca="1" si="257"/>
        <v>0</v>
      </c>
      <c r="CT55" s="186">
        <f t="shared" ca="1" si="257"/>
        <v>0</v>
      </c>
      <c r="CU55" s="148">
        <f t="shared" ca="1" si="258"/>
        <v>0</v>
      </c>
      <c r="CV55" s="186">
        <f t="shared" ca="1" si="259"/>
        <v>0</v>
      </c>
      <c r="CW55" s="186">
        <f t="shared" ca="1" si="259"/>
        <v>0</v>
      </c>
      <c r="CX55" s="148">
        <f t="shared" ca="1" si="260"/>
        <v>0</v>
      </c>
      <c r="CZ55" s="155" t="s">
        <v>27</v>
      </c>
      <c r="DA55" s="155" t="s">
        <v>27</v>
      </c>
      <c r="DB55" s="186">
        <f t="shared" si="261"/>
        <v>0</v>
      </c>
      <c r="DC55" s="186">
        <f t="shared" si="261"/>
        <v>0</v>
      </c>
      <c r="DD55" s="187" t="s">
        <v>27</v>
      </c>
      <c r="DE55" s="187" t="s">
        <v>27</v>
      </c>
      <c r="DF55" s="187" t="s">
        <v>27</v>
      </c>
      <c r="DG55" s="187"/>
      <c r="DH55" s="186">
        <f t="shared" ca="1" si="262"/>
        <v>0</v>
      </c>
      <c r="DI55" s="186">
        <f t="shared" ca="1" si="262"/>
        <v>0</v>
      </c>
      <c r="DJ55" s="186">
        <f t="shared" ca="1" si="262"/>
        <v>0</v>
      </c>
      <c r="DK55" s="149">
        <f t="shared" ca="1" si="263"/>
        <v>0</v>
      </c>
      <c r="DL55" s="186">
        <f t="shared" ca="1" si="264"/>
        <v>0</v>
      </c>
      <c r="DM55" s="186">
        <f t="shared" ca="1" si="264"/>
        <v>0</v>
      </c>
      <c r="DN55" s="186">
        <f t="shared" ca="1" si="264"/>
        <v>0</v>
      </c>
      <c r="DO55" s="186">
        <f t="shared" ca="1" si="264"/>
        <v>0</v>
      </c>
      <c r="DP55" s="186">
        <f t="shared" ca="1" si="264"/>
        <v>0</v>
      </c>
      <c r="DQ55" s="148">
        <f t="shared" ca="1" si="265"/>
        <v>0</v>
      </c>
      <c r="DR55" s="186">
        <f t="shared" ca="1" si="266"/>
        <v>0</v>
      </c>
      <c r="DS55" s="186">
        <f t="shared" ca="1" si="266"/>
        <v>0</v>
      </c>
      <c r="DT55" s="148">
        <f t="shared" ca="1" si="267"/>
        <v>0</v>
      </c>
      <c r="DV55" s="155" t="s">
        <v>27</v>
      </c>
      <c r="DW55" s="155" t="s">
        <v>27</v>
      </c>
      <c r="DX55" s="186">
        <f t="shared" si="268"/>
        <v>0</v>
      </c>
      <c r="DY55" s="186">
        <f t="shared" si="268"/>
        <v>0</v>
      </c>
      <c r="DZ55" s="187" t="s">
        <v>27</v>
      </c>
      <c r="EA55" s="187" t="s">
        <v>27</v>
      </c>
      <c r="EB55" s="187" t="s">
        <v>27</v>
      </c>
      <c r="EC55" s="187"/>
      <c r="ED55" s="186">
        <f t="shared" ca="1" si="269"/>
        <v>0</v>
      </c>
      <c r="EE55" s="186">
        <f t="shared" ca="1" si="269"/>
        <v>0</v>
      </c>
      <c r="EF55" s="186">
        <f t="shared" ca="1" si="269"/>
        <v>0</v>
      </c>
      <c r="EG55" s="149">
        <f t="shared" ca="1" si="270"/>
        <v>0</v>
      </c>
      <c r="EH55" s="186">
        <f t="shared" ca="1" si="271"/>
        <v>0</v>
      </c>
      <c r="EI55" s="186">
        <f t="shared" ca="1" si="271"/>
        <v>0</v>
      </c>
      <c r="EJ55" s="186">
        <f t="shared" ca="1" si="271"/>
        <v>0</v>
      </c>
      <c r="EK55" s="186">
        <f t="shared" ca="1" si="271"/>
        <v>0</v>
      </c>
      <c r="EL55" s="186">
        <f t="shared" ca="1" si="271"/>
        <v>0</v>
      </c>
      <c r="EM55" s="148">
        <f t="shared" ca="1" si="272"/>
        <v>0</v>
      </c>
      <c r="EN55" s="186">
        <f t="shared" ca="1" si="273"/>
        <v>0</v>
      </c>
      <c r="EO55" s="186">
        <f t="shared" ca="1" si="273"/>
        <v>0</v>
      </c>
      <c r="EP55" s="148">
        <f t="shared" ca="1" si="274"/>
        <v>0</v>
      </c>
      <c r="ER55" s="186">
        <f t="shared" si="275"/>
        <v>0</v>
      </c>
      <c r="ES55" s="186">
        <f t="shared" si="275"/>
        <v>0</v>
      </c>
      <c r="ET55" s="174" t="s">
        <v>27</v>
      </c>
      <c r="EU55" s="174" t="s">
        <v>27</v>
      </c>
      <c r="EV55" s="174" t="s">
        <v>27</v>
      </c>
      <c r="EW55" s="186">
        <f t="shared" ca="1" si="276"/>
        <v>0</v>
      </c>
      <c r="EX55" s="186">
        <f t="shared" ca="1" si="276"/>
        <v>0</v>
      </c>
      <c r="EY55" s="186">
        <f t="shared" ca="1" si="276"/>
        <v>0</v>
      </c>
      <c r="EZ55" s="149">
        <f t="shared" ca="1" si="277"/>
        <v>0</v>
      </c>
      <c r="FA55" s="186">
        <f t="shared" ca="1" si="278"/>
        <v>0</v>
      </c>
      <c r="FB55" s="186">
        <f t="shared" ca="1" si="278"/>
        <v>0</v>
      </c>
      <c r="FC55" s="186">
        <f t="shared" ca="1" si="278"/>
        <v>0</v>
      </c>
      <c r="FD55" s="186">
        <f t="shared" ca="1" si="278"/>
        <v>0</v>
      </c>
      <c r="FE55" s="186">
        <f t="shared" ca="1" si="278"/>
        <v>0</v>
      </c>
      <c r="FF55" s="148">
        <f t="shared" ca="1" si="279"/>
        <v>0</v>
      </c>
      <c r="FG55" s="186">
        <f t="shared" ca="1" si="280"/>
        <v>0</v>
      </c>
      <c r="FH55" s="186">
        <f t="shared" ca="1" si="280"/>
        <v>0</v>
      </c>
      <c r="FI55" s="148">
        <f t="shared" ca="1" si="281"/>
        <v>0</v>
      </c>
      <c r="FL55" s="146">
        <f t="shared" ca="1" si="222"/>
        <v>0</v>
      </c>
      <c r="FM55" s="146">
        <f t="shared" ca="1" si="223"/>
        <v>0</v>
      </c>
      <c r="FN55" s="146">
        <f t="shared" ca="1" si="224"/>
        <v>0</v>
      </c>
      <c r="FQ55" s="174" t="str">
        <f t="shared" ca="1" si="225"/>
        <v>na</v>
      </c>
      <c r="FR55" s="174" t="str">
        <f t="shared" ca="1" si="226"/>
        <v>na</v>
      </c>
      <c r="FS55" s="174" t="str">
        <f t="shared" ca="1" si="227"/>
        <v>na</v>
      </c>
    </row>
    <row r="56" spans="2:175">
      <c r="B56" s="149" t="s">
        <v>20</v>
      </c>
      <c r="I56" s="188">
        <f>SUM(I48:I55)</f>
        <v>0</v>
      </c>
      <c r="J56" s="188">
        <f>SUM(J48:J55)</f>
        <v>0</v>
      </c>
      <c r="K56" s="188">
        <f>SUM(K48:K55)</f>
        <v>0</v>
      </c>
      <c r="L56" s="152">
        <f>IFERROR(K56/K$29,0)</f>
        <v>0</v>
      </c>
      <c r="M56" s="188">
        <f>SUM(M48:M55)</f>
        <v>0</v>
      </c>
      <c r="N56" s="152">
        <f>IFERROR(M56/M$29,0)</f>
        <v>0</v>
      </c>
      <c r="P56" s="182"/>
      <c r="Q56" s="182"/>
      <c r="R56" s="188">
        <f>SUM(R48:R55)</f>
        <v>0</v>
      </c>
      <c r="S56" s="188">
        <f>SUM(S48:S55)</f>
        <v>0</v>
      </c>
      <c r="T56" s="151"/>
      <c r="U56" s="151"/>
      <c r="V56" s="151"/>
      <c r="W56" s="151"/>
      <c r="X56" s="188">
        <f ca="1">SUM(X48:X55)</f>
        <v>0</v>
      </c>
      <c r="Y56" s="188">
        <f ca="1">SUM(Y48:Y55)</f>
        <v>0</v>
      </c>
      <c r="Z56" s="188">
        <f ca="1">SUM(Z48:Z55)</f>
        <v>0</v>
      </c>
      <c r="AA56" s="151">
        <f t="shared" ca="1" si="235"/>
        <v>0</v>
      </c>
      <c r="AB56" s="188">
        <f ca="1">SUM(AB48:AB55)</f>
        <v>0</v>
      </c>
      <c r="AC56" s="188">
        <f>SUM(AC48:AC55)</f>
        <v>0</v>
      </c>
      <c r="AD56" s="188">
        <f ca="1">SUM(AD48:AD55)</f>
        <v>0</v>
      </c>
      <c r="AE56" s="188">
        <f>SUM(AE48:AE55)</f>
        <v>0</v>
      </c>
      <c r="AF56" s="188">
        <f ca="1">SUM(AF48:AF55)</f>
        <v>0</v>
      </c>
      <c r="AG56" s="152">
        <f ca="1">IFERROR(AF56/AF$29,0)</f>
        <v>0</v>
      </c>
      <c r="AH56" s="188">
        <f ca="1">SUM(AH48:AH55)</f>
        <v>0</v>
      </c>
      <c r="AI56" s="188">
        <f ca="1">SUM(AI48:AI55)</f>
        <v>0</v>
      </c>
      <c r="AJ56" s="152">
        <f ca="1">IFERROR(AI56/AI$29,0)</f>
        <v>0</v>
      </c>
      <c r="AL56" s="182"/>
      <c r="AM56" s="182"/>
      <c r="AN56" s="188">
        <f>SUM(AN48:AN55)</f>
        <v>0</v>
      </c>
      <c r="AO56" s="188">
        <f>SUM(AO48:AO55)</f>
        <v>0</v>
      </c>
      <c r="AP56" s="151"/>
      <c r="AQ56" s="151"/>
      <c r="AR56" s="151"/>
      <c r="AS56" s="151"/>
      <c r="AT56" s="188">
        <f ca="1">SUM(AT48:AT55)</f>
        <v>0</v>
      </c>
      <c r="AU56" s="188">
        <f ca="1">SUM(AU48:AU55)</f>
        <v>0</v>
      </c>
      <c r="AV56" s="188">
        <f ca="1">SUM(AV48:AV55)</f>
        <v>0</v>
      </c>
      <c r="AW56" s="151">
        <f t="shared" ca="1" si="242"/>
        <v>0</v>
      </c>
      <c r="AX56" s="188">
        <f ca="1">SUM(AX48:AX55)</f>
        <v>0</v>
      </c>
      <c r="AY56" s="188">
        <f ca="1">SUM(AY48:AY55)</f>
        <v>0</v>
      </c>
      <c r="AZ56" s="188">
        <f ca="1">SUM(AZ48:AZ55)</f>
        <v>0</v>
      </c>
      <c r="BA56" s="188">
        <f ca="1">SUM(BA48:BA55)</f>
        <v>0</v>
      </c>
      <c r="BB56" s="188">
        <f ca="1">SUM(BB48:BB55)</f>
        <v>0</v>
      </c>
      <c r="BC56" s="152">
        <f ca="1">IFERROR(BB56/BB$29,0)</f>
        <v>0</v>
      </c>
      <c r="BD56" s="188">
        <f ca="1">SUM(BD48:BD55)</f>
        <v>0</v>
      </c>
      <c r="BE56" s="188">
        <f ca="1">SUM(BE48:BE55)</f>
        <v>0</v>
      </c>
      <c r="BF56" s="152">
        <f ca="1">IFERROR(BE56/BE$29,0)</f>
        <v>0</v>
      </c>
      <c r="BH56" s="182"/>
      <c r="BI56" s="182"/>
      <c r="BJ56" s="188">
        <f>SUM(BJ48:BJ55)</f>
        <v>0</v>
      </c>
      <c r="BK56" s="188">
        <f>SUM(BK48:BK55)</f>
        <v>0</v>
      </c>
      <c r="BL56" s="151"/>
      <c r="BM56" s="151"/>
      <c r="BN56" s="151"/>
      <c r="BO56" s="151"/>
      <c r="BP56" s="188">
        <f ca="1">SUM(BP48:BP55)</f>
        <v>0</v>
      </c>
      <c r="BQ56" s="188">
        <f ca="1">SUM(BQ48:BQ55)</f>
        <v>0</v>
      </c>
      <c r="BR56" s="188">
        <f ca="1">SUM(BR48:BR55)</f>
        <v>0</v>
      </c>
      <c r="BS56" s="151">
        <f t="shared" ca="1" si="249"/>
        <v>0</v>
      </c>
      <c r="BT56" s="188">
        <f ca="1">SUM(BT48:BT55)</f>
        <v>0</v>
      </c>
      <c r="BU56" s="188">
        <f ca="1">SUM(BU48:BU55)</f>
        <v>0</v>
      </c>
      <c r="BV56" s="188">
        <f ca="1">SUM(BV48:BV55)</f>
        <v>0</v>
      </c>
      <c r="BW56" s="188">
        <f ca="1">SUM(BW48:BW55)</f>
        <v>0</v>
      </c>
      <c r="BX56" s="188">
        <f ca="1">SUM(BX48:BX55)</f>
        <v>0</v>
      </c>
      <c r="BY56" s="152">
        <f ca="1">IFERROR(BX56/BX$29,0)</f>
        <v>0</v>
      </c>
      <c r="BZ56" s="188">
        <f ca="1">SUM(BZ48:BZ55)</f>
        <v>0</v>
      </c>
      <c r="CA56" s="188">
        <f ca="1">SUM(CA48:CA55)</f>
        <v>0</v>
      </c>
      <c r="CB56" s="152">
        <f ca="1">IFERROR(CA56/CA$29,0)</f>
        <v>0</v>
      </c>
      <c r="CD56" s="182"/>
      <c r="CE56" s="182"/>
      <c r="CF56" s="188">
        <f>SUM(CF48:CF55)</f>
        <v>0</v>
      </c>
      <c r="CG56" s="188">
        <f>SUM(CG48:CG55)</f>
        <v>0</v>
      </c>
      <c r="CH56" s="151"/>
      <c r="CI56" s="151"/>
      <c r="CJ56" s="151"/>
      <c r="CK56" s="151"/>
      <c r="CL56" s="188">
        <f ca="1">SUM(CL48:CL55)</f>
        <v>0</v>
      </c>
      <c r="CM56" s="188">
        <f ca="1">SUM(CM48:CM55)</f>
        <v>0</v>
      </c>
      <c r="CN56" s="188">
        <f ca="1">SUM(CN48:CN55)</f>
        <v>0</v>
      </c>
      <c r="CO56" s="151">
        <f t="shared" ca="1" si="256"/>
        <v>0</v>
      </c>
      <c r="CP56" s="188">
        <f ca="1">SUM(CP48:CP55)</f>
        <v>0</v>
      </c>
      <c r="CQ56" s="188">
        <f ca="1">SUM(CQ48:CQ55)</f>
        <v>0</v>
      </c>
      <c r="CR56" s="188">
        <f ca="1">SUM(CR48:CR55)</f>
        <v>0</v>
      </c>
      <c r="CS56" s="188">
        <f ca="1">SUM(CS48:CS55)</f>
        <v>0</v>
      </c>
      <c r="CT56" s="188">
        <f ca="1">SUM(CT48:CT55)</f>
        <v>0</v>
      </c>
      <c r="CU56" s="152">
        <f ca="1">IFERROR(CT56/CT$29,0)</f>
        <v>0</v>
      </c>
      <c r="CV56" s="188">
        <f ca="1">SUM(CV48:CV55)</f>
        <v>0</v>
      </c>
      <c r="CW56" s="188">
        <f ca="1">SUM(CW48:CW55)</f>
        <v>0</v>
      </c>
      <c r="CX56" s="152">
        <f ca="1">IFERROR(CW56/CW$29,0)</f>
        <v>0</v>
      </c>
      <c r="CZ56" s="182"/>
      <c r="DA56" s="182"/>
      <c r="DB56" s="188">
        <f>SUM(DB48:DB55)</f>
        <v>0</v>
      </c>
      <c r="DC56" s="188">
        <f>SUM(DC48:DC55)</f>
        <v>0</v>
      </c>
      <c r="DD56" s="151"/>
      <c r="DE56" s="151"/>
      <c r="DF56" s="151"/>
      <c r="DG56" s="151"/>
      <c r="DH56" s="188">
        <f ca="1">SUM(DH48:DH55)</f>
        <v>0</v>
      </c>
      <c r="DI56" s="188">
        <f ca="1">SUM(DI48:DI55)</f>
        <v>0</v>
      </c>
      <c r="DJ56" s="188">
        <f ca="1">SUM(DJ48:DJ55)</f>
        <v>0</v>
      </c>
      <c r="DK56" s="151">
        <f t="shared" ca="1" si="263"/>
        <v>0</v>
      </c>
      <c r="DL56" s="188">
        <f ca="1">SUM(DL48:DL55)</f>
        <v>0</v>
      </c>
      <c r="DM56" s="188">
        <f ca="1">SUM(DM48:DM55)</f>
        <v>0</v>
      </c>
      <c r="DN56" s="188">
        <f ca="1">SUM(DN48:DN55)</f>
        <v>0</v>
      </c>
      <c r="DO56" s="188">
        <f ca="1">SUM(DO48:DO55)</f>
        <v>0</v>
      </c>
      <c r="DP56" s="188">
        <f ca="1">SUM(DP48:DP55)</f>
        <v>0</v>
      </c>
      <c r="DQ56" s="152">
        <f ca="1">IFERROR(DP56/DP$29,0)</f>
        <v>0</v>
      </c>
      <c r="DR56" s="188">
        <f ca="1">SUM(DR48:DR55)</f>
        <v>0</v>
      </c>
      <c r="DS56" s="188">
        <f ca="1">SUM(DS48:DS55)</f>
        <v>0</v>
      </c>
      <c r="DT56" s="152">
        <f ca="1">IFERROR(DS56/DS$29,0)</f>
        <v>0</v>
      </c>
      <c r="DV56" s="182"/>
      <c r="DW56" s="182"/>
      <c r="DX56" s="188">
        <f>SUM(DX48:DX55)</f>
        <v>0</v>
      </c>
      <c r="DY56" s="188">
        <f>SUM(DY48:DY55)</f>
        <v>0</v>
      </c>
      <c r="DZ56" s="151"/>
      <c r="EA56" s="151"/>
      <c r="EB56" s="151"/>
      <c r="EC56" s="151"/>
      <c r="ED56" s="188">
        <f ca="1">SUM(ED48:ED55)</f>
        <v>0</v>
      </c>
      <c r="EE56" s="188">
        <f ca="1">SUM(EE48:EE55)</f>
        <v>0</v>
      </c>
      <c r="EF56" s="188">
        <f ca="1">SUM(EF48:EF55)</f>
        <v>0</v>
      </c>
      <c r="EG56" s="151">
        <f t="shared" ca="1" si="270"/>
        <v>0</v>
      </c>
      <c r="EH56" s="188">
        <f ca="1">SUM(EH48:EH55)</f>
        <v>0</v>
      </c>
      <c r="EI56" s="188">
        <f ca="1">SUM(EI48:EI55)</f>
        <v>0</v>
      </c>
      <c r="EJ56" s="188">
        <f ca="1">SUM(EJ48:EJ55)</f>
        <v>0</v>
      </c>
      <c r="EK56" s="188">
        <f ca="1">SUM(EK48:EK55)</f>
        <v>0</v>
      </c>
      <c r="EL56" s="188">
        <f ca="1">SUM(EL48:EL55)</f>
        <v>0</v>
      </c>
      <c r="EM56" s="152">
        <f ca="1">IFERROR(EL56/EL$29,0)</f>
        <v>0</v>
      </c>
      <c r="EN56" s="188">
        <f ca="1">SUM(EN48:EN55)</f>
        <v>0</v>
      </c>
      <c r="EO56" s="188">
        <f ca="1">SUM(EO48:EO55)</f>
        <v>0</v>
      </c>
      <c r="EP56" s="152">
        <f ca="1">IFERROR(EO56/EO$29,0)</f>
        <v>0</v>
      </c>
      <c r="ER56" s="188">
        <f>SUM(ER48:ER55)</f>
        <v>0</v>
      </c>
      <c r="ES56" s="188">
        <f>SUM(ES48:ES55)</f>
        <v>0</v>
      </c>
      <c r="ET56" s="151"/>
      <c r="EU56" s="151"/>
      <c r="EV56" s="151"/>
      <c r="EW56" s="188">
        <f ca="1">SUM(EW48:EW55)</f>
        <v>0</v>
      </c>
      <c r="EX56" s="188">
        <f ca="1">SUM(EX48:EX55)</f>
        <v>0</v>
      </c>
      <c r="EY56" s="188">
        <f ca="1">SUM(EY48:EY55)</f>
        <v>0</v>
      </c>
      <c r="EZ56" s="151">
        <f t="shared" ca="1" si="277"/>
        <v>0</v>
      </c>
      <c r="FA56" s="188">
        <f ca="1">SUM(FA48:FA55)</f>
        <v>0</v>
      </c>
      <c r="FB56" s="188">
        <f ca="1">SUM(FB48:FB55)</f>
        <v>0</v>
      </c>
      <c r="FC56" s="188">
        <f ca="1">SUM(FC48:FC55)</f>
        <v>0</v>
      </c>
      <c r="FD56" s="188">
        <f ca="1">SUM(FD48:FD55)</f>
        <v>0</v>
      </c>
      <c r="FE56" s="188">
        <f ca="1">SUM(FE48:FE55)</f>
        <v>0</v>
      </c>
      <c r="FF56" s="152">
        <f ca="1">IFERROR(FE56/FE$29,0)</f>
        <v>0</v>
      </c>
      <c r="FG56" s="188">
        <f ca="1">SUM(FG48:FG55)</f>
        <v>0</v>
      </c>
      <c r="FH56" s="188">
        <f ca="1">SUM(FH48:FH55)</f>
        <v>0</v>
      </c>
      <c r="FI56" s="152">
        <f ca="1">IFERROR(FH56/FH$29,0)</f>
        <v>0</v>
      </c>
      <c r="FL56" s="146">
        <f t="shared" ca="1" si="222"/>
        <v>0</v>
      </c>
      <c r="FM56" s="146">
        <f t="shared" ca="1" si="223"/>
        <v>0</v>
      </c>
      <c r="FN56" s="146">
        <f t="shared" ca="1" si="224"/>
        <v>0</v>
      </c>
      <c r="FQ56" s="174" t="str">
        <f t="shared" ca="1" si="225"/>
        <v>na</v>
      </c>
      <c r="FR56" s="174" t="str">
        <f t="shared" ca="1" si="226"/>
        <v>na</v>
      </c>
      <c r="FS56" s="174" t="str">
        <f t="shared" ca="1" si="227"/>
        <v>na</v>
      </c>
    </row>
    <row r="57" spans="2:175">
      <c r="BH57" s="155"/>
      <c r="BI57" s="155"/>
      <c r="CD57" s="155"/>
      <c r="CE57" s="155"/>
      <c r="CZ57" s="155"/>
      <c r="DA57" s="155"/>
      <c r="DV57" s="155"/>
      <c r="DW57" s="155"/>
    </row>
    <row r="58" spans="2:175">
      <c r="BH58" s="155"/>
      <c r="BI58" s="155"/>
      <c r="CD58" s="155"/>
      <c r="CE58" s="155"/>
      <c r="CZ58" s="155"/>
      <c r="DA58" s="155"/>
      <c r="DV58" s="155"/>
      <c r="DW58" s="155"/>
    </row>
    <row r="59" spans="2:175">
      <c r="BH59" s="155"/>
      <c r="BI59" s="155"/>
      <c r="CD59" s="155"/>
      <c r="CE59" s="155"/>
      <c r="CZ59" s="155"/>
      <c r="DA59" s="155"/>
      <c r="DV59" s="155"/>
      <c r="DW59" s="155"/>
    </row>
    <row r="60" spans="2:175">
      <c r="B60" s="176" t="s">
        <v>453</v>
      </c>
      <c r="C60" s="176"/>
      <c r="G60" s="176" t="s">
        <v>452</v>
      </c>
      <c r="H60" s="176"/>
      <c r="I60" s="192" t="s">
        <v>25</v>
      </c>
      <c r="J60" s="193" t="s">
        <v>81</v>
      </c>
      <c r="P60" s="176" t="s">
        <v>452</v>
      </c>
      <c r="R60" s="192" t="s">
        <v>26</v>
      </c>
      <c r="S60" s="193" t="s">
        <v>81</v>
      </c>
      <c r="AL60" s="176" t="s">
        <v>452</v>
      </c>
      <c r="AN60" s="192" t="s">
        <v>33</v>
      </c>
      <c r="AO60" s="193" t="s">
        <v>81</v>
      </c>
      <c r="BH60" s="176" t="s">
        <v>452</v>
      </c>
      <c r="BJ60" s="192" t="s">
        <v>34</v>
      </c>
      <c r="BK60" s="193" t="s">
        <v>81</v>
      </c>
      <c r="CD60" s="176" t="s">
        <v>452</v>
      </c>
      <c r="CF60" s="192" t="s">
        <v>35</v>
      </c>
      <c r="CG60" s="193" t="s">
        <v>81</v>
      </c>
      <c r="CZ60" s="176" t="s">
        <v>452</v>
      </c>
      <c r="DB60" s="192" t="s">
        <v>36</v>
      </c>
      <c r="DC60" s="193" t="s">
        <v>81</v>
      </c>
      <c r="DV60" s="176" t="s">
        <v>452</v>
      </c>
      <c r="DX60" s="192" t="s">
        <v>37</v>
      </c>
      <c r="DY60" s="193" t="s">
        <v>81</v>
      </c>
    </row>
    <row r="61" spans="2:175">
      <c r="B61" s="149" t="s">
        <v>169</v>
      </c>
      <c r="D61" s="192" t="s">
        <v>156</v>
      </c>
      <c r="G61" s="149" t="s">
        <v>40</v>
      </c>
      <c r="H61" s="149"/>
      <c r="I61" s="194">
        <f ca="1">TODAY()</f>
        <v>43820</v>
      </c>
      <c r="J61" s="193" t="s">
        <v>80</v>
      </c>
      <c r="P61" s="149" t="s">
        <v>40</v>
      </c>
      <c r="R61" s="195">
        <f ca="1">EDATE(I61,12)</f>
        <v>44186</v>
      </c>
      <c r="S61" s="193" t="s">
        <v>80</v>
      </c>
      <c r="AL61" s="149" t="s">
        <v>40</v>
      </c>
      <c r="AN61" s="195">
        <f ca="1">EDATE(R61,12)</f>
        <v>44551</v>
      </c>
      <c r="AO61" s="193" t="s">
        <v>80</v>
      </c>
      <c r="BH61" s="149" t="s">
        <v>40</v>
      </c>
      <c r="BJ61" s="195">
        <f ca="1">EDATE(AN61,12)</f>
        <v>44916</v>
      </c>
      <c r="BK61" s="193" t="s">
        <v>80</v>
      </c>
      <c r="CD61" s="149" t="s">
        <v>40</v>
      </c>
      <c r="CF61" s="195">
        <f ca="1">EDATE(BJ61,12)</f>
        <v>45281</v>
      </c>
      <c r="CG61" s="193" t="s">
        <v>80</v>
      </c>
      <c r="CZ61" s="149" t="s">
        <v>40</v>
      </c>
      <c r="DB61" s="195">
        <f ca="1">EDATE(CF61,12)</f>
        <v>45647</v>
      </c>
      <c r="DC61" s="193" t="s">
        <v>80</v>
      </c>
      <c r="DV61" s="149" t="s">
        <v>40</v>
      </c>
      <c r="DX61" s="195">
        <f ca="1">EDATE(DB61,12)</f>
        <v>46012</v>
      </c>
      <c r="DY61" s="193" t="s">
        <v>80</v>
      </c>
    </row>
    <row r="62" spans="2:175">
      <c r="B62" s="149" t="s">
        <v>52</v>
      </c>
      <c r="D62" s="192" t="s">
        <v>38</v>
      </c>
      <c r="G62" s="149" t="str">
        <f>"# of Issued and Outstanding "&amp;'Cap Table'!D62&amp;"s and Options, before round"</f>
        <v># of Issued and Outstanding Shares and Options, before round</v>
      </c>
      <c r="H62" s="149"/>
      <c r="I62" s="155">
        <v>0</v>
      </c>
      <c r="J62" s="193" t="s">
        <v>79</v>
      </c>
      <c r="P62" s="149" t="str">
        <f>"# of Issued and Outstanding "&amp;'Cap Table'!$D$62&amp;"s and Options, before round"</f>
        <v># of Issued and Outstanding Shares and Options, before round</v>
      </c>
      <c r="R62" s="196">
        <f>'Cap Table'!K29</f>
        <v>0</v>
      </c>
      <c r="S62" s="193" t="s">
        <v>79</v>
      </c>
      <c r="AL62" s="149" t="str">
        <f>"# of Issued and Outstanding "&amp;'Cap Table'!$D$62&amp;"s and Options, before round"</f>
        <v># of Issued and Outstanding Shares and Options, before round</v>
      </c>
      <c r="AN62" s="196">
        <f ca="1">'Cap Table'!AF29</f>
        <v>0</v>
      </c>
      <c r="AO62" s="193" t="s">
        <v>79</v>
      </c>
      <c r="BH62" s="149" t="str">
        <f>"# of Issued and Outstanding "&amp;'Cap Table'!$D$62&amp;"s and Options, before round"</f>
        <v># of Issued and Outstanding Shares and Options, before round</v>
      </c>
      <c r="BJ62" s="196">
        <f ca="1">'Cap Table'!BB29</f>
        <v>0</v>
      </c>
      <c r="BK62" s="193" t="s">
        <v>79</v>
      </c>
      <c r="CD62" s="149" t="str">
        <f>"# of Issued and Outstanding "&amp;'Cap Table'!$D$62&amp;"s and Options, before round"</f>
        <v># of Issued and Outstanding Shares and Options, before round</v>
      </c>
      <c r="CF62" s="196">
        <f ca="1">'Cap Table'!BX29</f>
        <v>0</v>
      </c>
      <c r="CG62" s="193" t="s">
        <v>79</v>
      </c>
      <c r="CZ62" s="149" t="str">
        <f>"# of Issued and Outstanding "&amp;'Cap Table'!$D$62&amp;"s and Options, before round"</f>
        <v># of Issued and Outstanding Shares and Options, before round</v>
      </c>
      <c r="DB62" s="196">
        <f ca="1">'Cap Table'!CT29</f>
        <v>0</v>
      </c>
      <c r="DC62" s="193" t="s">
        <v>79</v>
      </c>
      <c r="DV62" s="149" t="str">
        <f>"# of Issued and Outstanding "&amp;'Cap Table'!$D$62&amp;"s and Options, before round"</f>
        <v># of Issued and Outstanding Shares and Options, before round</v>
      </c>
      <c r="DX62" s="196">
        <f ca="1">'Cap Table'!DP29</f>
        <v>0</v>
      </c>
      <c r="DY62" s="193" t="s">
        <v>79</v>
      </c>
    </row>
    <row r="63" spans="2:175">
      <c r="B63" s="133" t="s">
        <v>422</v>
      </c>
      <c r="C63" s="132"/>
      <c r="D63" s="135" t="s">
        <v>421</v>
      </c>
      <c r="E63" s="131" t="s">
        <v>596</v>
      </c>
      <c r="F63" s="134"/>
      <c r="G63" s="149" t="s">
        <v>454</v>
      </c>
      <c r="H63" s="149"/>
      <c r="I63" s="155">
        <v>0</v>
      </c>
      <c r="J63" s="193" t="s">
        <v>83</v>
      </c>
      <c r="P63" s="149" t="s">
        <v>454</v>
      </c>
      <c r="R63" s="149">
        <f>IFERROR(R75/IF(R80="postmoney",M56,R62),0)</f>
        <v>0</v>
      </c>
      <c r="S63" s="193" t="s">
        <v>83</v>
      </c>
      <c r="AL63" s="149" t="s">
        <v>454</v>
      </c>
      <c r="AN63" s="149">
        <f ca="1">IFERROR(AN75/IF(AN80="postmoney",AI56,AN62),0)</f>
        <v>0</v>
      </c>
      <c r="AO63" s="193" t="s">
        <v>83</v>
      </c>
      <c r="BH63" s="149" t="s">
        <v>454</v>
      </c>
      <c r="BJ63" s="149">
        <f ca="1">IFERROR(BJ75/IF(BJ80="postmoney",BE56,BJ62),0)</f>
        <v>0</v>
      </c>
      <c r="BK63" s="193" t="s">
        <v>83</v>
      </c>
      <c r="CD63" s="149" t="s">
        <v>454</v>
      </c>
      <c r="CF63" s="149">
        <f ca="1">IFERROR(CF75/IF(CF80="postmoney",CA56,CF62),0)</f>
        <v>0</v>
      </c>
      <c r="CG63" s="193" t="s">
        <v>83</v>
      </c>
      <c r="CZ63" s="149" t="s">
        <v>454</v>
      </c>
      <c r="DB63" s="149">
        <f ca="1">IFERROR(DB75/IF(DB80="postmoney",CW56,DB62),0)</f>
        <v>0</v>
      </c>
      <c r="DC63" s="193" t="s">
        <v>83</v>
      </c>
      <c r="DV63" s="149" t="s">
        <v>454</v>
      </c>
      <c r="DX63" s="149">
        <f ca="1">IFERROR(DX75/IF(DX80="postmoney",DS56,DX62),0)</f>
        <v>0</v>
      </c>
      <c r="DY63" s="193" t="s">
        <v>83</v>
      </c>
    </row>
    <row r="64" spans="2:175">
      <c r="G64" s="149"/>
      <c r="H64" s="149"/>
      <c r="J64" s="193"/>
      <c r="P64" s="149"/>
      <c r="S64" s="193"/>
      <c r="AL64" s="149"/>
      <c r="AO64" s="193"/>
      <c r="BK64" s="193"/>
      <c r="CG64" s="193"/>
      <c r="DC64" s="193"/>
      <c r="DY64" s="193"/>
    </row>
    <row r="65" spans="7:129">
      <c r="G65" s="189" t="s">
        <v>455</v>
      </c>
      <c r="H65" s="189"/>
      <c r="J65" s="193"/>
      <c r="P65" s="189" t="s">
        <v>455</v>
      </c>
      <c r="S65" s="193"/>
      <c r="AL65" s="189" t="s">
        <v>455</v>
      </c>
      <c r="AO65" s="193"/>
      <c r="BH65" s="189" t="s">
        <v>455</v>
      </c>
      <c r="BK65" s="193"/>
      <c r="CD65" s="189" t="s">
        <v>455</v>
      </c>
      <c r="CG65" s="193"/>
      <c r="CZ65" s="189" t="s">
        <v>455</v>
      </c>
      <c r="DC65" s="193"/>
      <c r="DV65" s="189" t="s">
        <v>455</v>
      </c>
      <c r="DY65" s="193"/>
    </row>
    <row r="66" spans="7:129">
      <c r="G66" s="149" t="str">
        <f>'Cap Table'!$D$61&amp;" Total Invested"</f>
        <v>$ Total Invested</v>
      </c>
      <c r="H66" s="149"/>
      <c r="I66" s="187" t="s">
        <v>27</v>
      </c>
      <c r="J66" s="193" t="s">
        <v>87</v>
      </c>
      <c r="P66" s="149" t="str">
        <f>'Cap Table'!$D$61&amp;" Total Invested"</f>
        <v>$ Total Invested</v>
      </c>
      <c r="R66" s="146">
        <f>'Cap Table'!R29</f>
        <v>0</v>
      </c>
      <c r="S66" s="193" t="s">
        <v>87</v>
      </c>
      <c r="AL66" s="149" t="str">
        <f>'Cap Table'!$D$61&amp;" Total Invested"</f>
        <v>$ Total Invested</v>
      </c>
      <c r="AN66" s="146">
        <f>'Cap Table'!AN29</f>
        <v>0</v>
      </c>
      <c r="AO66" s="193" t="s">
        <v>87</v>
      </c>
      <c r="BH66" s="149" t="str">
        <f>'Cap Table'!$D$61&amp;" Total Invested"</f>
        <v>$ Total Invested</v>
      </c>
      <c r="BJ66" s="146">
        <f>'Cap Table'!BJ29</f>
        <v>0</v>
      </c>
      <c r="BK66" s="193" t="s">
        <v>87</v>
      </c>
      <c r="CD66" s="149" t="str">
        <f>'Cap Table'!$D$61&amp;" Total Invested"</f>
        <v>$ Total Invested</v>
      </c>
      <c r="CF66" s="146">
        <f>'Cap Table'!CF29</f>
        <v>0</v>
      </c>
      <c r="CG66" s="193" t="s">
        <v>87</v>
      </c>
      <c r="CZ66" s="149" t="str">
        <f>'Cap Table'!$D$61&amp;" Total Invested"</f>
        <v>$ Total Invested</v>
      </c>
      <c r="DB66" s="146">
        <f>'Cap Table'!DB29</f>
        <v>0</v>
      </c>
      <c r="DC66" s="193" t="s">
        <v>87</v>
      </c>
      <c r="DV66" s="149" t="str">
        <f>'Cap Table'!$D$61&amp;" Total Invested"</f>
        <v>$ Total Invested</v>
      </c>
      <c r="DX66" s="146">
        <f>'Cap Table'!DX29</f>
        <v>0</v>
      </c>
      <c r="DY66" s="193" t="s">
        <v>87</v>
      </c>
    </row>
    <row r="67" spans="7:129">
      <c r="G67" s="149" t="str">
        <f>'Cap Table'!$D$61&amp;" Total Converted"</f>
        <v>$ Total Converted</v>
      </c>
      <c r="H67" s="149"/>
      <c r="I67" s="187" t="s">
        <v>27</v>
      </c>
      <c r="J67" s="193" t="s">
        <v>456</v>
      </c>
      <c r="P67" s="149" t="str">
        <f>'Cap Table'!$D$61&amp;" Total Converted"</f>
        <v>$ Total Converted</v>
      </c>
      <c r="R67" s="146">
        <f ca="1">R68-'Cap Table'!S29</f>
        <v>0</v>
      </c>
      <c r="S67" s="193" t="s">
        <v>456</v>
      </c>
      <c r="AL67" s="149" t="str">
        <f>'Cap Table'!$D$61&amp;" Total Converted"</f>
        <v>$ Total Converted</v>
      </c>
      <c r="AN67" s="146">
        <f ca="1">AN68-'Cap Table'!AO29</f>
        <v>0</v>
      </c>
      <c r="AO67" s="193" t="s">
        <v>456</v>
      </c>
      <c r="BH67" s="149" t="str">
        <f>'Cap Table'!$D$61&amp;" Total Converted"</f>
        <v>$ Total Converted</v>
      </c>
      <c r="BJ67" s="146">
        <f ca="1">BJ68-'Cap Table'!BP29</f>
        <v>0</v>
      </c>
      <c r="BK67" s="193" t="s">
        <v>456</v>
      </c>
      <c r="CD67" s="149" t="str">
        <f>'Cap Table'!$D$61&amp;" Total Converted"</f>
        <v>$ Total Converted</v>
      </c>
      <c r="CF67" s="146">
        <f ca="1">CF68-'Cap Table'!CG29</f>
        <v>0</v>
      </c>
      <c r="CG67" s="193" t="s">
        <v>456</v>
      </c>
      <c r="CZ67" s="149" t="str">
        <f>'Cap Table'!$D$61&amp;" Total Converted"</f>
        <v>$ Total Converted</v>
      </c>
      <c r="DB67" s="146">
        <f ca="1">DB68-'Cap Table'!DC29</f>
        <v>0</v>
      </c>
      <c r="DC67" s="193" t="s">
        <v>456</v>
      </c>
      <c r="DV67" s="149" t="str">
        <f>'Cap Table'!$D$61&amp;" Total Converted"</f>
        <v>$ Total Converted</v>
      </c>
      <c r="DX67" s="146">
        <f ca="1">DX68-'Cap Table'!DY29</f>
        <v>0</v>
      </c>
      <c r="DY67" s="193" t="s">
        <v>456</v>
      </c>
    </row>
    <row r="68" spans="7:129">
      <c r="G68" s="149" t="str">
        <f>'Cap Table'!$D$61&amp;" Total Invested and Converted"</f>
        <v>$ Total Invested and Converted</v>
      </c>
      <c r="H68" s="149"/>
      <c r="I68" s="187" t="s">
        <v>27</v>
      </c>
      <c r="J68" s="193" t="s">
        <v>457</v>
      </c>
      <c r="P68" s="149" t="str">
        <f>'Cap Table'!$D$61&amp;" Total Invested and Converted"</f>
        <v>$ Total Invested and Converted</v>
      </c>
      <c r="R68" s="146">
        <f ca="1">'Cap Table'!X29</f>
        <v>0</v>
      </c>
      <c r="S68" s="193" t="s">
        <v>457</v>
      </c>
      <c r="AL68" s="149" t="str">
        <f>'Cap Table'!$D$61&amp;" Total Invested and Converted"</f>
        <v>$ Total Invested and Converted</v>
      </c>
      <c r="AN68" s="146">
        <f ca="1">'Cap Table'!AT29</f>
        <v>0</v>
      </c>
      <c r="AO68" s="193" t="s">
        <v>457</v>
      </c>
      <c r="BH68" s="149" t="str">
        <f>'Cap Table'!$D$61&amp;" Total Invested and Converted"</f>
        <v>$ Total Invested and Converted</v>
      </c>
      <c r="BJ68" s="146">
        <f ca="1">'Cap Table'!BP29</f>
        <v>0</v>
      </c>
      <c r="BK68" s="193" t="s">
        <v>457</v>
      </c>
      <c r="CD68" s="149" t="str">
        <f>'Cap Table'!$D$61&amp;" Total Invested and Converted"</f>
        <v>$ Total Invested and Converted</v>
      </c>
      <c r="CF68" s="146">
        <f ca="1">'Cap Table'!CL29</f>
        <v>0</v>
      </c>
      <c r="CG68" s="193" t="s">
        <v>457</v>
      </c>
      <c r="CZ68" s="149" t="str">
        <f>'Cap Table'!$D$61&amp;" Total Invested and Converted"</f>
        <v>$ Total Invested and Converted</v>
      </c>
      <c r="DB68" s="146">
        <f ca="1">'Cap Table'!DH29</f>
        <v>0</v>
      </c>
      <c r="DC68" s="193" t="s">
        <v>457</v>
      </c>
      <c r="DV68" s="149" t="str">
        <f>'Cap Table'!$D$61&amp;" Total Invested and Converted"</f>
        <v>$ Total Invested and Converted</v>
      </c>
      <c r="DX68" s="146">
        <f ca="1">'Cap Table'!ED29</f>
        <v>0</v>
      </c>
      <c r="DY68" s="193" t="s">
        <v>457</v>
      </c>
    </row>
    <row r="69" spans="7:129">
      <c r="G69" s="149" t="str">
        <f>'Cap Table'!$D$61&amp;" Value of Converted, after adjusted share price for conversion"</f>
        <v>$ Value of Converted, after adjusted share price for conversion</v>
      </c>
      <c r="H69" s="149"/>
      <c r="I69" s="187" t="s">
        <v>27</v>
      </c>
      <c r="J69" s="193" t="s">
        <v>146</v>
      </c>
      <c r="P69" s="149" t="str">
        <f>'Cap Table'!$D$61&amp;" Value of Converted, after adjusted share price for conversion"</f>
        <v>$ Value of Converted, after adjusted share price for conversion</v>
      </c>
      <c r="R69" s="146">
        <f ca="1">'Cap Table'!Y29</f>
        <v>0</v>
      </c>
      <c r="S69" s="193" t="s">
        <v>146</v>
      </c>
      <c r="AL69" s="149" t="str">
        <f>'Cap Table'!$D$61&amp;" Value of Converted, after adjusted share price for conversion"</f>
        <v>$ Value of Converted, after adjusted share price for conversion</v>
      </c>
      <c r="AN69" s="146">
        <f ca="1">'Cap Table'!AU29</f>
        <v>0</v>
      </c>
      <c r="AO69" s="193" t="s">
        <v>146</v>
      </c>
      <c r="BH69" s="149" t="str">
        <f>'Cap Table'!$D$61&amp;" Value of Converted, after adjusted share price for conversion"</f>
        <v>$ Value of Converted, after adjusted share price for conversion</v>
      </c>
      <c r="BJ69" s="146">
        <f ca="1">'Cap Table'!BQ29</f>
        <v>0</v>
      </c>
      <c r="BK69" s="193" t="s">
        <v>146</v>
      </c>
      <c r="CD69" s="149" t="str">
        <f>'Cap Table'!$D$61&amp;" Value of Converted, after adjusted share price for conversion"</f>
        <v>$ Value of Converted, after adjusted share price for conversion</v>
      </c>
      <c r="CF69" s="146">
        <f ca="1">'Cap Table'!CM29</f>
        <v>0</v>
      </c>
      <c r="CG69" s="193" t="s">
        <v>146</v>
      </c>
      <c r="CZ69" s="149" t="str">
        <f>'Cap Table'!$D$61&amp;" Value of Converted, after adjusted share price for conversion"</f>
        <v>$ Value of Converted, after adjusted share price for conversion</v>
      </c>
      <c r="DB69" s="146">
        <f ca="1">'Cap Table'!DI29</f>
        <v>0</v>
      </c>
      <c r="DC69" s="193" t="s">
        <v>146</v>
      </c>
      <c r="DV69" s="149" t="str">
        <f>'Cap Table'!$D$61&amp;" Value of Converted, after adjusted share price for conversion"</f>
        <v>$ Value of Converted, after adjusted share price for conversion</v>
      </c>
      <c r="DX69" s="146">
        <f ca="1">'Cap Table'!EE29</f>
        <v>0</v>
      </c>
      <c r="DY69" s="193" t="s">
        <v>146</v>
      </c>
    </row>
    <row r="70" spans="7:129">
      <c r="G70" s="149" t="str">
        <f>'Cap Table'!$D$61&amp;" Value of Options Created"</f>
        <v>$ Value of Options Created</v>
      </c>
      <c r="H70" s="149"/>
      <c r="I70" s="187" t="s">
        <v>27</v>
      </c>
      <c r="J70" s="193" t="s">
        <v>151</v>
      </c>
      <c r="P70" s="149" t="str">
        <f>'Cap Table'!$D$61&amp;" Value of Options Created"</f>
        <v>$ Value of Options Created</v>
      </c>
      <c r="R70" s="146">
        <f>(R86+R87)*R63</f>
        <v>0</v>
      </c>
      <c r="S70" s="193" t="s">
        <v>151</v>
      </c>
      <c r="AL70" s="149" t="str">
        <f>'Cap Table'!$D$61&amp;" Value of Options Created"</f>
        <v>$ Value of Options Created</v>
      </c>
      <c r="AN70" s="146">
        <f ca="1">(AN86+AN87)*AN63</f>
        <v>0</v>
      </c>
      <c r="AO70" s="193" t="s">
        <v>151</v>
      </c>
      <c r="BH70" s="149" t="str">
        <f>'Cap Table'!$D$61&amp;" Value of Options Created"</f>
        <v>$ Value of Options Created</v>
      </c>
      <c r="BJ70" s="146">
        <f ca="1">(BJ86+BJ87)*BJ63</f>
        <v>0</v>
      </c>
      <c r="BK70" s="193" t="s">
        <v>151</v>
      </c>
      <c r="CD70" s="149" t="str">
        <f>'Cap Table'!$D$61&amp;" Value of Options Created"</f>
        <v>$ Value of Options Created</v>
      </c>
      <c r="CF70" s="146">
        <f ca="1">(CF86+CF87)*CF63</f>
        <v>0</v>
      </c>
      <c r="CG70" s="193" t="s">
        <v>151</v>
      </c>
      <c r="CZ70" s="149" t="str">
        <f>'Cap Table'!$D$61&amp;" Value of Options Created"</f>
        <v>$ Value of Options Created</v>
      </c>
      <c r="DB70" s="146">
        <f ca="1">(DB86+DB87)*DB63</f>
        <v>0</v>
      </c>
      <c r="DC70" s="193" t="s">
        <v>151</v>
      </c>
      <c r="DV70" s="149" t="str">
        <f>'Cap Table'!$D$61&amp;" Value of Options Created"</f>
        <v>$ Value of Options Created</v>
      </c>
      <c r="DX70" s="146">
        <f ca="1">(DX86+DX87)*DX63</f>
        <v>0</v>
      </c>
      <c r="DY70" s="193" t="s">
        <v>151</v>
      </c>
    </row>
    <row r="71" spans="7:129">
      <c r="G71" s="149"/>
      <c r="H71" s="149"/>
      <c r="J71" s="193"/>
      <c r="P71" s="149"/>
      <c r="R71" s="146"/>
      <c r="S71" s="193"/>
      <c r="AL71" s="149"/>
      <c r="AN71" s="146"/>
      <c r="AO71" s="193"/>
      <c r="BJ71" s="146"/>
      <c r="BK71" s="193"/>
      <c r="CF71" s="146"/>
      <c r="CG71" s="193"/>
      <c r="DB71" s="146"/>
      <c r="DC71" s="193"/>
      <c r="DX71" s="146"/>
      <c r="DY71" s="193"/>
    </row>
    <row r="72" spans="7:129">
      <c r="G72" s="189" t="s">
        <v>458</v>
      </c>
      <c r="H72" s="189"/>
      <c r="J72" s="193"/>
      <c r="P72" s="189" t="s">
        <v>458</v>
      </c>
      <c r="R72" s="146"/>
      <c r="S72" s="193"/>
      <c r="AL72" s="189" t="s">
        <v>458</v>
      </c>
      <c r="AN72" s="146"/>
      <c r="AO72" s="193"/>
      <c r="BH72" s="189" t="s">
        <v>458</v>
      </c>
      <c r="BJ72" s="146"/>
      <c r="BK72" s="193"/>
      <c r="CD72" s="189" t="s">
        <v>458</v>
      </c>
      <c r="CF72" s="146"/>
      <c r="CG72" s="193"/>
      <c r="CZ72" s="189" t="s">
        <v>458</v>
      </c>
      <c r="DB72" s="146"/>
      <c r="DC72" s="193"/>
      <c r="DV72" s="189" t="s">
        <v>458</v>
      </c>
      <c r="DX72" s="146"/>
      <c r="DY72" s="193"/>
    </row>
    <row r="73" spans="7:129">
      <c r="G73" s="149" t="str">
        <f>'Cap Table'!$D$61&amp;" Premoney Valuation"</f>
        <v>$ Premoney Valuation</v>
      </c>
      <c r="H73" s="149"/>
      <c r="I73" s="187" t="s">
        <v>27</v>
      </c>
      <c r="J73" s="193" t="s">
        <v>459</v>
      </c>
      <c r="P73" s="149" t="str">
        <f>'Cap Table'!$D$61&amp;" Premoney Valuation"</f>
        <v>$ Premoney Valuation</v>
      </c>
      <c r="R73" s="197">
        <v>0</v>
      </c>
      <c r="S73" s="193" t="s">
        <v>459</v>
      </c>
      <c r="AL73" s="149" t="str">
        <f>'Cap Table'!$D$61&amp;" Premoney Valuation"</f>
        <v>$ Premoney Valuation</v>
      </c>
      <c r="AN73" s="197">
        <v>12000000</v>
      </c>
      <c r="AO73" s="193" t="s">
        <v>459</v>
      </c>
      <c r="BH73" s="149" t="str">
        <f>'Cap Table'!$D$61&amp;" Premoney Valuation"</f>
        <v>$ Premoney Valuation</v>
      </c>
      <c r="BJ73" s="197">
        <v>0</v>
      </c>
      <c r="BK73" s="193" t="s">
        <v>459</v>
      </c>
      <c r="CD73" s="149" t="str">
        <f>'Cap Table'!$D$61&amp;" Premoney Valuation"</f>
        <v>$ Premoney Valuation</v>
      </c>
      <c r="CF73" s="197">
        <f>CF66*5</f>
        <v>0</v>
      </c>
      <c r="CG73" s="193" t="s">
        <v>459</v>
      </c>
      <c r="CZ73" s="149" t="str">
        <f>'Cap Table'!$D$61&amp;" Premoney Valuation"</f>
        <v>$ Premoney Valuation</v>
      </c>
      <c r="DB73" s="197">
        <f>DB66*5</f>
        <v>0</v>
      </c>
      <c r="DC73" s="193" t="s">
        <v>459</v>
      </c>
      <c r="DV73" s="149" t="str">
        <f>'Cap Table'!$D$61&amp;" Premoney Valuation"</f>
        <v>$ Premoney Valuation</v>
      </c>
      <c r="DX73" s="197">
        <f>DX66*5</f>
        <v>0</v>
      </c>
      <c r="DY73" s="193" t="s">
        <v>459</v>
      </c>
    </row>
    <row r="74" spans="7:129">
      <c r="G74" s="149" t="str">
        <f>'Cap Table'!$D$61&amp;" Postmoney Valuation"</f>
        <v>$ Postmoney Valuation</v>
      </c>
      <c r="H74" s="149"/>
      <c r="I74" s="187" t="s">
        <v>27</v>
      </c>
      <c r="J74" s="193" t="s">
        <v>460</v>
      </c>
      <c r="P74" s="149" t="str">
        <f>'Cap Table'!$D$61&amp;" Postmoney Valuation"</f>
        <v>$ Postmoney Valuation</v>
      </c>
      <c r="R74" s="198">
        <f>R73+SUMPRODUCT('Cap Table'!R6:R28,--('Cap Table'!Q6:Q28='Cap Table'!$B39))</f>
        <v>0</v>
      </c>
      <c r="S74" s="193" t="s">
        <v>460</v>
      </c>
      <c r="AL74" s="149" t="str">
        <f>'Cap Table'!$D$61&amp;" Postmoney Valuation"</f>
        <v>$ Postmoney Valuation</v>
      </c>
      <c r="AN74" s="198">
        <f>AN73+SUMPRODUCT('Cap Table'!AN6:AN28,--('Cap Table'!AM6:AM28='Cap Table'!$B39))</f>
        <v>12000000</v>
      </c>
      <c r="AO74" s="193" t="s">
        <v>460</v>
      </c>
      <c r="BH74" s="149" t="str">
        <f>'Cap Table'!$D$61&amp;" Postmoney Valuation"</f>
        <v>$ Postmoney Valuation</v>
      </c>
      <c r="BJ74" s="198">
        <f>BJ73+SUMPRODUCT('Cap Table'!BJ6:BJ28,--('Cap Table'!BI6:BI28='Cap Table'!$B39))</f>
        <v>0</v>
      </c>
      <c r="BK74" s="193" t="s">
        <v>460</v>
      </c>
      <c r="CD74" s="149" t="str">
        <f>'Cap Table'!$D$61&amp;" Postmoney Valuation"</f>
        <v>$ Postmoney Valuation</v>
      </c>
      <c r="CF74" s="198">
        <f>CF73+SUMPRODUCT('Cap Table'!CF6:CF28,--('Cap Table'!CE6:CE28='Cap Table'!$B39))</f>
        <v>0</v>
      </c>
      <c r="CG74" s="193" t="s">
        <v>460</v>
      </c>
      <c r="CZ74" s="149" t="str">
        <f>'Cap Table'!$D$61&amp;" Postmoney Valuation"</f>
        <v>$ Postmoney Valuation</v>
      </c>
      <c r="DB74" s="198">
        <f>DB73+SUMPRODUCT('Cap Table'!DB6:DB28,--('Cap Table'!DA6:DA28='Cap Table'!$B39))</f>
        <v>0</v>
      </c>
      <c r="DC74" s="193" t="s">
        <v>460</v>
      </c>
      <c r="DV74" s="149" t="str">
        <f>'Cap Table'!$D$61&amp;" Postmoney Valuation"</f>
        <v>$ Postmoney Valuation</v>
      </c>
      <c r="DX74" s="198">
        <f>DX73+SUMPRODUCT('Cap Table'!DX6:DX28,--('Cap Table'!DW6:DW28='Cap Table'!$B39))</f>
        <v>0</v>
      </c>
      <c r="DY74" s="193" t="s">
        <v>460</v>
      </c>
    </row>
    <row r="75" spans="7:129">
      <c r="G75" s="149" t="str">
        <f>'Cap Table'!$D$61&amp;" Effective Premoney Valuation"</f>
        <v>$ Effective Premoney Valuation</v>
      </c>
      <c r="H75" s="149"/>
      <c r="I75" s="187" t="s">
        <v>27</v>
      </c>
      <c r="J75" s="193" t="s">
        <v>461</v>
      </c>
      <c r="P75" s="149" t="str">
        <f>'Cap Table'!$D$61&amp;" Effective Premoney Valuation"</f>
        <v>$ Effective Premoney Valuation</v>
      </c>
      <c r="R75" s="146">
        <f>IF(R80="premoney",R73-R74*R84,IF(R80="dollars invested",R73+R68-R69-R74*R84,IF(R80="percentage ownership",R74-R66-R69-R74*R84,R73)))</f>
        <v>0</v>
      </c>
      <c r="S75" s="193" t="s">
        <v>461</v>
      </c>
      <c r="AL75" s="149" t="str">
        <f>'Cap Table'!$D$61&amp;" Effective Premoney Valuation"</f>
        <v>$ Effective Premoney Valuation</v>
      </c>
      <c r="AN75" s="146">
        <f>IF(AN80="premoney",AN73-AN74*AN84,IF(AN80="dollars invested",AN73+AN68-AN69-AN74*AN84,IF(AN80="percentage ownership",AN74-AN66-AN69-AN74*AN84,AN73)))</f>
        <v>12000000</v>
      </c>
      <c r="AO75" s="193" t="s">
        <v>461</v>
      </c>
      <c r="BH75" s="149" t="str">
        <f>'Cap Table'!$D$61&amp;" Effective Premoney Valuation"</f>
        <v>$ Effective Premoney Valuation</v>
      </c>
      <c r="BJ75" s="146">
        <f>IF(BJ80="premoney",BJ73-BJ74*BJ84,IF(BJ80="dollars invested",BJ73+BJ68-BJ69-BJ74*BJ84,IF(BJ80="percentage ownership",BJ74-BJ66-BJ69-BJ74*BJ84,BJ73)))</f>
        <v>0</v>
      </c>
      <c r="BK75" s="193" t="s">
        <v>461</v>
      </c>
      <c r="CD75" s="149" t="str">
        <f>'Cap Table'!$D$61&amp;" Effective Premoney Valuation"</f>
        <v>$ Effective Premoney Valuation</v>
      </c>
      <c r="CF75" s="146">
        <f>IF(CF80="premoney",CF73-CF74*CF84,IF(CF80="dollars invested",CF73+CF68-CF69-CF74*CF84,IF(CF80="percentage ownership",CF74-CF66-CF69-CF74*CF84,CF73)))</f>
        <v>0</v>
      </c>
      <c r="CG75" s="193" t="s">
        <v>461</v>
      </c>
      <c r="CZ75" s="149" t="str">
        <f>'Cap Table'!$D$61&amp;" Effective Premoney Valuation"</f>
        <v>$ Effective Premoney Valuation</v>
      </c>
      <c r="DB75" s="146">
        <f>IF(DB80="premoney",DB73-DB74*DB84,IF(DB80="dollars invested",DB73+DB68-DB69-DB74*DB84,IF(DB80="percentage ownership",DB74-DB66-DB69-DB74*DB84,DB73)))</f>
        <v>0</v>
      </c>
      <c r="DC75" s="193" t="s">
        <v>461</v>
      </c>
      <c r="DV75" s="149" t="str">
        <f>'Cap Table'!$D$61&amp;" Effective Premoney Valuation"</f>
        <v>$ Effective Premoney Valuation</v>
      </c>
      <c r="DX75" s="146">
        <f>IF(DX80="premoney",DX73-DX74*DX84,IF(DX80="dollars invested",DX73+DX68-DX69-DX74*DX84,IF(DX80="percentage ownership",DX74-DX66-DX69-DX74*DX84,DX73)))</f>
        <v>0</v>
      </c>
      <c r="DY75" s="193" t="s">
        <v>461</v>
      </c>
    </row>
    <row r="76" spans="7:129">
      <c r="G76" s="149" t="str">
        <f>'Cap Table'!$D$61&amp;" Effective Postmoney Valuation"</f>
        <v>$ Effective Postmoney Valuation</v>
      </c>
      <c r="H76" s="149"/>
      <c r="I76" s="187" t="s">
        <v>27</v>
      </c>
      <c r="J76" s="193" t="s">
        <v>462</v>
      </c>
      <c r="P76" s="149" t="str">
        <f>'Cap Table'!$D$61&amp;" Effective Postmoney Valuation"</f>
        <v>$ Effective Postmoney Valuation</v>
      </c>
      <c r="R76" s="146">
        <f ca="1">R75+SUMPRODUCT('Cap Table'!R6:R28,--('Cap Table'!Q6:Q28='Cap Table'!$B39))+R69+R70</f>
        <v>0</v>
      </c>
      <c r="S76" s="193" t="s">
        <v>462</v>
      </c>
      <c r="AL76" s="149" t="str">
        <f>'Cap Table'!$D$61&amp;" Effective Postmoney Valuation"</f>
        <v>$ Effective Postmoney Valuation</v>
      </c>
      <c r="AN76" s="146">
        <f ca="1">AN75+SUMPRODUCT('Cap Table'!AN6:AN28,--('Cap Table'!AM6:AM28='Cap Table'!$B39))+IF(AN80&lt;&gt;"postmoney",AN69,0)+AN70</f>
        <v>12000000</v>
      </c>
      <c r="AO76" s="193" t="s">
        <v>462</v>
      </c>
      <c r="BH76" s="149" t="str">
        <f>'Cap Table'!$D$61&amp;" Effective Postmoney Valuation"</f>
        <v>$ Effective Postmoney Valuation</v>
      </c>
      <c r="BJ76" s="146">
        <f ca="1">BJ75+SUMPRODUCT('Cap Table'!BJ6:BJ28,--('Cap Table'!BI6:BI28='Cap Table'!$B39))+IF(BJ80&lt;&gt;"postmoney",BJ69,0)+BJ70</f>
        <v>0</v>
      </c>
      <c r="BK76" s="193" t="s">
        <v>462</v>
      </c>
      <c r="CD76" s="149" t="str">
        <f>'Cap Table'!$D$61&amp;" Effective Postmoney Valuation"</f>
        <v>$ Effective Postmoney Valuation</v>
      </c>
      <c r="CF76" s="146">
        <f ca="1">CF75+SUMPRODUCT('Cap Table'!CF6:CF28,--('Cap Table'!CE6:CE28='Cap Table'!$B39))+IF(CF80&lt;&gt;"postmoney",CF69,0)+CF70</f>
        <v>0</v>
      </c>
      <c r="CG76" s="193" t="s">
        <v>462</v>
      </c>
      <c r="CZ76" s="149" t="str">
        <f>'Cap Table'!$D$61&amp;" Effective Postmoney Valuation"</f>
        <v>$ Effective Postmoney Valuation</v>
      </c>
      <c r="DB76" s="146">
        <f ca="1">DB75+SUMPRODUCT('Cap Table'!DB6:DB28,--('Cap Table'!DA6:DA28='Cap Table'!$B39))+IF(DB80&lt;&gt;"postmoney",DB69,0)+DB70</f>
        <v>0</v>
      </c>
      <c r="DC76" s="193" t="s">
        <v>462</v>
      </c>
      <c r="DV76" s="149" t="str">
        <f>'Cap Table'!$D$61&amp;" Effective Postmoney Valuation"</f>
        <v>$ Effective Postmoney Valuation</v>
      </c>
      <c r="DX76" s="146">
        <f ca="1">DX75+SUMPRODUCT('Cap Table'!DX6:DX28,--('Cap Table'!DW6:DW28='Cap Table'!$B39))+IF(DX80&lt;&gt;"postmoney",DX69,0)+DX70</f>
        <v>0</v>
      </c>
      <c r="DY76" s="193" t="s">
        <v>462</v>
      </c>
    </row>
    <row r="77" spans="7:129">
      <c r="G77" s="149" t="str">
        <f>'Cap Table'!$D$61&amp;" Blended Price per "&amp;'Cap Table'!$D$62&amp;" in Round"</f>
        <v>$ Blended Price per Share in Round</v>
      </c>
      <c r="H77" s="149"/>
      <c r="I77" s="187" t="s">
        <v>27</v>
      </c>
      <c r="J77" s="193" t="s">
        <v>463</v>
      </c>
      <c r="P77" s="149" t="str">
        <f>'Cap Table'!$D$61&amp;" Blended Price per "&amp;'Cap Table'!$D$62&amp;" in Round"</f>
        <v>$ Blended Price per Share in Round</v>
      </c>
      <c r="R77" s="199">
        <f ca="1">'Cap Table'!AA29</f>
        <v>0</v>
      </c>
      <c r="S77" s="193" t="s">
        <v>463</v>
      </c>
      <c r="AL77" s="149" t="str">
        <f>'Cap Table'!$D$61&amp;" Blended Price per "&amp;'Cap Table'!$D$62&amp;" in Round"</f>
        <v>$ Blended Price per Share in Round</v>
      </c>
      <c r="AN77" s="199">
        <f ca="1">'Cap Table'!AW29</f>
        <v>0</v>
      </c>
      <c r="AO77" s="193" t="s">
        <v>463</v>
      </c>
      <c r="BH77" s="149" t="str">
        <f>'Cap Table'!$D$61&amp;" Blended Price per "&amp;'Cap Table'!$D$62&amp;" in Round"</f>
        <v>$ Blended Price per Share in Round</v>
      </c>
      <c r="BJ77" s="199">
        <f ca="1">'Cap Table'!BS29</f>
        <v>0</v>
      </c>
      <c r="BK77" s="193" t="s">
        <v>463</v>
      </c>
      <c r="CD77" s="149" t="str">
        <f>'Cap Table'!$D$61&amp;" Blended Price per "&amp;'Cap Table'!$D$62&amp;" in Round"</f>
        <v>$ Blended Price per Share in Round</v>
      </c>
      <c r="CF77" s="199">
        <f ca="1">'Cap Table'!CO29</f>
        <v>0</v>
      </c>
      <c r="CG77" s="193" t="s">
        <v>463</v>
      </c>
      <c r="CZ77" s="149" t="str">
        <f>'Cap Table'!$D$61&amp;" Blended Price per "&amp;'Cap Table'!$D$62&amp;" in Round"</f>
        <v>$ Blended Price per Share in Round</v>
      </c>
      <c r="DB77" s="199">
        <f ca="1">'Cap Table'!DK29</f>
        <v>0</v>
      </c>
      <c r="DC77" s="193" t="s">
        <v>463</v>
      </c>
      <c r="DV77" s="149" t="str">
        <f>'Cap Table'!$D$61&amp;" Blended Price per "&amp;'Cap Table'!$D$62&amp;" in Round"</f>
        <v>$ Blended Price per Share in Round</v>
      </c>
      <c r="DX77" s="199">
        <f ca="1">'Cap Table'!EG29</f>
        <v>0</v>
      </c>
      <c r="DY77" s="193" t="s">
        <v>463</v>
      </c>
    </row>
    <row r="78" spans="7:129">
      <c r="G78" s="149"/>
      <c r="H78" s="149"/>
      <c r="J78" s="193"/>
      <c r="P78" s="149"/>
      <c r="S78" s="193"/>
      <c r="AL78" s="149"/>
      <c r="AO78" s="193"/>
      <c r="BK78" s="193"/>
      <c r="CG78" s="193"/>
      <c r="DC78" s="193"/>
      <c r="DY78" s="193"/>
    </row>
    <row r="79" spans="7:129">
      <c r="G79" s="189" t="s">
        <v>464</v>
      </c>
      <c r="H79" s="189"/>
      <c r="J79" s="193"/>
      <c r="P79" s="189" t="s">
        <v>464</v>
      </c>
      <c r="S79" s="193"/>
      <c r="AL79" s="189" t="s">
        <v>464</v>
      </c>
      <c r="AO79" s="193"/>
      <c r="BH79" s="189" t="s">
        <v>464</v>
      </c>
      <c r="BK79" s="193"/>
      <c r="CD79" s="189" t="s">
        <v>464</v>
      </c>
      <c r="CG79" s="193"/>
      <c r="CZ79" s="189" t="s">
        <v>464</v>
      </c>
      <c r="DC79" s="193"/>
      <c r="DV79" s="189" t="s">
        <v>464</v>
      </c>
      <c r="DY79" s="193"/>
    </row>
    <row r="80" spans="7:129">
      <c r="G80" s="149" t="s">
        <v>465</v>
      </c>
      <c r="H80" s="149"/>
      <c r="I80" s="187" t="s">
        <v>27</v>
      </c>
      <c r="J80" s="193" t="s">
        <v>466</v>
      </c>
      <c r="P80" s="149" t="s">
        <v>465</v>
      </c>
      <c r="R80" s="192" t="s">
        <v>27</v>
      </c>
      <c r="S80" s="193" t="s">
        <v>466</v>
      </c>
      <c r="AL80" s="149" t="s">
        <v>465</v>
      </c>
      <c r="AN80" s="192" t="s">
        <v>319</v>
      </c>
      <c r="AO80" s="193" t="s">
        <v>466</v>
      </c>
      <c r="BH80" s="149" t="s">
        <v>465</v>
      </c>
      <c r="BJ80" s="192" t="s">
        <v>27</v>
      </c>
      <c r="BK80" s="193" t="s">
        <v>466</v>
      </c>
      <c r="CD80" s="149" t="s">
        <v>465</v>
      </c>
      <c r="CF80" s="192" t="s">
        <v>27</v>
      </c>
      <c r="CG80" s="193" t="s">
        <v>466</v>
      </c>
      <c r="CZ80" s="149" t="s">
        <v>465</v>
      </c>
      <c r="DB80" s="192" t="s">
        <v>27</v>
      </c>
      <c r="DC80" s="193" t="s">
        <v>466</v>
      </c>
      <c r="DV80" s="149" t="s">
        <v>465</v>
      </c>
      <c r="DX80" s="192" t="s">
        <v>27</v>
      </c>
      <c r="DY80" s="193" t="s">
        <v>466</v>
      </c>
    </row>
    <row r="81" spans="7:129">
      <c r="G81" s="149" t="s">
        <v>210</v>
      </c>
      <c r="H81" s="149"/>
      <c r="I81" s="187" t="s">
        <v>27</v>
      </c>
      <c r="J81" s="193" t="s">
        <v>467</v>
      </c>
      <c r="P81" s="149" t="s">
        <v>210</v>
      </c>
      <c r="R81" s="197" t="s">
        <v>211</v>
      </c>
      <c r="S81" s="193" t="s">
        <v>467</v>
      </c>
      <c r="AL81" s="149" t="s">
        <v>210</v>
      </c>
      <c r="AN81" s="197" t="s">
        <v>211</v>
      </c>
      <c r="AO81" s="193" t="s">
        <v>467</v>
      </c>
      <c r="BH81" s="149" t="s">
        <v>210</v>
      </c>
      <c r="BJ81" s="197" t="s">
        <v>211</v>
      </c>
      <c r="BK81" s="193" t="s">
        <v>467</v>
      </c>
      <c r="CD81" s="149" t="s">
        <v>210</v>
      </c>
      <c r="CF81" s="197" t="s">
        <v>211</v>
      </c>
      <c r="CG81" s="193" t="s">
        <v>467</v>
      </c>
      <c r="CZ81" s="149" t="s">
        <v>210</v>
      </c>
      <c r="DB81" s="197" t="s">
        <v>211</v>
      </c>
      <c r="DC81" s="193" t="s">
        <v>467</v>
      </c>
      <c r="DV81" s="149" t="s">
        <v>210</v>
      </c>
      <c r="DX81" s="197" t="s">
        <v>211</v>
      </c>
      <c r="DY81" s="193" t="s">
        <v>467</v>
      </c>
    </row>
    <row r="82" spans="7:129">
      <c r="G82" s="149"/>
      <c r="H82" s="149"/>
      <c r="J82" s="193"/>
      <c r="P82" s="149"/>
      <c r="R82" s="5"/>
      <c r="S82" s="193"/>
      <c r="AL82" s="149"/>
      <c r="AO82" s="193"/>
      <c r="BK82" s="193"/>
      <c r="CG82" s="193"/>
      <c r="DC82" s="193"/>
      <c r="DY82" s="193"/>
    </row>
    <row r="83" spans="7:129">
      <c r="G83" s="189" t="s">
        <v>29</v>
      </c>
      <c r="H83" s="189"/>
      <c r="J83" s="193"/>
      <c r="P83" s="189" t="s">
        <v>29</v>
      </c>
      <c r="S83" s="193"/>
      <c r="AL83" s="189" t="s">
        <v>29</v>
      </c>
      <c r="AO83" s="193"/>
      <c r="BH83" s="189" t="s">
        <v>29</v>
      </c>
      <c r="BK83" s="193"/>
      <c r="CD83" s="189" t="s">
        <v>29</v>
      </c>
      <c r="CG83" s="193"/>
      <c r="CZ83" s="189" t="s">
        <v>29</v>
      </c>
      <c r="DC83" s="193"/>
      <c r="DV83" s="189" t="s">
        <v>29</v>
      </c>
      <c r="DY83" s="193"/>
    </row>
    <row r="84" spans="7:129">
      <c r="G84" s="149" t="s">
        <v>468</v>
      </c>
      <c r="H84" s="149"/>
      <c r="J84" s="193" t="s">
        <v>469</v>
      </c>
      <c r="P84" s="149" t="s">
        <v>468</v>
      </c>
      <c r="R84" s="171">
        <v>0</v>
      </c>
      <c r="S84" s="193" t="s">
        <v>469</v>
      </c>
      <c r="AL84" s="149" t="s">
        <v>468</v>
      </c>
      <c r="AN84" s="171">
        <v>0</v>
      </c>
      <c r="AO84" s="193" t="s">
        <v>469</v>
      </c>
      <c r="BH84" s="149" t="s">
        <v>468</v>
      </c>
      <c r="BJ84" s="171">
        <v>0</v>
      </c>
      <c r="BK84" s="193" t="s">
        <v>469</v>
      </c>
      <c r="CD84" s="149" t="s">
        <v>468</v>
      </c>
      <c r="CF84" s="171">
        <v>0</v>
      </c>
      <c r="CG84" s="193" t="s">
        <v>469</v>
      </c>
      <c r="CZ84" s="149" t="s">
        <v>468</v>
      </c>
      <c r="DB84" s="171">
        <v>0</v>
      </c>
      <c r="DC84" s="193" t="s">
        <v>469</v>
      </c>
      <c r="DV84" s="149" t="s">
        <v>468</v>
      </c>
      <c r="DX84" s="171">
        <v>0</v>
      </c>
      <c r="DY84" s="193" t="s">
        <v>469</v>
      </c>
    </row>
    <row r="85" spans="7:129">
      <c r="G85" s="149" t="s">
        <v>470</v>
      </c>
      <c r="H85" s="149"/>
      <c r="J85" s="193" t="s">
        <v>471</v>
      </c>
      <c r="P85" s="149" t="s">
        <v>470</v>
      </c>
      <c r="R85" s="171">
        <v>0</v>
      </c>
      <c r="S85" s="193" t="s">
        <v>471</v>
      </c>
      <c r="AL85" s="149" t="s">
        <v>470</v>
      </c>
      <c r="AN85" s="171">
        <v>0</v>
      </c>
      <c r="AO85" s="193" t="s">
        <v>471</v>
      </c>
      <c r="BH85" s="149" t="s">
        <v>470</v>
      </c>
      <c r="BJ85" s="171">
        <v>0</v>
      </c>
      <c r="BK85" s="193" t="s">
        <v>471</v>
      </c>
      <c r="CD85" s="149" t="s">
        <v>470</v>
      </c>
      <c r="CF85" s="171">
        <v>0</v>
      </c>
      <c r="CG85" s="193" t="s">
        <v>471</v>
      </c>
      <c r="CZ85" s="149" t="s">
        <v>470</v>
      </c>
      <c r="DB85" s="171">
        <v>0</v>
      </c>
      <c r="DC85" s="193" t="s">
        <v>471</v>
      </c>
      <c r="DV85" s="149" t="s">
        <v>470</v>
      </c>
      <c r="DX85" s="171">
        <v>0</v>
      </c>
      <c r="DY85" s="193" t="s">
        <v>471</v>
      </c>
    </row>
    <row r="86" spans="7:129">
      <c r="G86" s="149" t="str">
        <f>"# New Premoney Option Pool "&amp;'Cap Table'!$D$62&amp;"s"</f>
        <v># New Premoney Option Pool Shares</v>
      </c>
      <c r="H86" s="149"/>
      <c r="J86" s="193" t="s">
        <v>472</v>
      </c>
      <c r="P86" s="149" t="str">
        <f>"# New Premoney Option Pool "&amp;'Cap Table'!$D$62&amp;"s"</f>
        <v># New Premoney Option Pool Shares</v>
      </c>
      <c r="R86" s="146">
        <f>IF(R74=0,R84*R62,IFERROR(R74*R84/R63,0))</f>
        <v>0</v>
      </c>
      <c r="S86" s="193" t="s">
        <v>472</v>
      </c>
      <c r="AL86" s="149" t="str">
        <f>"# New Premoney Option Pool "&amp;'Cap Table'!$D$62&amp;"s"</f>
        <v># New Premoney Option Pool Shares</v>
      </c>
      <c r="AN86" s="146">
        <f ca="1">IFERROR(AN74*AN84/AN63,0)</f>
        <v>0</v>
      </c>
      <c r="AO86" s="193" t="s">
        <v>472</v>
      </c>
      <c r="BH86" s="149" t="str">
        <f>"# New Premoney Option Pool "&amp;'Cap Table'!$D$62&amp;"s"</f>
        <v># New Premoney Option Pool Shares</v>
      </c>
      <c r="BJ86" s="146">
        <f ca="1">IFERROR(BJ74*BJ84/BJ63,0)</f>
        <v>0</v>
      </c>
      <c r="BK86" s="193" t="s">
        <v>472</v>
      </c>
      <c r="CD86" s="149" t="str">
        <f>"# New Premoney Option Pool "&amp;'Cap Table'!$D$62&amp;"s"</f>
        <v># New Premoney Option Pool Shares</v>
      </c>
      <c r="CF86" s="146">
        <f ca="1">IFERROR(CF74*CF84/CF63,0)</f>
        <v>0</v>
      </c>
      <c r="CG86" s="193" t="s">
        <v>472</v>
      </c>
      <c r="CZ86" s="149" t="str">
        <f>"# New Premoney Option Pool "&amp;'Cap Table'!$D$62&amp;"s"</f>
        <v># New Premoney Option Pool Shares</v>
      </c>
      <c r="DB86" s="146">
        <f ca="1">IFERROR(DB74*DB84/DB63,0)</f>
        <v>0</v>
      </c>
      <c r="DC86" s="193" t="s">
        <v>472</v>
      </c>
      <c r="DV86" s="149" t="str">
        <f>"# New Premoney Option Pool "&amp;'Cap Table'!$D$62&amp;"s"</f>
        <v># New Premoney Option Pool Shares</v>
      </c>
      <c r="DX86" s="146">
        <f ca="1">IFERROR(DX74*DX84/DX63,0)</f>
        <v>0</v>
      </c>
      <c r="DY86" s="193" t="s">
        <v>472</v>
      </c>
    </row>
    <row r="87" spans="7:129">
      <c r="G87" s="149" t="str">
        <f>"# New Postmoney Option Pool "&amp;'Cap Table'!$D$62&amp;"s"</f>
        <v># New Postmoney Option Pool Shares</v>
      </c>
      <c r="H87" s="149"/>
      <c r="J87" s="193" t="s">
        <v>473</v>
      </c>
      <c r="P87" s="149" t="str">
        <f>"# New Postmoney Option Pool "&amp;'Cap Table'!$D$62&amp;"s"</f>
        <v># New Postmoney Option Pool Shares</v>
      </c>
      <c r="R87" s="146">
        <f>IF(R74=0,R85*R62/(1-R85),IFERROR(R74*R85/(R63*(1-R85)),0))</f>
        <v>0</v>
      </c>
      <c r="S87" s="193" t="s">
        <v>473</v>
      </c>
      <c r="AL87" s="149" t="str">
        <f>"# New Postmoney Option Pool "&amp;'Cap Table'!$D$62&amp;"s"</f>
        <v># New Postmoney Option Pool Shares</v>
      </c>
      <c r="AN87" s="146">
        <f ca="1">IF(AN74=0,AN85*AN62/(1-AN85),IFERROR(AN74*AN85/(AN63*(1-AN85)),0))</f>
        <v>0</v>
      </c>
      <c r="AO87" s="193" t="s">
        <v>473</v>
      </c>
      <c r="BH87" s="149" t="str">
        <f>"# New Postmoney Option Pool "&amp;'Cap Table'!$D$62&amp;"s"</f>
        <v># New Postmoney Option Pool Shares</v>
      </c>
      <c r="BJ87" s="146">
        <f ca="1">IF(BJ74=0,BJ85*BJ62/(1-BJ85),IFERROR(BJ74*BJ85/(BJ63*(1-BJ85)),0))</f>
        <v>0</v>
      </c>
      <c r="BK87" s="193" t="s">
        <v>473</v>
      </c>
      <c r="CD87" s="149" t="str">
        <f>"# New Postmoney Option Pool "&amp;'Cap Table'!$D$62&amp;"s"</f>
        <v># New Postmoney Option Pool Shares</v>
      </c>
      <c r="CF87" s="146">
        <f ca="1">IF(CF74=0,CF85*CF62/(1-CF85),IFERROR(CF74*CF85/(CF63*(1-CF85)),0))</f>
        <v>0</v>
      </c>
      <c r="CG87" s="193" t="s">
        <v>473</v>
      </c>
      <c r="CZ87" s="149" t="str">
        <f>"# New Postmoney Option Pool "&amp;'Cap Table'!$D$62&amp;"s"</f>
        <v># New Postmoney Option Pool Shares</v>
      </c>
      <c r="DB87" s="146">
        <f ca="1">IF(DB74=0,DB85*DB62/(1-DB85),IFERROR(DB74*DB85/(DB63*(1-DB85)),0))</f>
        <v>0</v>
      </c>
      <c r="DC87" s="193" t="s">
        <v>473</v>
      </c>
      <c r="DV87" s="149" t="str">
        <f>"# New Postmoney Option Pool "&amp;'Cap Table'!$D$62&amp;"s"</f>
        <v># New Postmoney Option Pool Shares</v>
      </c>
      <c r="DX87" s="146">
        <f ca="1">IF(DX74=0,DX85*DX62/(1-DX85),IFERROR(DX74*DX85/(DX63*(1-DX85)),0))</f>
        <v>0</v>
      </c>
      <c r="DY87" s="193" t="s">
        <v>473</v>
      </c>
    </row>
    <row r="88" spans="7:129">
      <c r="G88" s="149" t="s">
        <v>474</v>
      </c>
      <c r="H88" s="149"/>
      <c r="J88" s="193" t="s">
        <v>475</v>
      </c>
      <c r="P88" s="149" t="s">
        <v>474</v>
      </c>
      <c r="R88" s="171">
        <v>0</v>
      </c>
      <c r="S88" s="193" t="s">
        <v>475</v>
      </c>
      <c r="AL88" s="149" t="s">
        <v>474</v>
      </c>
      <c r="AN88" s="171">
        <v>0</v>
      </c>
      <c r="AO88" s="193" t="s">
        <v>475</v>
      </c>
      <c r="BH88" s="149" t="s">
        <v>474</v>
      </c>
      <c r="BJ88" s="171">
        <v>0</v>
      </c>
      <c r="BK88" s="193" t="s">
        <v>475</v>
      </c>
      <c r="CD88" s="149" t="s">
        <v>474</v>
      </c>
      <c r="CF88" s="171">
        <v>0</v>
      </c>
      <c r="CG88" s="193" t="s">
        <v>475</v>
      </c>
      <c r="CZ88" s="149" t="s">
        <v>474</v>
      </c>
      <c r="DB88" s="171">
        <v>0</v>
      </c>
      <c r="DC88" s="193" t="s">
        <v>475</v>
      </c>
      <c r="DV88" s="149" t="s">
        <v>474</v>
      </c>
      <c r="DX88" s="171">
        <v>0</v>
      </c>
      <c r="DY88" s="193" t="s">
        <v>475</v>
      </c>
    </row>
    <row r="89" spans="7:129">
      <c r="G89" s="149" t="s">
        <v>476</v>
      </c>
      <c r="H89" s="149"/>
      <c r="J89" s="193" t="s">
        <v>477</v>
      </c>
      <c r="P89" s="149" t="s">
        <v>476</v>
      </c>
      <c r="R89" s="147">
        <f ca="1">IFERROR('Cap Table'!AF28/'Cap Table'!AF29,0)</f>
        <v>0</v>
      </c>
      <c r="S89" s="193" t="s">
        <v>477</v>
      </c>
      <c r="AL89" s="149" t="s">
        <v>476</v>
      </c>
      <c r="AN89" s="147">
        <f ca="1">IFERROR('Cap Table'!BB28/'Cap Table'!BB29,0)</f>
        <v>0</v>
      </c>
      <c r="AO89" s="193" t="s">
        <v>477</v>
      </c>
      <c r="BH89" s="149" t="s">
        <v>476</v>
      </c>
      <c r="BJ89" s="200">
        <f ca="1">IFERROR('Cap Table'!BX28/'Cap Table'!BX29,0)</f>
        <v>0</v>
      </c>
      <c r="BK89" s="193" t="s">
        <v>477</v>
      </c>
      <c r="CD89" s="149" t="s">
        <v>476</v>
      </c>
      <c r="CF89" s="147">
        <f ca="1">IFERROR('Cap Table'!CT28/'Cap Table'!CT29,0)</f>
        <v>0</v>
      </c>
      <c r="CG89" s="193" t="s">
        <v>477</v>
      </c>
      <c r="CZ89" s="149" t="s">
        <v>476</v>
      </c>
      <c r="DB89" s="147">
        <f ca="1">IFERROR('Cap Table'!DP28/'Cap Table'!DP29,0)</f>
        <v>0</v>
      </c>
      <c r="DC89" s="193" t="s">
        <v>477</v>
      </c>
      <c r="DV89" s="149" t="s">
        <v>476</v>
      </c>
      <c r="DX89" s="147">
        <f ca="1">IFERROR('Cap Table'!EL28/'Cap Table'!EL29,0)</f>
        <v>0</v>
      </c>
      <c r="DY89" s="193" t="s">
        <v>477</v>
      </c>
    </row>
    <row r="90" spans="7:129">
      <c r="G90" s="149"/>
      <c r="H90" s="149"/>
      <c r="J90" s="193"/>
      <c r="P90" s="149"/>
      <c r="R90" s="146"/>
      <c r="S90" s="193"/>
      <c r="AL90" s="149"/>
      <c r="AN90" s="146"/>
      <c r="AO90" s="193"/>
      <c r="BJ90" s="146"/>
      <c r="BK90" s="193"/>
      <c r="CF90" s="146"/>
      <c r="CG90" s="193"/>
      <c r="DB90" s="146"/>
      <c r="DC90" s="193"/>
      <c r="DX90" s="146"/>
      <c r="DY90" s="193"/>
    </row>
    <row r="91" spans="7:129">
      <c r="G91" s="189" t="s">
        <v>28</v>
      </c>
      <c r="H91" s="189"/>
      <c r="I91" s="201"/>
      <c r="J91" s="193"/>
      <c r="P91" s="189" t="s">
        <v>28</v>
      </c>
      <c r="S91" s="193"/>
      <c r="AL91" s="189" t="s">
        <v>28</v>
      </c>
      <c r="AO91" s="193"/>
      <c r="BH91" s="189" t="s">
        <v>28</v>
      </c>
      <c r="BK91" s="193"/>
      <c r="CD91" s="189" t="s">
        <v>28</v>
      </c>
      <c r="CG91" s="193"/>
      <c r="CZ91" s="189" t="s">
        <v>28</v>
      </c>
      <c r="DC91" s="193"/>
      <c r="DV91" s="189" t="s">
        <v>28</v>
      </c>
      <c r="DY91" s="193"/>
    </row>
    <row r="92" spans="7:129">
      <c r="G92" s="149" t="str">
        <f>'Cap Table'!$B$31&amp;" with Preferences"</f>
        <v>Share Class with Preferences</v>
      </c>
      <c r="H92" s="149"/>
      <c r="I92" s="192" t="s">
        <v>21</v>
      </c>
      <c r="J92" s="193" t="s">
        <v>478</v>
      </c>
      <c r="P92" s="149" t="str">
        <f>'Cap Table'!$B$31&amp;" with Preferences"</f>
        <v>Share Class with Preferences</v>
      </c>
      <c r="R92" s="192" t="s">
        <v>32</v>
      </c>
      <c r="S92" s="193" t="s">
        <v>478</v>
      </c>
      <c r="AL92" s="149" t="str">
        <f>'Cap Table'!$B$31&amp;" with Preferences"</f>
        <v>Share Class with Preferences</v>
      </c>
      <c r="AN92" s="192" t="s">
        <v>32</v>
      </c>
      <c r="AO92" s="193" t="s">
        <v>478</v>
      </c>
      <c r="BH92" s="149" t="str">
        <f>'Cap Table'!$B$31&amp;" with Preferences"</f>
        <v>Share Class with Preferences</v>
      </c>
      <c r="BJ92" s="192" t="s">
        <v>32</v>
      </c>
      <c r="BK92" s="193" t="s">
        <v>478</v>
      </c>
      <c r="CD92" s="149" t="str">
        <f>'Cap Table'!$B$31&amp;" with Preferences"</f>
        <v>Share Class with Preferences</v>
      </c>
      <c r="CF92" s="192" t="s">
        <v>32</v>
      </c>
      <c r="CG92" s="193" t="s">
        <v>478</v>
      </c>
      <c r="CZ92" s="149" t="str">
        <f>'Cap Table'!$B$31&amp;" with Preferences"</f>
        <v>Share Class with Preferences</v>
      </c>
      <c r="DB92" s="192" t="s">
        <v>32</v>
      </c>
      <c r="DC92" s="193" t="s">
        <v>478</v>
      </c>
      <c r="DV92" s="149" t="str">
        <f>'Cap Table'!DU31&amp;" with Preferences"</f>
        <v xml:space="preserve"> with Preferences</v>
      </c>
      <c r="DX92" s="192" t="s">
        <v>32</v>
      </c>
      <c r="DY92" s="193" t="s">
        <v>478</v>
      </c>
    </row>
    <row r="93" spans="7:129">
      <c r="G93" s="175" t="s">
        <v>479</v>
      </c>
      <c r="H93" s="175"/>
      <c r="I93" s="187" t="s">
        <v>27</v>
      </c>
      <c r="J93" s="193" t="s">
        <v>480</v>
      </c>
      <c r="P93" s="175" t="s">
        <v>479</v>
      </c>
      <c r="R93" s="202">
        <v>1</v>
      </c>
      <c r="S93" s="193" t="s">
        <v>480</v>
      </c>
      <c r="AL93" s="175" t="s">
        <v>479</v>
      </c>
      <c r="AN93" s="202">
        <v>1</v>
      </c>
      <c r="AO93" s="193" t="s">
        <v>480</v>
      </c>
      <c r="BH93" s="175" t="s">
        <v>479</v>
      </c>
      <c r="BJ93" s="202">
        <v>1</v>
      </c>
      <c r="BK93" s="193" t="s">
        <v>480</v>
      </c>
      <c r="CD93" s="175" t="s">
        <v>479</v>
      </c>
      <c r="CF93" s="202">
        <v>1</v>
      </c>
      <c r="CG93" s="193" t="s">
        <v>480</v>
      </c>
      <c r="CZ93" s="175" t="s">
        <v>479</v>
      </c>
      <c r="DB93" s="202">
        <v>1</v>
      </c>
      <c r="DC93" s="193" t="s">
        <v>480</v>
      </c>
      <c r="DV93" s="175" t="s">
        <v>479</v>
      </c>
      <c r="DX93" s="202">
        <v>1</v>
      </c>
      <c r="DY93" s="193" t="s">
        <v>480</v>
      </c>
    </row>
    <row r="94" spans="7:129">
      <c r="G94" s="175" t="s">
        <v>167</v>
      </c>
      <c r="H94" s="175"/>
      <c r="I94" s="187" t="s">
        <v>27</v>
      </c>
      <c r="J94" s="193" t="s">
        <v>481</v>
      </c>
      <c r="P94" s="175" t="s">
        <v>167</v>
      </c>
      <c r="R94" s="203" t="s">
        <v>423</v>
      </c>
      <c r="S94" s="193" t="s">
        <v>481</v>
      </c>
      <c r="AL94" s="175" t="s">
        <v>167</v>
      </c>
      <c r="AN94" s="203" t="s">
        <v>423</v>
      </c>
      <c r="AO94" s="193" t="s">
        <v>481</v>
      </c>
      <c r="BH94" s="175" t="s">
        <v>167</v>
      </c>
      <c r="BJ94" s="203" t="s">
        <v>423</v>
      </c>
      <c r="BK94" s="193" t="s">
        <v>481</v>
      </c>
      <c r="CD94" s="175" t="s">
        <v>167</v>
      </c>
      <c r="CF94" s="203" t="s">
        <v>423</v>
      </c>
      <c r="CG94" s="193" t="s">
        <v>481</v>
      </c>
      <c r="CZ94" s="175" t="s">
        <v>167</v>
      </c>
      <c r="DB94" s="203" t="s">
        <v>423</v>
      </c>
      <c r="DC94" s="193" t="s">
        <v>481</v>
      </c>
      <c r="DV94" s="175" t="s">
        <v>167</v>
      </c>
      <c r="DX94" s="203" t="s">
        <v>423</v>
      </c>
      <c r="DY94" s="193" t="s">
        <v>481</v>
      </c>
    </row>
    <row r="95" spans="7:129">
      <c r="G95" s="175" t="s">
        <v>168</v>
      </c>
      <c r="H95" s="175"/>
      <c r="I95" s="187" t="s">
        <v>27</v>
      </c>
      <c r="J95" s="193" t="s">
        <v>482</v>
      </c>
      <c r="P95" s="175" t="s">
        <v>168</v>
      </c>
      <c r="R95" s="204">
        <v>2</v>
      </c>
      <c r="S95" s="193" t="s">
        <v>482</v>
      </c>
      <c r="AL95" s="175" t="s">
        <v>168</v>
      </c>
      <c r="AN95" s="204">
        <v>2</v>
      </c>
      <c r="AO95" s="193" t="s">
        <v>482</v>
      </c>
      <c r="BH95" s="175" t="s">
        <v>168</v>
      </c>
      <c r="BJ95" s="204">
        <v>2</v>
      </c>
      <c r="BK95" s="193" t="s">
        <v>482</v>
      </c>
      <c r="CD95" s="175" t="s">
        <v>168</v>
      </c>
      <c r="CF95" s="204">
        <v>1.5</v>
      </c>
      <c r="CG95" s="193" t="s">
        <v>482</v>
      </c>
      <c r="CZ95" s="175" t="s">
        <v>168</v>
      </c>
      <c r="DB95" s="204">
        <v>2</v>
      </c>
      <c r="DC95" s="193" t="s">
        <v>482</v>
      </c>
      <c r="DV95" s="175" t="s">
        <v>168</v>
      </c>
      <c r="DX95" s="204">
        <v>3</v>
      </c>
      <c r="DY95" s="193" t="s">
        <v>482</v>
      </c>
    </row>
    <row r="96" spans="7:129">
      <c r="G96" s="205" t="s">
        <v>483</v>
      </c>
      <c r="H96" s="205"/>
      <c r="I96" s="187"/>
      <c r="J96" s="193" t="s">
        <v>484</v>
      </c>
      <c r="P96" s="205" t="s">
        <v>483</v>
      </c>
      <c r="R96" s="204">
        <v>1</v>
      </c>
      <c r="S96" s="193" t="s">
        <v>484</v>
      </c>
      <c r="AL96" s="205" t="s">
        <v>483</v>
      </c>
      <c r="AN96" s="204">
        <v>1</v>
      </c>
      <c r="AO96" s="193" t="s">
        <v>484</v>
      </c>
      <c r="BH96" s="205" t="s">
        <v>483</v>
      </c>
      <c r="BJ96" s="204">
        <v>1</v>
      </c>
      <c r="BK96" s="193" t="s">
        <v>484</v>
      </c>
      <c r="CD96" s="205" t="s">
        <v>483</v>
      </c>
      <c r="CF96" s="204">
        <v>1</v>
      </c>
      <c r="CG96" s="193" t="s">
        <v>484</v>
      </c>
      <c r="CZ96" s="205" t="s">
        <v>483</v>
      </c>
      <c r="DB96" s="204">
        <v>1</v>
      </c>
      <c r="DC96" s="193" t="s">
        <v>484</v>
      </c>
      <c r="DV96" s="205" t="s">
        <v>483</v>
      </c>
      <c r="DX96" s="204">
        <v>1</v>
      </c>
      <c r="DY96" s="193" t="s">
        <v>484</v>
      </c>
    </row>
    <row r="97" spans="2:129">
      <c r="G97" s="149"/>
      <c r="H97" s="149"/>
      <c r="J97" s="193"/>
      <c r="P97" s="149"/>
      <c r="R97" s="155"/>
      <c r="S97" s="193"/>
      <c r="AL97" s="149"/>
      <c r="AN97" s="155"/>
      <c r="AO97" s="193"/>
      <c r="BJ97" s="155"/>
      <c r="BK97" s="193"/>
      <c r="CF97" s="155"/>
      <c r="CG97" s="193"/>
      <c r="DB97" s="155"/>
      <c r="DC97" s="193"/>
      <c r="DX97" s="155"/>
      <c r="DY97" s="193"/>
    </row>
    <row r="98" spans="2:129">
      <c r="G98" s="206" t="str">
        <f>'Cap Table'!$D$62&amp;"s Detail"</f>
        <v>Shares Detail</v>
      </c>
      <c r="H98" s="206"/>
      <c r="J98" s="193"/>
      <c r="P98" s="206" t="str">
        <f>'Cap Table'!$D$62&amp;"s Detail"</f>
        <v>Shares Detail</v>
      </c>
      <c r="R98" s="155"/>
      <c r="S98" s="193"/>
      <c r="AL98" s="206" t="str">
        <f>'Cap Table'!$D$62&amp;"s Detail"</f>
        <v>Shares Detail</v>
      </c>
      <c r="AN98" s="155"/>
      <c r="AO98" s="193"/>
      <c r="BH98" s="206" t="str">
        <f>'Cap Table'!$D$62&amp;"s Detail"</f>
        <v>Shares Detail</v>
      </c>
      <c r="BJ98" s="155"/>
      <c r="BK98" s="193"/>
      <c r="CD98" s="206" t="str">
        <f>'Cap Table'!$D$62&amp;"s Detail"</f>
        <v>Shares Detail</v>
      </c>
      <c r="CF98" s="155"/>
      <c r="CG98" s="193"/>
      <c r="CZ98" s="206" t="str">
        <f>'Cap Table'!$D$62&amp;"s Detail"</f>
        <v>Shares Detail</v>
      </c>
      <c r="DB98" s="155"/>
      <c r="DC98" s="193"/>
      <c r="DV98" s="206" t="str">
        <f>'Cap Table'!$D$62&amp;"s Detail"</f>
        <v>Shares Detail</v>
      </c>
      <c r="DX98" s="155"/>
      <c r="DY98" s="193"/>
    </row>
    <row r="99" spans="2:129">
      <c r="G99" s="175" t="str">
        <f>"# "&amp;'Cap Table'!$D$62&amp;"s created in round"</f>
        <v># Shares created in round</v>
      </c>
      <c r="H99" s="175"/>
      <c r="I99" s="186">
        <f>'Cap Table'!I29</f>
        <v>0</v>
      </c>
      <c r="J99" s="193" t="s">
        <v>485</v>
      </c>
      <c r="P99" s="175" t="str">
        <f>"# "&amp;'Cap Table'!$D$62&amp;"s sold in round"</f>
        <v># Shares sold in round</v>
      </c>
      <c r="R99" s="186">
        <f ca="1">'Cap Table'!AB29</f>
        <v>0</v>
      </c>
      <c r="S99" s="193" t="s">
        <v>485</v>
      </c>
      <c r="AL99" s="175" t="str">
        <f>"# "&amp;'Cap Table'!$D$62&amp;"s sold in round"</f>
        <v># Shares sold in round</v>
      </c>
      <c r="AN99" s="186">
        <f ca="1">'Cap Table'!AX29</f>
        <v>0</v>
      </c>
      <c r="AO99" s="193" t="s">
        <v>485</v>
      </c>
      <c r="BH99" s="175" t="str">
        <f>"# "&amp;'Cap Table'!$D$62&amp;"s sold in round"</f>
        <v># Shares sold in round</v>
      </c>
      <c r="BJ99" s="186">
        <f ca="1">'Cap Table'!BT29</f>
        <v>0</v>
      </c>
      <c r="BK99" s="193" t="s">
        <v>485</v>
      </c>
      <c r="CD99" s="175" t="str">
        <f>"# "&amp;'Cap Table'!$D$62&amp;"s sold in round"</f>
        <v># Shares sold in round</v>
      </c>
      <c r="CF99" s="186">
        <f ca="1">'Cap Table'!CP29</f>
        <v>0</v>
      </c>
      <c r="CG99" s="193" t="s">
        <v>485</v>
      </c>
      <c r="CZ99" s="175" t="str">
        <f>"# "&amp;'Cap Table'!$D$62&amp;"s sold in round"</f>
        <v># Shares sold in round</v>
      </c>
      <c r="DB99" s="186">
        <f ca="1">'Cap Table'!DL29</f>
        <v>0</v>
      </c>
      <c r="DC99" s="193" t="s">
        <v>485</v>
      </c>
      <c r="DV99" s="175" t="str">
        <f>"# "&amp;'Cap Table'!$D$62&amp;"s sold in round"</f>
        <v># Shares sold in round</v>
      </c>
      <c r="DX99" s="186">
        <f ca="1">'Cap Table'!EH29</f>
        <v>0</v>
      </c>
      <c r="DY99" s="193" t="s">
        <v>485</v>
      </c>
    </row>
    <row r="100" spans="2:129">
      <c r="G100" s="175" t="s">
        <v>486</v>
      </c>
      <c r="H100" s="175"/>
      <c r="I100" s="186">
        <f>'Cap Table'!J29</f>
        <v>0</v>
      </c>
      <c r="J100" s="193" t="s">
        <v>487</v>
      </c>
      <c r="P100" s="175" t="s">
        <v>486</v>
      </c>
      <c r="R100" s="186">
        <f>R87+R86</f>
        <v>0</v>
      </c>
      <c r="S100" s="193" t="s">
        <v>487</v>
      </c>
      <c r="AL100" s="175" t="s">
        <v>486</v>
      </c>
      <c r="AN100" s="186">
        <f ca="1">AN87+AN86</f>
        <v>0</v>
      </c>
      <c r="AO100" s="193" t="s">
        <v>487</v>
      </c>
      <c r="BH100" s="175" t="s">
        <v>486</v>
      </c>
      <c r="BJ100" s="186">
        <f ca="1">BJ87+BJ86</f>
        <v>0</v>
      </c>
      <c r="BK100" s="193" t="s">
        <v>487</v>
      </c>
      <c r="CD100" s="175" t="s">
        <v>486</v>
      </c>
      <c r="CF100" s="186">
        <f ca="1">CF87+CF86</f>
        <v>0</v>
      </c>
      <c r="CG100" s="193" t="s">
        <v>487</v>
      </c>
      <c r="CZ100" s="175" t="s">
        <v>486</v>
      </c>
      <c r="DB100" s="186">
        <f ca="1">DB87+DB86</f>
        <v>0</v>
      </c>
      <c r="DC100" s="193" t="s">
        <v>487</v>
      </c>
      <c r="DV100" s="175" t="s">
        <v>486</v>
      </c>
      <c r="DX100" s="186">
        <f ca="1">DX87+DX86</f>
        <v>0</v>
      </c>
      <c r="DY100" s="193" t="s">
        <v>487</v>
      </c>
    </row>
    <row r="101" spans="2:129">
      <c r="G101" s="175" t="str">
        <f>"# Fully-Diluted "&amp;'Cap Table'!$D$62&amp;"s and Options, after round"</f>
        <v># Fully-Diluted Shares and Options, after round</v>
      </c>
      <c r="H101" s="175"/>
      <c r="I101" s="186">
        <f>'Cap Table'!K29</f>
        <v>0</v>
      </c>
      <c r="J101" s="193" t="s">
        <v>488</v>
      </c>
      <c r="P101" s="175" t="str">
        <f>"# Fully-Diluted "&amp;'Cap Table'!$D$62&amp;"s and Options, after round"</f>
        <v># Fully-Diluted Shares and Options, after round</v>
      </c>
      <c r="R101" s="186">
        <f ca="1">'Cap Table'!AF29</f>
        <v>0</v>
      </c>
      <c r="S101" s="193" t="s">
        <v>488</v>
      </c>
      <c r="AL101" s="175" t="str">
        <f>"# Fully-Diluted "&amp;'Cap Table'!$D$62&amp;"s and Options, after round"</f>
        <v># Fully-Diluted Shares and Options, after round</v>
      </c>
      <c r="AN101" s="186">
        <f ca="1">'Cap Table'!BB29</f>
        <v>0</v>
      </c>
      <c r="AO101" s="193" t="s">
        <v>488</v>
      </c>
      <c r="BH101" s="175" t="str">
        <f>"# Fully-Diluted "&amp;'Cap Table'!$D$62&amp;"s and Options, after round"</f>
        <v># Fully-Diluted Shares and Options, after round</v>
      </c>
      <c r="BJ101" s="186">
        <f ca="1">'Cap Table'!BX29</f>
        <v>0</v>
      </c>
      <c r="BK101" s="193" t="s">
        <v>488</v>
      </c>
      <c r="CD101" s="175" t="str">
        <f>"# Fully-Diluted "&amp;'Cap Table'!$D$62&amp;"s and Options, after round"</f>
        <v># Fully-Diluted Shares and Options, after round</v>
      </c>
      <c r="CF101" s="186">
        <f ca="1">'Cap Table'!CT29</f>
        <v>0</v>
      </c>
      <c r="CG101" s="193" t="s">
        <v>488</v>
      </c>
      <c r="CZ101" s="175" t="str">
        <f>"# Fully-Diluted "&amp;'Cap Table'!$D$62&amp;"s and Options, after round"</f>
        <v># Fully-Diluted Shares and Options, after round</v>
      </c>
      <c r="DB101" s="186">
        <f ca="1">'Cap Table'!DP29</f>
        <v>0</v>
      </c>
      <c r="DC101" s="193" t="s">
        <v>488</v>
      </c>
      <c r="DV101" s="175" t="str">
        <f>"# Fully-Diluted "&amp;'Cap Table'!$D$62&amp;"s and Options, after round"</f>
        <v># Fully-Diluted Shares and Options, after round</v>
      </c>
      <c r="DX101" s="186">
        <f ca="1">'Cap Table'!EL29</f>
        <v>0</v>
      </c>
      <c r="DY101" s="193" t="s">
        <v>488</v>
      </c>
    </row>
    <row r="102" spans="2:129">
      <c r="G102" s="175" t="str">
        <f>"# of Ungranted Options"</f>
        <v># of Ungranted Options</v>
      </c>
      <c r="H102" s="175"/>
      <c r="I102" s="186">
        <f>'Cap Table'!K28</f>
        <v>0</v>
      </c>
      <c r="J102" s="193" t="s">
        <v>489</v>
      </c>
      <c r="P102" s="175" t="str">
        <f>"# of Ungranted Options"</f>
        <v># of Ungranted Options</v>
      </c>
      <c r="R102" s="186">
        <f>'Cap Table'!AF28</f>
        <v>0</v>
      </c>
      <c r="S102" s="193" t="s">
        <v>489</v>
      </c>
      <c r="AL102" s="175" t="str">
        <f>"# of Ungranted Options"</f>
        <v># of Ungranted Options</v>
      </c>
      <c r="AN102" s="186">
        <f ca="1">'Cap Table'!BB28</f>
        <v>0</v>
      </c>
      <c r="AO102" s="193" t="s">
        <v>489</v>
      </c>
      <c r="BH102" s="175" t="str">
        <f>"# of Ungranted Options"</f>
        <v># of Ungranted Options</v>
      </c>
      <c r="BJ102" s="186">
        <f ca="1">'Cap Table'!BX28</f>
        <v>0</v>
      </c>
      <c r="BK102" s="193" t="s">
        <v>489</v>
      </c>
      <c r="CD102" s="175" t="str">
        <f>"# of Ungranted Options"</f>
        <v># of Ungranted Options</v>
      </c>
      <c r="CF102" s="186">
        <f ca="1">'Cap Table'!CT28</f>
        <v>0</v>
      </c>
      <c r="CG102" s="193" t="s">
        <v>489</v>
      </c>
      <c r="CZ102" s="175" t="str">
        <f>"# of Ungranted Options"</f>
        <v># of Ungranted Options</v>
      </c>
      <c r="DB102" s="186">
        <f ca="1">'Cap Table'!DP28</f>
        <v>0</v>
      </c>
      <c r="DC102" s="193" t="s">
        <v>489</v>
      </c>
      <c r="DV102" s="175" t="str">
        <f>"# of Ungranted Options"</f>
        <v># of Ungranted Options</v>
      </c>
      <c r="DX102" s="186">
        <f ca="1">'Cap Table'!EL28</f>
        <v>0</v>
      </c>
      <c r="DY102" s="193" t="s">
        <v>489</v>
      </c>
    </row>
    <row r="103" spans="2:129">
      <c r="G103" s="175" t="str">
        <f>"# of "&amp;'Cap Table'!$D$62&amp;"s and Granted Options, after round"</f>
        <v># of Shares and Granted Options, after round</v>
      </c>
      <c r="H103" s="175"/>
      <c r="I103" s="186">
        <f>I101-I102</f>
        <v>0</v>
      </c>
      <c r="J103" s="193" t="s">
        <v>490</v>
      </c>
      <c r="P103" s="175" t="str">
        <f>"# of "&amp;'Cap Table'!$D$62&amp;"s and Granted Options, after round"</f>
        <v># of Shares and Granted Options, after round</v>
      </c>
      <c r="R103" s="186">
        <f ca="1">R101-R102</f>
        <v>0</v>
      </c>
      <c r="S103" s="193" t="s">
        <v>490</v>
      </c>
      <c r="AL103" s="175" t="str">
        <f>"# of "&amp;'Cap Table'!$D$62&amp;"s and Granted Options, after round"</f>
        <v># of Shares and Granted Options, after round</v>
      </c>
      <c r="AN103" s="186">
        <f ca="1">AN101-AN102</f>
        <v>0</v>
      </c>
      <c r="AO103" s="193" t="s">
        <v>490</v>
      </c>
      <c r="BH103" s="175" t="str">
        <f>"# of "&amp;'Cap Table'!$D$62&amp;"s and Granted Options, after round"</f>
        <v># of Shares and Granted Options, after round</v>
      </c>
      <c r="BJ103" s="186">
        <f ca="1">BJ101-BJ102</f>
        <v>0</v>
      </c>
      <c r="BK103" s="193" t="s">
        <v>490</v>
      </c>
      <c r="CD103" s="175" t="str">
        <f>"# of "&amp;'Cap Table'!$D$62&amp;"s and Granted Options, after round"</f>
        <v># of Shares and Granted Options, after round</v>
      </c>
      <c r="CF103" s="186">
        <f ca="1">CF101-CF102</f>
        <v>0</v>
      </c>
      <c r="CG103" s="193" t="s">
        <v>490</v>
      </c>
      <c r="CZ103" s="175" t="str">
        <f>"# of "&amp;'Cap Table'!$D$62&amp;"s and Granted Options, after round"</f>
        <v># of Shares and Granted Options, after round</v>
      </c>
      <c r="DB103" s="186">
        <f ca="1">DB101-DB102</f>
        <v>0</v>
      </c>
      <c r="DC103" s="193" t="s">
        <v>490</v>
      </c>
      <c r="DV103" s="175" t="str">
        <f>"# of "&amp;'Cap Table'!$D$62&amp;"s and Granted Options, after round"</f>
        <v># of Shares and Granted Options, after round</v>
      </c>
      <c r="DX103" s="186">
        <f ca="1">DX101-DX102</f>
        <v>0</v>
      </c>
      <c r="DY103" s="193" t="s">
        <v>490</v>
      </c>
    </row>
    <row r="104" spans="2:129">
      <c r="BH104" s="155"/>
      <c r="BI104" s="155"/>
      <c r="CD104" s="155"/>
      <c r="CE104" s="155"/>
      <c r="CZ104" s="155"/>
      <c r="DA104" s="155"/>
      <c r="DV104" s="155"/>
      <c r="DW104" s="155"/>
    </row>
    <row r="105" spans="2:129">
      <c r="BH105" s="155"/>
      <c r="BI105" s="155"/>
      <c r="CD105" s="155"/>
      <c r="CE105" s="155"/>
      <c r="CZ105" s="155"/>
      <c r="DA105" s="155"/>
      <c r="DV105" s="155"/>
      <c r="DW105" s="155"/>
    </row>
    <row r="106" spans="2:129">
      <c r="BH106" s="155"/>
      <c r="BI106" s="155"/>
      <c r="CD106" s="155"/>
      <c r="CE106" s="155"/>
      <c r="CZ106" s="155"/>
      <c r="DA106" s="155"/>
      <c r="DV106" s="155"/>
      <c r="DW106" s="155"/>
    </row>
    <row r="107" spans="2:129">
      <c r="B107" s="207" t="s">
        <v>54</v>
      </c>
      <c r="C107" s="207"/>
      <c r="D107" s="207"/>
      <c r="BH107" s="155"/>
      <c r="BI107" s="155"/>
      <c r="CD107" s="155"/>
      <c r="CE107" s="155"/>
      <c r="CZ107" s="155"/>
      <c r="DA107" s="155"/>
      <c r="DV107" s="155"/>
      <c r="DW107" s="155"/>
    </row>
    <row r="108" spans="2:129">
      <c r="B108" s="149" t="s">
        <v>491</v>
      </c>
      <c r="C108" s="207"/>
      <c r="D108" s="207"/>
      <c r="BH108" s="155"/>
      <c r="BI108" s="155"/>
      <c r="CD108" s="155"/>
      <c r="CE108" s="155"/>
      <c r="CZ108" s="155"/>
      <c r="DA108" s="155"/>
      <c r="DV108" s="155"/>
      <c r="DW108" s="155"/>
    </row>
    <row r="109" spans="2:129">
      <c r="B109" s="208" t="s">
        <v>492</v>
      </c>
      <c r="C109" s="207"/>
      <c r="D109" s="207"/>
      <c r="BH109" s="155"/>
      <c r="BI109" s="155"/>
      <c r="CD109" s="155"/>
      <c r="CE109" s="155"/>
      <c r="CZ109" s="155"/>
      <c r="DA109" s="155"/>
      <c r="DV109" s="155"/>
      <c r="DW109" s="155"/>
    </row>
    <row r="110" spans="2:129">
      <c r="B110" s="209" t="s">
        <v>493</v>
      </c>
      <c r="C110" s="207"/>
      <c r="D110" s="207"/>
      <c r="BH110" s="155"/>
      <c r="BI110" s="155"/>
      <c r="CD110" s="155"/>
      <c r="CE110" s="155"/>
      <c r="CZ110" s="155"/>
      <c r="DA110" s="155"/>
      <c r="DV110" s="155"/>
      <c r="DW110" s="155"/>
    </row>
    <row r="111" spans="2:129">
      <c r="B111" s="209" t="s">
        <v>494</v>
      </c>
      <c r="C111" s="207"/>
      <c r="D111" s="207"/>
      <c r="BH111" s="155"/>
      <c r="BI111" s="155"/>
      <c r="CD111" s="155"/>
      <c r="CE111" s="155"/>
      <c r="CZ111" s="155"/>
      <c r="DA111" s="155"/>
      <c r="DV111" s="155"/>
      <c r="DW111" s="155"/>
    </row>
    <row r="112" spans="2:129">
      <c r="B112" s="210" t="s">
        <v>676</v>
      </c>
      <c r="C112" s="210"/>
      <c r="D112" s="210"/>
      <c r="BH112" s="155"/>
      <c r="BI112" s="155"/>
      <c r="CD112" s="155"/>
      <c r="CE112" s="155"/>
      <c r="CZ112" s="155"/>
      <c r="DA112" s="155"/>
      <c r="DV112" s="155"/>
      <c r="DW112" s="155"/>
    </row>
    <row r="113" spans="2:127">
      <c r="B113" s="210" t="s">
        <v>495</v>
      </c>
      <c r="C113" s="210"/>
      <c r="D113" s="210"/>
      <c r="BH113" s="155"/>
      <c r="BI113" s="155"/>
      <c r="CD113" s="155"/>
      <c r="CE113" s="155"/>
      <c r="CZ113" s="155"/>
      <c r="DA113" s="155"/>
      <c r="DV113" s="155"/>
      <c r="DW113" s="155"/>
    </row>
    <row r="114" spans="2:127">
      <c r="B114" s="149" t="s">
        <v>496</v>
      </c>
      <c r="C114" s="210"/>
      <c r="D114" s="210"/>
      <c r="BH114" s="155"/>
      <c r="BI114" s="155"/>
      <c r="CD114" s="155"/>
      <c r="CE114" s="155"/>
      <c r="CZ114" s="155"/>
      <c r="DA114" s="155"/>
      <c r="DV114" s="155"/>
      <c r="DW114" s="155"/>
    </row>
    <row r="115" spans="2:127">
      <c r="B115" s="149" t="s">
        <v>497</v>
      </c>
      <c r="C115" s="210"/>
      <c r="D115" s="210"/>
      <c r="BH115" s="155"/>
      <c r="BI115" s="155"/>
      <c r="CD115" s="155"/>
      <c r="CE115" s="155"/>
      <c r="CZ115" s="155"/>
      <c r="DA115" s="155"/>
      <c r="DV115" s="155"/>
      <c r="DW115" s="155"/>
    </row>
    <row r="116" spans="2:127">
      <c r="B116" s="149" t="s">
        <v>498</v>
      </c>
      <c r="C116" s="210"/>
      <c r="D116" s="210"/>
      <c r="BH116" s="155"/>
      <c r="BI116" s="155"/>
      <c r="CD116" s="155"/>
      <c r="CE116" s="155"/>
      <c r="CZ116" s="155"/>
      <c r="DA116" s="155"/>
      <c r="DV116" s="155"/>
      <c r="DW116" s="155"/>
    </row>
    <row r="117" spans="2:127">
      <c r="B117" s="149" t="s">
        <v>700</v>
      </c>
      <c r="C117" s="210"/>
      <c r="D117" s="210"/>
      <c r="BH117" s="155"/>
      <c r="BI117" s="155"/>
      <c r="CD117" s="155"/>
      <c r="CE117" s="155"/>
      <c r="CZ117" s="155"/>
      <c r="DA117" s="155"/>
      <c r="DV117" s="155"/>
      <c r="DW117" s="155"/>
    </row>
    <row r="118" spans="2:127">
      <c r="B118" s="193" t="s">
        <v>499</v>
      </c>
      <c r="BH118" s="155"/>
      <c r="BI118" s="155"/>
      <c r="CD118" s="155"/>
      <c r="CE118" s="155"/>
      <c r="CZ118" s="155"/>
      <c r="DA118" s="155"/>
      <c r="DV118" s="155"/>
      <c r="DW118" s="155"/>
    </row>
    <row r="119" spans="2:127">
      <c r="B119" s="193" t="s">
        <v>500</v>
      </c>
      <c r="BH119" s="155"/>
      <c r="BI119" s="155"/>
      <c r="CD119" s="155"/>
      <c r="CE119" s="155"/>
      <c r="CZ119" s="155"/>
      <c r="DA119" s="155"/>
      <c r="DV119" s="155"/>
      <c r="DW119" s="155"/>
    </row>
    <row r="120" spans="2:127">
      <c r="B120" s="193" t="s">
        <v>501</v>
      </c>
      <c r="BH120" s="155"/>
      <c r="BI120" s="155"/>
      <c r="CD120" s="155"/>
      <c r="CE120" s="155"/>
      <c r="CZ120" s="155"/>
      <c r="DA120" s="155"/>
      <c r="DV120" s="155"/>
      <c r="DW120" s="155"/>
    </row>
    <row r="121" spans="2:127">
      <c r="B121" s="193" t="s">
        <v>502</v>
      </c>
      <c r="BH121" s="155"/>
      <c r="BI121" s="155"/>
      <c r="CD121" s="155"/>
      <c r="CE121" s="155"/>
      <c r="CZ121" s="155"/>
      <c r="DA121" s="155"/>
      <c r="DV121" s="155"/>
      <c r="DW121" s="155"/>
    </row>
    <row r="122" spans="2:127">
      <c r="B122" s="193" t="s">
        <v>503</v>
      </c>
      <c r="BH122" s="155"/>
      <c r="BI122" s="155"/>
      <c r="CD122" s="155"/>
      <c r="CE122" s="155"/>
      <c r="CZ122" s="155"/>
      <c r="DA122" s="155"/>
      <c r="DV122" s="155"/>
      <c r="DW122" s="155"/>
    </row>
    <row r="123" spans="2:127">
      <c r="B123" s="211" t="s">
        <v>667</v>
      </c>
      <c r="BH123" s="155"/>
      <c r="BI123" s="155"/>
      <c r="CD123" s="155"/>
      <c r="CE123" s="155"/>
      <c r="CZ123" s="155"/>
      <c r="DA123" s="155"/>
      <c r="DV123" s="155"/>
      <c r="DW123" s="155"/>
    </row>
    <row r="124" spans="2:127">
      <c r="B124" s="193" t="s">
        <v>504</v>
      </c>
      <c r="BH124" s="155"/>
      <c r="BI124" s="155"/>
      <c r="CD124" s="155"/>
      <c r="CE124" s="155"/>
      <c r="CZ124" s="155"/>
      <c r="DA124" s="155"/>
      <c r="DV124" s="155"/>
      <c r="DW124" s="155"/>
    </row>
    <row r="125" spans="2:127">
      <c r="B125" s="193" t="s">
        <v>505</v>
      </c>
      <c r="BH125" s="155"/>
      <c r="BI125" s="155"/>
      <c r="CD125" s="155"/>
      <c r="CE125" s="155"/>
      <c r="CZ125" s="155"/>
      <c r="DA125" s="155"/>
      <c r="DV125" s="155"/>
      <c r="DW125" s="155"/>
    </row>
    <row r="126" spans="2:127">
      <c r="B126" s="193" t="s">
        <v>506</v>
      </c>
      <c r="BH126" s="155"/>
      <c r="BI126" s="155"/>
      <c r="CD126" s="155"/>
      <c r="CE126" s="155"/>
      <c r="CZ126" s="155"/>
      <c r="DA126" s="155"/>
      <c r="DV126" s="155"/>
      <c r="DW126" s="155"/>
    </row>
    <row r="127" spans="2:127">
      <c r="B127" s="193" t="s">
        <v>507</v>
      </c>
      <c r="BH127" s="155"/>
      <c r="BI127" s="155"/>
      <c r="CD127" s="155"/>
      <c r="CE127" s="155"/>
      <c r="CZ127" s="155"/>
      <c r="DA127" s="155"/>
      <c r="DV127" s="155"/>
      <c r="DW127" s="155"/>
    </row>
    <row r="128" spans="2:127">
      <c r="B128" s="211" t="s">
        <v>508</v>
      </c>
      <c r="BH128" s="155"/>
      <c r="BI128" s="155"/>
      <c r="CD128" s="155"/>
      <c r="CE128" s="155"/>
      <c r="CZ128" s="155"/>
      <c r="DA128" s="155"/>
      <c r="DV128" s="155"/>
      <c r="DW128" s="155"/>
    </row>
    <row r="129" spans="2:127">
      <c r="B129" s="2" t="s">
        <v>509</v>
      </c>
      <c r="BH129" s="155"/>
      <c r="BI129" s="155"/>
      <c r="CD129" s="155"/>
      <c r="CE129" s="155"/>
      <c r="CZ129" s="155"/>
      <c r="DA129" s="155"/>
      <c r="DV129" s="155"/>
      <c r="DW129" s="155"/>
    </row>
    <row r="130" spans="2:127">
      <c r="B130" s="149" t="s">
        <v>510</v>
      </c>
      <c r="BH130" s="155"/>
      <c r="BI130" s="155"/>
      <c r="CD130" s="155"/>
      <c r="CE130" s="155"/>
      <c r="CZ130" s="155"/>
      <c r="DA130" s="155"/>
      <c r="DV130" s="155"/>
      <c r="DW130" s="155"/>
    </row>
    <row r="131" spans="2:127">
      <c r="B131" s="149" t="s">
        <v>511</v>
      </c>
      <c r="BH131" s="155"/>
      <c r="BI131" s="155"/>
      <c r="CD131" s="155"/>
      <c r="CE131" s="155"/>
      <c r="CZ131" s="155"/>
      <c r="DA131" s="155"/>
      <c r="DV131" s="155"/>
      <c r="DW131" s="155"/>
    </row>
    <row r="132" spans="2:127">
      <c r="B132" s="149" t="s">
        <v>512</v>
      </c>
      <c r="BH132" s="155"/>
      <c r="BI132" s="155"/>
      <c r="CD132" s="155"/>
      <c r="CE132" s="155"/>
      <c r="CZ132" s="155"/>
      <c r="DA132" s="155"/>
      <c r="DV132" s="155"/>
      <c r="DW132" s="155"/>
    </row>
    <row r="133" spans="2:127">
      <c r="B133" s="149" t="s">
        <v>513</v>
      </c>
      <c r="BH133" s="155"/>
      <c r="BI133" s="155"/>
      <c r="CD133" s="155"/>
      <c r="CE133" s="155"/>
      <c r="CZ133" s="155"/>
      <c r="DA133" s="155"/>
      <c r="DV133" s="155"/>
      <c r="DW133" s="155"/>
    </row>
    <row r="134" spans="2:127">
      <c r="B134" s="149" t="s">
        <v>514</v>
      </c>
      <c r="BH134" s="155"/>
      <c r="BI134" s="155"/>
      <c r="CD134" s="155"/>
      <c r="CE134" s="155"/>
      <c r="CZ134" s="155"/>
      <c r="DA134" s="155"/>
      <c r="DV134" s="155"/>
      <c r="DW134" s="155"/>
    </row>
    <row r="135" spans="2:127">
      <c r="B135" s="149" t="s">
        <v>515</v>
      </c>
      <c r="S135" s="189"/>
      <c r="BH135" s="155"/>
      <c r="BI135" s="155"/>
      <c r="CD135" s="155"/>
      <c r="CE135" s="155"/>
      <c r="CZ135" s="155"/>
      <c r="DA135" s="155"/>
      <c r="DV135" s="155"/>
      <c r="DW135" s="155"/>
    </row>
    <row r="136" spans="2:127">
      <c r="B136" s="193" t="s">
        <v>516</v>
      </c>
      <c r="S136" s="189"/>
      <c r="BH136" s="155"/>
      <c r="BI136" s="155"/>
      <c r="CD136" s="155"/>
      <c r="CE136" s="155"/>
      <c r="CZ136" s="155"/>
      <c r="DA136" s="155"/>
      <c r="DV136" s="155"/>
      <c r="DW136" s="155"/>
    </row>
    <row r="137" spans="2:127">
      <c r="B137" s="193" t="s">
        <v>517</v>
      </c>
      <c r="BH137" s="155"/>
      <c r="BI137" s="155"/>
      <c r="CD137" s="155"/>
      <c r="CE137" s="155"/>
      <c r="CZ137" s="155"/>
      <c r="DA137" s="155"/>
      <c r="DV137" s="155"/>
      <c r="DW137" s="155"/>
    </row>
    <row r="138" spans="2:127">
      <c r="B138" s="175" t="s">
        <v>518</v>
      </c>
      <c r="BH138" s="155"/>
      <c r="BI138" s="155"/>
      <c r="CD138" s="155"/>
      <c r="CE138" s="155"/>
      <c r="CZ138" s="155"/>
      <c r="DA138" s="155"/>
      <c r="DV138" s="155"/>
      <c r="DW138" s="155"/>
    </row>
    <row r="139" spans="2:127">
      <c r="B139" s="149" t="s">
        <v>519</v>
      </c>
      <c r="BH139" s="155"/>
      <c r="BI139" s="155"/>
      <c r="CD139" s="155"/>
      <c r="CE139" s="155"/>
      <c r="CZ139" s="155"/>
      <c r="DA139" s="155"/>
      <c r="DV139" s="155"/>
      <c r="DW139" s="155"/>
    </row>
    <row r="140" spans="2:127">
      <c r="B140" s="149" t="s">
        <v>520</v>
      </c>
      <c r="BH140" s="155"/>
      <c r="BI140" s="155"/>
      <c r="CD140" s="155"/>
      <c r="CE140" s="155"/>
      <c r="CZ140" s="155"/>
      <c r="DA140" s="155"/>
      <c r="DV140" s="155"/>
      <c r="DW140" s="155"/>
    </row>
    <row r="141" spans="2:127">
      <c r="B141" s="149" t="s">
        <v>521</v>
      </c>
    </row>
    <row r="142" spans="2:127">
      <c r="B142" s="149" t="s">
        <v>522</v>
      </c>
    </row>
    <row r="143" spans="2:127">
      <c r="B143" s="149" t="s">
        <v>523</v>
      </c>
    </row>
    <row r="144" spans="2:127">
      <c r="B144" s="193" t="s">
        <v>524</v>
      </c>
    </row>
    <row r="145" spans="2:2">
      <c r="B145" s="193" t="s">
        <v>525</v>
      </c>
    </row>
    <row r="146" spans="2:2">
      <c r="B146" s="149" t="s">
        <v>526</v>
      </c>
    </row>
    <row r="147" spans="2:2">
      <c r="B147" s="210" t="s">
        <v>697</v>
      </c>
    </row>
    <row r="148" spans="2:2">
      <c r="B148" s="149" t="s">
        <v>669</v>
      </c>
    </row>
    <row r="149" spans="2:2">
      <c r="B149" s="149" t="s">
        <v>595</v>
      </c>
    </row>
    <row r="150" spans="2:2">
      <c r="B150" s="149" t="s">
        <v>699</v>
      </c>
    </row>
    <row r="247" spans="22:26">
      <c r="V247" s="186">
        <f>IF('Cap Table'!$DX$94="non participating",MAX(V184,V174),IF('Cap Table'!$DX$94="participating preferred with a cap",MAX(V174,V204),MAX(V194,V174)))</f>
        <v>0</v>
      </c>
      <c r="X247" s="186">
        <f>IF('Cap Table'!$DX$94="non participating",MAX(X184,X174),IF('Cap Table'!$DX$94="participating preferred with a cap",MAX(X174,X204),MAX(X194,X174)))</f>
        <v>0</v>
      </c>
      <c r="Y247" s="186">
        <f>IF('Cap Table'!$DX$94="non participating",MAX(Y184,Y174),IF('Cap Table'!$DX$94="participating preferred with a cap",MAX(Y174,Y204),MAX(Y194,Y174)))</f>
        <v>0</v>
      </c>
    </row>
    <row r="248" spans="22:26">
      <c r="V248" s="186">
        <f>IF('Cap Table'!$DB$94="non participating",MIN(V$156-SUM(V$247:V247),MAX(V185,V175)),IF('Cap Table'!$DB$94="participating preferred with a cap",MIN(V$156-SUM(V$247:V247),MAX(V175,V205)),MIN(V$156-SUM(V$247:V247),MAX(V195,V175))))</f>
        <v>0</v>
      </c>
      <c r="X248" s="186">
        <f>IF('Cap Table'!$DB$94="non participating",MIN(X$156-SUM(X$247:X247),MAX(X185,X175)),IF('Cap Table'!$DB$94="participating preferred with a cap",MIN(X$156-SUM(X$247:X247),MAX(X175,X205)),MIN(X$156-SUM(X$247:X247),MAX(X195,X175))))</f>
        <v>0</v>
      </c>
      <c r="Y248" s="186">
        <f>IF('Cap Table'!$DB$94="non participating",MIN(Y$156-SUM(Y$247:Y247),MAX(Y185,Y175)),IF('Cap Table'!$DB$94="participating preferred with a cap",MIN(Y$156-SUM(Y$247:Y247),MAX(Y175,Y205)),MIN(Y$156-SUM(Y$247:Y247),MAX(Y195,Y175))))</f>
        <v>0</v>
      </c>
    </row>
    <row r="249" spans="22:26">
      <c r="Z249" s="212" t="s">
        <v>527</v>
      </c>
    </row>
    <row r="250" spans="22:26">
      <c r="Z250" s="212" t="s">
        <v>528</v>
      </c>
    </row>
    <row r="251" spans="22:26">
      <c r="Z251" s="212" t="s">
        <v>529</v>
      </c>
    </row>
    <row r="252" spans="22:26">
      <c r="Z252" s="212" t="s">
        <v>530</v>
      </c>
    </row>
  </sheetData>
  <conditionalFormatting sqref="AN74">
    <cfRule type="expression" dxfId="6" priority="6">
      <formula>AND(U$24&lt;&gt;"premoney",U$24&lt;&gt;"dollars invested",U$24&lt;&gt;"na")</formula>
    </cfRule>
  </conditionalFormatting>
  <conditionalFormatting sqref="BJ74">
    <cfRule type="expression" dxfId="5" priority="5">
      <formula>AND(V$24&lt;&gt;"premoney",V$24&lt;&gt;"dollars invested",V$24&lt;&gt;"na")</formula>
    </cfRule>
  </conditionalFormatting>
  <conditionalFormatting sqref="CF74">
    <cfRule type="expression" dxfId="4" priority="4">
      <formula>AND(Y$24&lt;&gt;"premoney",Y$24&lt;&gt;"dollars invested",Y$24&lt;&gt;"na")</formula>
    </cfRule>
  </conditionalFormatting>
  <conditionalFormatting sqref="DB74">
    <cfRule type="expression" dxfId="3" priority="3">
      <formula>AND(Y$24&lt;&gt;"premoney",Y$24&lt;&gt;"dollars invested",Y$24&lt;&gt;"na")</formula>
    </cfRule>
  </conditionalFormatting>
  <conditionalFormatting sqref="DX74">
    <cfRule type="expression" dxfId="2" priority="2">
      <formula>AND(Z$24&lt;&gt;"premoney",Z$24&lt;&gt;"dollars invested",Z$24&lt;&gt;"na")</formula>
    </cfRule>
  </conditionalFormatting>
  <conditionalFormatting sqref="R74">
    <cfRule type="expression" dxfId="1" priority="1">
      <formula>AND(XEP$24&lt;&gt;"premoney",XEP$24&lt;&gt;"dollars invested",XEP$24&lt;&gt;"na")</formula>
    </cfRule>
  </conditionalFormatting>
  <dataValidations count="6">
    <dataValidation type="list" allowBlank="1" showInputMessage="1" showErrorMessage="1" sqref="DA6:DA28 DW6:DW28 CE6:CE28 AM6:AM28 BI6:BI28 H6:H28 Q6:Q28" xr:uid="{00000000-0002-0000-0400-000000000000}">
      <formula1>$B$39:$B$44</formula1>
    </dataValidation>
    <dataValidation type="list" allowBlank="1" showInputMessage="1" showErrorMessage="1" sqref="D6:D26" xr:uid="{00000000-0002-0000-0400-000001000000}">
      <formula1>$B$48:$B$55</formula1>
    </dataValidation>
    <dataValidation type="list" allowBlank="1" showInputMessage="1" showErrorMessage="1" sqref="R92 CF92 DB92 BJ92 AN92 DX92 I92 E6:E28" xr:uid="{00000000-0002-0000-0400-000002000000}">
      <formula1>$B$32:$B$35</formula1>
    </dataValidation>
    <dataValidation type="list" allowBlank="1" showInputMessage="1" showErrorMessage="1" sqref="R81 AN81 BJ81 CF81 DX81 DB81" xr:uid="{00000000-0002-0000-0400-000003000000}">
      <formula1>"no,yes"</formula1>
    </dataValidation>
    <dataValidation type="list" allowBlank="1" showInputMessage="1" showErrorMessage="1" sqref="AN94 BJ94 CF94 DB94 DX94 R94" xr:uid="{00000000-0002-0000-0400-000005000000}">
      <formula1>"Non Participating Preferred,Full Participating Preferred,Participating Preferred with a Cap"</formula1>
    </dataValidation>
    <dataValidation type="list" allowBlank="1" showInputMessage="1" showErrorMessage="1" sqref="R80 AN80 BJ80 CF80 DB80 DX80" xr:uid="{11B0414F-1A7E-7844-AA9A-81C66B7BBDDC}">
      <formula1>"Premoney,Postmoney,Percentage Ownership,Dollars Invested,na"</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R300"/>
  <sheetViews>
    <sheetView showGridLines="0" workbookViewId="0">
      <selection activeCell="B11" sqref="B11"/>
    </sheetView>
  </sheetViews>
  <sheetFormatPr baseColWidth="10" defaultRowHeight="17"/>
  <cols>
    <col min="1" max="1" width="4.6640625" style="2" customWidth="1"/>
    <col min="2" max="2" width="39.33203125" style="2" customWidth="1"/>
    <col min="3" max="3" width="5.6640625" style="43" customWidth="1"/>
    <col min="4" max="4" width="17" style="2" customWidth="1"/>
    <col min="5" max="12" width="17.1640625" style="2" customWidth="1"/>
    <col min="13" max="13" width="17.1640625" style="61" customWidth="1"/>
    <col min="14" max="16" width="17.1640625" style="2" customWidth="1"/>
    <col min="17" max="16384" width="10.83203125" style="2"/>
  </cols>
  <sheetData>
    <row r="2" spans="2:18">
      <c r="B2" s="213" t="s">
        <v>531</v>
      </c>
      <c r="C2" s="214"/>
      <c r="D2" s="214"/>
      <c r="E2" s="214"/>
      <c r="F2" s="214"/>
      <c r="G2" s="214"/>
      <c r="H2" s="214"/>
      <c r="I2" s="214"/>
      <c r="J2" s="214"/>
      <c r="K2" s="214"/>
      <c r="L2" s="214"/>
      <c r="M2" s="215"/>
      <c r="N2" s="214"/>
      <c r="O2" s="216"/>
      <c r="P2" s="216"/>
      <c r="Q2" s="216"/>
      <c r="R2" s="216"/>
    </row>
    <row r="3" spans="2:18">
      <c r="B3" s="216" t="s">
        <v>532</v>
      </c>
      <c r="C3" s="214"/>
      <c r="D3" s="214"/>
      <c r="E3" s="214"/>
      <c r="F3" s="214"/>
      <c r="G3" s="214"/>
      <c r="H3" s="214"/>
      <c r="I3" s="214"/>
      <c r="J3" s="214"/>
      <c r="K3" s="214"/>
      <c r="L3" s="214"/>
      <c r="M3" s="215"/>
      <c r="N3" s="214"/>
      <c r="O3" s="216"/>
      <c r="P3" s="216"/>
      <c r="Q3" s="216"/>
      <c r="R3" s="216"/>
    </row>
    <row r="4" spans="2:18">
      <c r="B4" s="216" t="s">
        <v>533</v>
      </c>
      <c r="C4" s="214"/>
      <c r="D4" s="214"/>
      <c r="E4" s="214"/>
      <c r="F4" s="214"/>
      <c r="G4" s="214"/>
      <c r="H4" s="214"/>
      <c r="I4" s="214"/>
      <c r="J4" s="214"/>
      <c r="K4" s="214"/>
      <c r="L4" s="214"/>
      <c r="M4" s="215"/>
      <c r="N4" s="214"/>
      <c r="O4" s="216"/>
      <c r="P4" s="216"/>
      <c r="Q4" s="216"/>
      <c r="R4" s="216"/>
    </row>
    <row r="5" spans="2:18">
      <c r="B5" s="216"/>
      <c r="C5" s="214"/>
      <c r="D5" s="214"/>
      <c r="E5" s="214"/>
      <c r="F5" s="214"/>
      <c r="G5" s="214"/>
      <c r="H5" s="214"/>
      <c r="I5" s="214"/>
      <c r="J5" s="214"/>
      <c r="K5" s="214"/>
      <c r="L5" s="214"/>
      <c r="M5" s="215"/>
      <c r="N5" s="214"/>
      <c r="O5" s="216"/>
      <c r="P5" s="216"/>
      <c r="Q5" s="216"/>
      <c r="R5" s="216"/>
    </row>
    <row r="6" spans="2:18">
      <c r="B6" s="216" t="s">
        <v>705</v>
      </c>
      <c r="C6" s="217" t="str">
        <f>'Cap Table'!$D$61</f>
        <v>$</v>
      </c>
      <c r="D6" s="218">
        <v>0</v>
      </c>
      <c r="E6" s="215" t="s">
        <v>704</v>
      </c>
      <c r="F6" s="214"/>
      <c r="G6" s="214"/>
      <c r="H6" s="214"/>
      <c r="J6" s="214"/>
      <c r="K6" s="214"/>
      <c r="L6" s="214"/>
      <c r="M6" s="215"/>
      <c r="N6" s="214"/>
      <c r="O6" s="216"/>
      <c r="P6" s="216"/>
      <c r="Q6" s="216"/>
      <c r="R6" s="216"/>
    </row>
    <row r="7" spans="2:18">
      <c r="B7" s="219" t="str">
        <f>"# of "&amp;'Cap Table'!D62&amp;"s and Granted options, at exit"</f>
        <v># of Shares and Granted options, at exit</v>
      </c>
      <c r="C7" s="217" t="s">
        <v>170</v>
      </c>
      <c r="D7" s="220">
        <f ca="1">'Cap Table'!DX103</f>
        <v>0</v>
      </c>
      <c r="E7" s="214"/>
      <c r="F7" s="214"/>
      <c r="G7" s="214"/>
      <c r="H7" s="214"/>
      <c r="J7" s="214"/>
      <c r="K7" s="214"/>
      <c r="L7" s="214"/>
      <c r="M7" s="215"/>
      <c r="N7" s="214"/>
      <c r="O7" s="216"/>
      <c r="P7" s="216"/>
      <c r="Q7" s="216"/>
      <c r="R7" s="216"/>
    </row>
    <row r="8" spans="2:18">
      <c r="B8" s="219" t="s">
        <v>19</v>
      </c>
      <c r="C8" s="217" t="str">
        <f>'Cap Table'!$D$61</f>
        <v>$</v>
      </c>
      <c r="D8" s="219">
        <f ca="1">IFERROR(D6/D7,0)</f>
        <v>0</v>
      </c>
      <c r="E8" s="214"/>
      <c r="F8" s="214"/>
      <c r="G8" s="214"/>
      <c r="H8" s="214"/>
      <c r="J8" s="214"/>
      <c r="K8" s="214"/>
      <c r="L8" s="214"/>
      <c r="M8" s="215"/>
      <c r="N8" s="214"/>
      <c r="O8" s="216"/>
      <c r="P8" s="216"/>
      <c r="Q8" s="216"/>
      <c r="R8" s="216"/>
    </row>
    <row r="9" spans="2:18">
      <c r="B9" s="219" t="s">
        <v>165</v>
      </c>
      <c r="C9" s="217"/>
      <c r="D9" s="221">
        <f ca="1">EDATE('Cap Table'!DX61,12)</f>
        <v>46377</v>
      </c>
      <c r="E9" s="215" t="s">
        <v>534</v>
      </c>
      <c r="F9" s="214"/>
      <c r="G9" s="214"/>
      <c r="H9" s="214"/>
      <c r="J9" s="214"/>
      <c r="K9" s="214"/>
      <c r="L9" s="214"/>
      <c r="M9" s="215"/>
      <c r="N9" s="214"/>
      <c r="O9" s="216"/>
      <c r="P9" s="216"/>
      <c r="Q9" s="216"/>
      <c r="R9" s="216"/>
    </row>
    <row r="10" spans="2:18">
      <c r="B10" s="219" t="s">
        <v>163</v>
      </c>
      <c r="C10" s="217" t="s">
        <v>50</v>
      </c>
      <c r="D10" s="222">
        <v>0.5</v>
      </c>
      <c r="E10" s="215" t="s">
        <v>535</v>
      </c>
      <c r="F10" s="214"/>
      <c r="G10" s="214"/>
      <c r="H10" s="214"/>
      <c r="J10" s="214"/>
      <c r="K10" s="214"/>
      <c r="L10" s="214"/>
      <c r="M10" s="215"/>
      <c r="N10" s="214"/>
      <c r="O10" s="216"/>
      <c r="P10" s="216"/>
      <c r="Q10" s="216"/>
      <c r="R10" s="216"/>
    </row>
    <row r="11" spans="2:18">
      <c r="B11" s="216" t="s">
        <v>210</v>
      </c>
      <c r="D11" s="223" t="s">
        <v>211</v>
      </c>
      <c r="E11" s="2" t="s">
        <v>536</v>
      </c>
      <c r="F11" s="214"/>
      <c r="G11" s="214"/>
      <c r="H11" s="214"/>
      <c r="I11" s="214"/>
      <c r="J11" s="214"/>
      <c r="K11" s="214"/>
      <c r="L11" s="214"/>
      <c r="M11" s="215"/>
      <c r="N11" s="214"/>
      <c r="O11" s="216"/>
      <c r="P11" s="216"/>
      <c r="Q11" s="216"/>
      <c r="R11" s="216"/>
    </row>
    <row r="12" spans="2:18">
      <c r="B12" s="224" t="s">
        <v>249</v>
      </c>
      <c r="D12" s="49" t="str">
        <f ca="1">IFERROR(IF(SUM(D136:K136)=0,"Yes","No"),"No")</f>
        <v>No</v>
      </c>
      <c r="E12" s="225" t="s">
        <v>537</v>
      </c>
      <c r="F12" s="226"/>
      <c r="G12" s="226"/>
      <c r="H12" s="226"/>
      <c r="J12" s="214"/>
      <c r="K12" s="214"/>
      <c r="L12" s="214"/>
      <c r="M12" s="215"/>
      <c r="N12" s="214"/>
      <c r="O12" s="216"/>
      <c r="P12" s="216"/>
      <c r="Q12" s="216"/>
      <c r="R12" s="216"/>
    </row>
    <row r="13" spans="2:18">
      <c r="B13" s="216"/>
      <c r="C13" s="214"/>
      <c r="D13" s="214"/>
      <c r="E13" s="214"/>
      <c r="F13" s="214"/>
      <c r="G13" s="214"/>
      <c r="H13" s="214"/>
      <c r="I13" s="214"/>
      <c r="J13" s="214"/>
      <c r="K13" s="214"/>
      <c r="L13" s="214"/>
      <c r="M13" s="215"/>
      <c r="N13" s="214"/>
      <c r="O13" s="216"/>
      <c r="P13" s="216"/>
      <c r="Q13" s="216"/>
      <c r="R13" s="216"/>
    </row>
    <row r="14" spans="2:18">
      <c r="B14" s="227" t="s">
        <v>188</v>
      </c>
      <c r="C14" s="214"/>
      <c r="D14" s="214"/>
      <c r="E14" s="214"/>
      <c r="F14" s="214"/>
      <c r="G14" s="214"/>
      <c r="H14" s="214"/>
      <c r="I14" s="214"/>
      <c r="J14" s="214"/>
      <c r="K14" s="214"/>
      <c r="L14" s="214"/>
      <c r="M14" s="215"/>
      <c r="N14" s="214"/>
      <c r="O14" s="216"/>
      <c r="P14" s="216"/>
      <c r="Q14" s="216"/>
      <c r="R14" s="216"/>
    </row>
    <row r="15" spans="2:18">
      <c r="B15" s="216"/>
      <c r="C15" s="214"/>
      <c r="D15" s="214"/>
      <c r="E15" s="214"/>
      <c r="F15" s="214"/>
      <c r="G15" s="214"/>
      <c r="H15" s="214"/>
      <c r="I15" s="214"/>
      <c r="J15" s="214"/>
      <c r="K15" s="214"/>
      <c r="L15" s="214"/>
      <c r="M15" s="215"/>
      <c r="N15" s="214"/>
      <c r="O15" s="216"/>
      <c r="P15" s="216"/>
      <c r="Q15" s="216"/>
      <c r="R15" s="216"/>
    </row>
    <row r="16" spans="2:18">
      <c r="B16" s="216" t="s">
        <v>184</v>
      </c>
      <c r="C16" s="214"/>
      <c r="D16" s="228" t="str">
        <f>'Cap Table'!B54</f>
        <v>E</v>
      </c>
      <c r="E16" s="228" t="str">
        <f>'Cap Table'!B53</f>
        <v>D</v>
      </c>
      <c r="F16" s="228" t="str">
        <f>'Cap Table'!B52</f>
        <v>C</v>
      </c>
      <c r="G16" s="228" t="str">
        <f>'Cap Table'!B51</f>
        <v>B</v>
      </c>
      <c r="H16" s="228" t="str">
        <f>'Cap Table'!B50</f>
        <v>A</v>
      </c>
      <c r="I16" s="228" t="str">
        <f>'Cap Table'!B49</f>
        <v>Seed</v>
      </c>
      <c r="J16" s="228" t="s">
        <v>21</v>
      </c>
      <c r="K16" s="228" t="s">
        <v>22</v>
      </c>
      <c r="L16" s="229" t="s">
        <v>20</v>
      </c>
      <c r="M16" s="230" t="s">
        <v>538</v>
      </c>
      <c r="N16" s="214"/>
      <c r="O16" s="216"/>
      <c r="P16" s="216"/>
      <c r="Q16" s="216"/>
      <c r="R16" s="216"/>
    </row>
    <row r="17" spans="2:18">
      <c r="B17" s="218" t="str">
        <f>'Cap Table'!B54</f>
        <v>E</v>
      </c>
      <c r="C17" s="217" t="s">
        <v>170</v>
      </c>
      <c r="D17" s="218">
        <f ca="1">'Cap Table'!DX99</f>
        <v>0</v>
      </c>
      <c r="E17" s="218">
        <v>0</v>
      </c>
      <c r="F17" s="218">
        <v>0</v>
      </c>
      <c r="G17" s="218">
        <v>0</v>
      </c>
      <c r="H17" s="218">
        <v>0</v>
      </c>
      <c r="I17" s="218">
        <v>0</v>
      </c>
      <c r="J17" s="218">
        <v>0</v>
      </c>
      <c r="K17" s="218">
        <f>'Cap Table'!FD54</f>
        <v>0</v>
      </c>
      <c r="L17" s="231">
        <f t="shared" ref="L17:L25" ca="1" si="0">SUM(D17:K17)</f>
        <v>0</v>
      </c>
      <c r="M17" s="215"/>
      <c r="N17" s="214"/>
      <c r="O17" s="216"/>
      <c r="P17" s="216"/>
      <c r="Q17" s="216"/>
      <c r="R17" s="216"/>
    </row>
    <row r="18" spans="2:18">
      <c r="B18" s="218" t="str">
        <f>'Cap Table'!B53</f>
        <v>D</v>
      </c>
      <c r="C18" s="217" t="s">
        <v>170</v>
      </c>
      <c r="D18" s="218">
        <v>0</v>
      </c>
      <c r="E18" s="218">
        <f ca="1">'Cap Table'!DB99</f>
        <v>0</v>
      </c>
      <c r="F18" s="218">
        <v>0</v>
      </c>
      <c r="G18" s="218">
        <v>0</v>
      </c>
      <c r="H18" s="218">
        <v>0</v>
      </c>
      <c r="I18" s="218">
        <v>0</v>
      </c>
      <c r="J18" s="218">
        <v>0</v>
      </c>
      <c r="K18" s="218">
        <f>'Cap Table'!FD53</f>
        <v>0</v>
      </c>
      <c r="L18" s="231">
        <f t="shared" ca="1" si="0"/>
        <v>0</v>
      </c>
      <c r="M18" s="215"/>
      <c r="N18" s="214"/>
      <c r="O18" s="216"/>
      <c r="P18" s="216"/>
      <c r="Q18" s="216"/>
      <c r="R18" s="216"/>
    </row>
    <row r="19" spans="2:18">
      <c r="B19" s="218" t="str">
        <f>'Cap Table'!B52</f>
        <v>C</v>
      </c>
      <c r="C19" s="217" t="s">
        <v>170</v>
      </c>
      <c r="D19" s="218">
        <v>0</v>
      </c>
      <c r="E19" s="218">
        <v>0</v>
      </c>
      <c r="F19" s="218">
        <f ca="1">'Cap Table'!CF99</f>
        <v>0</v>
      </c>
      <c r="G19" s="218">
        <v>0</v>
      </c>
      <c r="H19" s="218">
        <v>0</v>
      </c>
      <c r="I19" s="218">
        <v>0</v>
      </c>
      <c r="J19" s="218">
        <v>0</v>
      </c>
      <c r="K19" s="218">
        <f>'Cap Table'!FD52</f>
        <v>0</v>
      </c>
      <c r="L19" s="231">
        <f t="shared" ca="1" si="0"/>
        <v>0</v>
      </c>
      <c r="M19" s="215"/>
      <c r="N19" s="214"/>
      <c r="O19" s="216"/>
      <c r="P19" s="216"/>
      <c r="Q19" s="216"/>
      <c r="R19" s="216"/>
    </row>
    <row r="20" spans="2:18">
      <c r="B20" s="218" t="str">
        <f>'Cap Table'!B51</f>
        <v>B</v>
      </c>
      <c r="C20" s="217" t="s">
        <v>170</v>
      </c>
      <c r="D20" s="218">
        <v>0</v>
      </c>
      <c r="E20" s="218">
        <v>0</v>
      </c>
      <c r="F20" s="218">
        <v>0</v>
      </c>
      <c r="G20" s="218">
        <f ca="1">'Cap Table'!BJ99</f>
        <v>0</v>
      </c>
      <c r="H20" s="218">
        <v>0</v>
      </c>
      <c r="I20" s="218">
        <v>0</v>
      </c>
      <c r="J20" s="218">
        <v>0</v>
      </c>
      <c r="K20" s="218">
        <f>'Cap Table'!FC51</f>
        <v>0</v>
      </c>
      <c r="L20" s="231">
        <f t="shared" ca="1" si="0"/>
        <v>0</v>
      </c>
      <c r="M20" s="215"/>
      <c r="N20" s="214"/>
      <c r="O20" s="216"/>
      <c r="P20" s="216"/>
      <c r="Q20" s="216"/>
      <c r="R20" s="216"/>
    </row>
    <row r="21" spans="2:18">
      <c r="B21" s="218" t="str">
        <f>'Cap Table'!B50</f>
        <v>A</v>
      </c>
      <c r="C21" s="217" t="s">
        <v>170</v>
      </c>
      <c r="D21" s="218">
        <v>0</v>
      </c>
      <c r="E21" s="218">
        <v>0</v>
      </c>
      <c r="F21" s="218">
        <v>0</v>
      </c>
      <c r="G21" s="218">
        <v>0</v>
      </c>
      <c r="H21" s="218">
        <f ca="1">'Cap Table'!AN99</f>
        <v>0</v>
      </c>
      <c r="I21" s="218">
        <v>0</v>
      </c>
      <c r="J21" s="218">
        <v>0</v>
      </c>
      <c r="K21" s="218">
        <f>'Cap Table'!FD50</f>
        <v>0</v>
      </c>
      <c r="L21" s="231">
        <f t="shared" ca="1" si="0"/>
        <v>0</v>
      </c>
      <c r="M21" s="215"/>
      <c r="N21" s="214"/>
      <c r="O21" s="216"/>
      <c r="P21" s="216"/>
      <c r="Q21" s="216"/>
      <c r="R21" s="216"/>
    </row>
    <row r="22" spans="2:18">
      <c r="B22" s="218" t="str">
        <f>'Cap Table'!B49</f>
        <v>Seed</v>
      </c>
      <c r="C22" s="217" t="s">
        <v>170</v>
      </c>
      <c r="D22" s="218">
        <v>0</v>
      </c>
      <c r="E22" s="218">
        <v>0</v>
      </c>
      <c r="F22" s="218">
        <v>0</v>
      </c>
      <c r="G22" s="218">
        <v>0</v>
      </c>
      <c r="H22" s="218">
        <v>0</v>
      </c>
      <c r="I22" s="218">
        <f ca="1">'Cap Table'!R99</f>
        <v>0</v>
      </c>
      <c r="J22" s="218">
        <v>0</v>
      </c>
      <c r="K22" s="218">
        <f>'Cap Table'!FD49</f>
        <v>0</v>
      </c>
      <c r="L22" s="231">
        <f t="shared" ca="1" si="0"/>
        <v>0</v>
      </c>
      <c r="M22" s="215"/>
      <c r="N22" s="214"/>
      <c r="O22" s="216"/>
      <c r="P22" s="216"/>
      <c r="Q22" s="216"/>
      <c r="R22" s="216"/>
    </row>
    <row r="23" spans="2:18">
      <c r="B23" s="218" t="s">
        <v>539</v>
      </c>
      <c r="C23" s="217" t="s">
        <v>170</v>
      </c>
      <c r="D23" s="218">
        <v>0</v>
      </c>
      <c r="E23" s="218">
        <v>0</v>
      </c>
      <c r="F23" s="218">
        <v>0</v>
      </c>
      <c r="G23" s="218">
        <v>0</v>
      </c>
      <c r="H23" s="218">
        <v>0</v>
      </c>
      <c r="I23" s="218">
        <v>0</v>
      </c>
      <c r="J23" s="218">
        <f ca="1">SUMIF('Cap Table'!E6:E22,'Cap Table'!B32,'Cap Table'!FC6:FC22)</f>
        <v>0</v>
      </c>
      <c r="K23" s="218">
        <v>0</v>
      </c>
      <c r="L23" s="231">
        <f t="shared" ca="1" si="0"/>
        <v>0</v>
      </c>
      <c r="M23" s="215"/>
      <c r="N23" s="214"/>
      <c r="O23" s="216"/>
      <c r="P23" s="216"/>
      <c r="Q23" s="216"/>
      <c r="R23" s="216"/>
    </row>
    <row r="24" spans="2:18">
      <c r="B24" s="218" t="s">
        <v>190</v>
      </c>
      <c r="C24" s="217" t="s">
        <v>170</v>
      </c>
      <c r="D24" s="231">
        <v>0</v>
      </c>
      <c r="E24" s="231">
        <v>0</v>
      </c>
      <c r="F24" s="231">
        <v>0</v>
      </c>
      <c r="G24" s="231">
        <v>0</v>
      </c>
      <c r="H24" s="231">
        <v>0</v>
      </c>
      <c r="I24" s="231">
        <v>0</v>
      </c>
      <c r="J24" s="231">
        <v>0</v>
      </c>
      <c r="K24" s="218">
        <f ca="1">SUM('Cap Table'!I100:DX100)-'Cap Table'!DX102</f>
        <v>0</v>
      </c>
      <c r="L24" s="231">
        <f t="shared" ca="1" si="0"/>
        <v>0</v>
      </c>
      <c r="M24" s="215" t="s">
        <v>540</v>
      </c>
      <c r="N24" s="214"/>
      <c r="O24" s="216"/>
      <c r="P24" s="216"/>
      <c r="Q24" s="216"/>
      <c r="R24" s="216"/>
    </row>
    <row r="25" spans="2:18">
      <c r="B25" s="218" t="s">
        <v>29</v>
      </c>
      <c r="C25" s="217" t="s">
        <v>170</v>
      </c>
      <c r="D25" s="231">
        <v>0</v>
      </c>
      <c r="E25" s="231">
        <v>0</v>
      </c>
      <c r="F25" s="231">
        <v>0</v>
      </c>
      <c r="G25" s="231">
        <v>0</v>
      </c>
      <c r="H25" s="231">
        <v>0</v>
      </c>
      <c r="I25" s="231">
        <v>0</v>
      </c>
      <c r="J25" s="231">
        <v>0</v>
      </c>
      <c r="K25" s="218">
        <v>0</v>
      </c>
      <c r="L25" s="231">
        <f t="shared" si="0"/>
        <v>0</v>
      </c>
      <c r="M25" s="215" t="s">
        <v>541</v>
      </c>
      <c r="N25" s="214"/>
      <c r="O25" s="216"/>
      <c r="P25" s="216"/>
      <c r="Q25" s="216"/>
      <c r="R25" s="216"/>
    </row>
    <row r="26" spans="2:18">
      <c r="B26" s="216"/>
      <c r="C26" s="214"/>
      <c r="D26" s="231"/>
      <c r="E26" s="231"/>
      <c r="F26" s="231"/>
      <c r="G26" s="231"/>
      <c r="H26" s="231"/>
      <c r="I26" s="231"/>
      <c r="J26" s="231"/>
      <c r="K26" s="231"/>
      <c r="L26" s="231"/>
      <c r="M26" s="215"/>
      <c r="N26" s="214"/>
      <c r="O26" s="216"/>
      <c r="P26" s="216"/>
      <c r="Q26" s="216"/>
      <c r="R26" s="216"/>
    </row>
    <row r="27" spans="2:18">
      <c r="B27" s="216" t="s">
        <v>189</v>
      </c>
      <c r="C27" s="217" t="s">
        <v>170</v>
      </c>
      <c r="D27" s="232">
        <f t="shared" ref="D27:L27" ca="1" si="1">SUM(D17:D25)</f>
        <v>0</v>
      </c>
      <c r="E27" s="232">
        <f t="shared" ca="1" si="1"/>
        <v>0</v>
      </c>
      <c r="F27" s="232">
        <f t="shared" ca="1" si="1"/>
        <v>0</v>
      </c>
      <c r="G27" s="232">
        <f t="shared" ca="1" si="1"/>
        <v>0</v>
      </c>
      <c r="H27" s="232">
        <f t="shared" ca="1" si="1"/>
        <v>0</v>
      </c>
      <c r="I27" s="232">
        <f t="shared" ca="1" si="1"/>
        <v>0</v>
      </c>
      <c r="J27" s="232">
        <f t="shared" ca="1" si="1"/>
        <v>0</v>
      </c>
      <c r="K27" s="232">
        <f t="shared" ca="1" si="1"/>
        <v>0</v>
      </c>
      <c r="L27" s="232">
        <f t="shared" ca="1" si="1"/>
        <v>0</v>
      </c>
      <c r="M27" s="215"/>
      <c r="N27" s="214"/>
      <c r="O27" s="216"/>
      <c r="P27" s="216"/>
      <c r="Q27" s="216"/>
      <c r="R27" s="216"/>
    </row>
    <row r="28" spans="2:18">
      <c r="B28" s="216" t="s">
        <v>194</v>
      </c>
      <c r="C28" s="217" t="s">
        <v>50</v>
      </c>
      <c r="D28" s="233">
        <f ca="1">IFERROR(D27/$L27,0)</f>
        <v>0</v>
      </c>
      <c r="E28" s="233">
        <f t="shared" ref="E28:L28" ca="1" si="2">IFERROR(E27/$L27,0)</f>
        <v>0</v>
      </c>
      <c r="F28" s="233">
        <f t="shared" ca="1" si="2"/>
        <v>0</v>
      </c>
      <c r="G28" s="233">
        <f t="shared" ca="1" si="2"/>
        <v>0</v>
      </c>
      <c r="H28" s="233">
        <f t="shared" ca="1" si="2"/>
        <v>0</v>
      </c>
      <c r="I28" s="233">
        <f t="shared" ca="1" si="2"/>
        <v>0</v>
      </c>
      <c r="J28" s="233">
        <f t="shared" ca="1" si="2"/>
        <v>0</v>
      </c>
      <c r="K28" s="233">
        <f t="shared" ca="1" si="2"/>
        <v>0</v>
      </c>
      <c r="L28" s="233">
        <f t="shared" ca="1" si="2"/>
        <v>0</v>
      </c>
      <c r="M28" s="215"/>
      <c r="N28" s="214"/>
      <c r="O28" s="216"/>
      <c r="P28" s="216"/>
      <c r="Q28" s="216"/>
      <c r="R28" s="216"/>
    </row>
    <row r="29" spans="2:18">
      <c r="B29" s="216"/>
      <c r="C29" s="214"/>
      <c r="D29" s="214"/>
      <c r="E29" s="214"/>
      <c r="F29" s="214"/>
      <c r="G29" s="214"/>
      <c r="H29" s="214"/>
      <c r="I29" s="214"/>
      <c r="J29" s="214"/>
      <c r="K29" s="214"/>
      <c r="L29" s="214"/>
      <c r="M29" s="215"/>
      <c r="N29" s="214"/>
      <c r="O29" s="216"/>
      <c r="P29" s="216"/>
      <c r="Q29" s="216"/>
      <c r="R29" s="216"/>
    </row>
    <row r="30" spans="2:18">
      <c r="B30" s="216" t="s">
        <v>185</v>
      </c>
      <c r="C30" s="217" t="str">
        <f>'Cap Table'!$D$61</f>
        <v>$</v>
      </c>
      <c r="D30" s="234">
        <f ca="1">IF('Cap Table'!DX63=0,'Cap Table'!DX77,'Cap Table'!DX63)</f>
        <v>0</v>
      </c>
      <c r="E30" s="234">
        <f ca="1">IF('Cap Table'!DB63=0,'Cap Table'!DB77,'Cap Table'!DB63)</f>
        <v>0</v>
      </c>
      <c r="F30" s="234">
        <f ca="1">IF('Cap Table'!CF63=0,'Cap Table'!CF77,'Cap Table'!CF63)</f>
        <v>0</v>
      </c>
      <c r="G30" s="234">
        <f ca="1">IF('Cap Table'!BJ63=0,'Cap Table'!BJ77,'Cap Table'!BJ63)</f>
        <v>0</v>
      </c>
      <c r="H30" s="234">
        <f ca="1">IF('Cap Table'!AN63=0,'Cap Table'!AN77,'Cap Table'!AN63)</f>
        <v>0</v>
      </c>
      <c r="I30" s="235">
        <f ca="1">IF('Cap Table'!R63=0,'Cap Table'!R77,'Cap Table'!R63)</f>
        <v>0</v>
      </c>
      <c r="J30" s="235">
        <f>'Cap Table'!I63</f>
        <v>0</v>
      </c>
      <c r="K30" s="235">
        <v>0</v>
      </c>
      <c r="L30" s="235">
        <f ca="1">IFERROR(SUMPRODUCT(D30:K30,D31:K31)/L31,0)</f>
        <v>0</v>
      </c>
      <c r="M30" s="215" t="s">
        <v>542</v>
      </c>
      <c r="N30" s="214"/>
      <c r="O30" s="216"/>
      <c r="P30" s="216"/>
      <c r="Q30" s="216"/>
      <c r="R30" s="216"/>
    </row>
    <row r="31" spans="2:18">
      <c r="B31" s="216" t="s">
        <v>191</v>
      </c>
      <c r="C31" s="217" t="str">
        <f>'Cap Table'!$D$61</f>
        <v>$</v>
      </c>
      <c r="D31" s="236">
        <f ca="1">IF(D30&lt;&gt;0,'Cap Table'!DX66+'Cap Table'!DX69-'Cap Table'!DX67,0)</f>
        <v>0</v>
      </c>
      <c r="E31" s="236">
        <f ca="1">IF(E30&lt;&gt;0,'Cap Table'!DB66+'Cap Table'!DB69-'Cap Table'!DB67,0)</f>
        <v>0</v>
      </c>
      <c r="F31" s="236">
        <f ca="1">IF(F30&lt;&gt;0,'Cap Table'!CF66+'Cap Table'!CF69-'Cap Table'!CF67,0)</f>
        <v>0</v>
      </c>
      <c r="G31" s="236">
        <f ca="1">IF(G30&lt;&gt;0,'Cap Table'!BJ66+'Cap Table'!BJ69-'Cap Table'!BJ67,0)</f>
        <v>0</v>
      </c>
      <c r="H31" s="236">
        <f ca="1">IF(H30&lt;&gt;0,'Cap Table'!AN66+'Cap Table'!AN69-'Cap Table'!AN67,0)</f>
        <v>0</v>
      </c>
      <c r="I31" s="236">
        <f ca="1">IF(I30&lt;&gt;0,'Cap Table'!R66+'Cap Table'!R69-'Cap Table'!R67,0)</f>
        <v>0</v>
      </c>
      <c r="J31" s="236">
        <f>IF(J30&lt;&gt;0,'Cap Table'!I66+'Cap Table'!I69-'Cap Table'!I67,0)</f>
        <v>0</v>
      </c>
      <c r="K31" s="236">
        <f t="shared" ref="K31" ca="1" si="3">IFERROR(K30*K27,0)</f>
        <v>0</v>
      </c>
      <c r="L31" s="237">
        <f ca="1">SUM(D31:K31)</f>
        <v>0</v>
      </c>
      <c r="M31" s="215" t="s">
        <v>542</v>
      </c>
      <c r="N31" s="214"/>
      <c r="O31" s="216"/>
      <c r="P31" s="216"/>
      <c r="Q31" s="216"/>
      <c r="R31" s="216"/>
    </row>
    <row r="32" spans="2:18">
      <c r="B32" s="227"/>
      <c r="C32" s="214"/>
      <c r="D32" s="214"/>
      <c r="E32" s="214"/>
      <c r="F32" s="214"/>
      <c r="G32" s="214"/>
      <c r="I32" s="214"/>
      <c r="J32" s="214"/>
      <c r="K32" s="214"/>
      <c r="L32" s="231"/>
      <c r="M32" s="215"/>
      <c r="N32" s="214"/>
      <c r="O32" s="216"/>
      <c r="P32" s="216"/>
      <c r="Q32" s="216"/>
      <c r="R32" s="216"/>
    </row>
    <row r="33" spans="2:18">
      <c r="B33" s="227" t="s">
        <v>28</v>
      </c>
      <c r="C33" s="227"/>
      <c r="D33" s="214"/>
      <c r="E33" s="214"/>
      <c r="F33" s="214"/>
      <c r="G33" s="214"/>
      <c r="H33" s="214"/>
      <c r="I33" s="238"/>
      <c r="J33" s="216"/>
      <c r="K33" s="216"/>
      <c r="L33" s="216"/>
      <c r="M33" s="215" t="s">
        <v>543</v>
      </c>
      <c r="N33" s="216"/>
      <c r="O33" s="216"/>
      <c r="P33" s="216"/>
    </row>
    <row r="34" spans="2:18">
      <c r="B34" s="216" t="s">
        <v>28</v>
      </c>
      <c r="C34" s="217" t="str">
        <f>'Cap Table'!$D$61</f>
        <v>$</v>
      </c>
      <c r="D34" s="236">
        <f ca="1">(D31+'Cap Table'!DX67)*'Cap Table'!DX93</f>
        <v>0</v>
      </c>
      <c r="E34" s="236">
        <f ca="1">(E31+'Cap Table'!DB67)*'Cap Table'!DB93</f>
        <v>0</v>
      </c>
      <c r="F34" s="236">
        <f ca="1">(F31+'Cap Table'!CF67)*'Cap Table'!CF93</f>
        <v>0</v>
      </c>
      <c r="G34" s="236">
        <f ca="1">(G31+'Cap Table'!BJ67)*'Cap Table'!BJ93</f>
        <v>0</v>
      </c>
      <c r="H34" s="236">
        <f ca="1">(H31+'Cap Table'!AN67)*'Cap Table'!AN93</f>
        <v>0</v>
      </c>
      <c r="I34" s="236">
        <f ca="1">(I31+'Cap Table'!R67)*'Cap Table'!R93</f>
        <v>0</v>
      </c>
      <c r="J34" s="236">
        <f t="shared" ref="J34:K34" si="4">J31</f>
        <v>0</v>
      </c>
      <c r="K34" s="236">
        <f t="shared" ca="1" si="4"/>
        <v>0</v>
      </c>
      <c r="L34" s="237">
        <f ca="1">SUM(D34:G34)</f>
        <v>0</v>
      </c>
      <c r="M34" s="215" t="s">
        <v>544</v>
      </c>
      <c r="N34" s="216"/>
      <c r="O34" s="216"/>
      <c r="P34" s="216"/>
    </row>
    <row r="35" spans="2:18">
      <c r="B35" s="219" t="s">
        <v>167</v>
      </c>
      <c r="C35" s="217" t="s">
        <v>300</v>
      </c>
      <c r="D35" s="239" t="str">
        <f>'Cap Table'!DX94</f>
        <v>Non Participating Preferred</v>
      </c>
      <c r="E35" s="239" t="str">
        <f>'Cap Table'!DB94</f>
        <v>Non Participating Preferred</v>
      </c>
      <c r="F35" s="239" t="str">
        <f>'Cap Table'!CF94</f>
        <v>Non Participating Preferred</v>
      </c>
      <c r="G35" s="239" t="str">
        <f>'Cap Table'!BJ94</f>
        <v>Non Participating Preferred</v>
      </c>
      <c r="H35" s="239" t="str">
        <f>'Cap Table'!AN94</f>
        <v>Non Participating Preferred</v>
      </c>
      <c r="I35" s="239" t="str">
        <f>'Cap Table'!R94</f>
        <v>Non Participating Preferred</v>
      </c>
      <c r="J35" s="240" t="s">
        <v>27</v>
      </c>
      <c r="K35" s="240" t="s">
        <v>27</v>
      </c>
      <c r="M35" s="230" t="s">
        <v>545</v>
      </c>
    </row>
    <row r="36" spans="2:18">
      <c r="B36" s="219" t="s">
        <v>168</v>
      </c>
      <c r="C36" s="217" t="s">
        <v>170</v>
      </c>
      <c r="D36" s="241">
        <f>'Cap Table'!DX95</f>
        <v>3</v>
      </c>
      <c r="E36" s="241">
        <f>'Cap Table'!DB95</f>
        <v>2</v>
      </c>
      <c r="F36" s="241">
        <f>'Cap Table'!CF95</f>
        <v>1.5</v>
      </c>
      <c r="G36" s="241">
        <f>'Cap Table'!BJ95</f>
        <v>2</v>
      </c>
      <c r="H36" s="241">
        <f>'Cap Table'!AN95</f>
        <v>2</v>
      </c>
      <c r="I36" s="241">
        <f>'Cap Table'!R95</f>
        <v>2</v>
      </c>
      <c r="J36" s="240" t="s">
        <v>27</v>
      </c>
      <c r="K36" s="242" t="s">
        <v>27</v>
      </c>
      <c r="M36" s="215" t="s">
        <v>546</v>
      </c>
    </row>
    <row r="37" spans="2:18">
      <c r="B37" s="216"/>
      <c r="C37" s="214"/>
      <c r="D37" s="214"/>
      <c r="E37" s="214"/>
      <c r="F37" s="214"/>
      <c r="G37" s="214"/>
      <c r="H37" s="214"/>
      <c r="I37" s="214"/>
      <c r="J37" s="214"/>
      <c r="K37" s="214"/>
      <c r="L37" s="214"/>
      <c r="N37" s="214"/>
      <c r="O37" s="214"/>
      <c r="P37" s="214"/>
      <c r="Q37" s="216"/>
      <c r="R37" s="216"/>
    </row>
    <row r="38" spans="2:18">
      <c r="B38" s="216"/>
      <c r="C38" s="214"/>
      <c r="D38" s="214"/>
      <c r="E38" s="214"/>
      <c r="F38" s="214"/>
      <c r="G38" s="214"/>
      <c r="H38" s="214"/>
      <c r="I38" s="214"/>
      <c r="J38" s="214"/>
      <c r="K38" s="214"/>
      <c r="L38" s="214"/>
      <c r="M38" s="214"/>
      <c r="N38" s="214"/>
      <c r="O38" s="214"/>
      <c r="P38" s="214"/>
      <c r="Q38" s="216"/>
      <c r="R38" s="216"/>
    </row>
    <row r="39" spans="2:18" s="11" customFormat="1">
      <c r="B39" s="243" t="s">
        <v>195</v>
      </c>
      <c r="C39" s="244"/>
      <c r="D39" s="244"/>
      <c r="E39" s="244"/>
      <c r="F39" s="244"/>
      <c r="G39" s="244"/>
      <c r="H39" s="244"/>
      <c r="I39" s="244"/>
      <c r="J39" s="244"/>
      <c r="K39" s="244"/>
      <c r="L39" s="244"/>
      <c r="M39" s="244"/>
      <c r="N39" s="244"/>
      <c r="O39" s="244"/>
      <c r="P39" s="245"/>
      <c r="Q39" s="245"/>
      <c r="R39" s="245"/>
    </row>
    <row r="40" spans="2:18">
      <c r="D40" s="43"/>
      <c r="E40" s="43"/>
      <c r="F40" s="43"/>
      <c r="G40" s="43"/>
      <c r="H40" s="43"/>
      <c r="I40" s="43"/>
      <c r="J40" s="43"/>
      <c r="K40" s="43"/>
      <c r="L40" s="43"/>
      <c r="M40" s="43"/>
      <c r="N40" s="43"/>
      <c r="O40" s="43"/>
      <c r="P40" s="216"/>
    </row>
    <row r="41" spans="2:18">
      <c r="B41" s="216" t="s">
        <v>166</v>
      </c>
      <c r="C41" s="217" t="str">
        <f>'Cap Table'!$D$61</f>
        <v>$</v>
      </c>
      <c r="D41" s="218">
        <f>E41*(1-$D10)</f>
        <v>0</v>
      </c>
      <c r="E41" s="218">
        <f t="shared" ref="E41:G41" si="5">F41*(1-$D10)</f>
        <v>0</v>
      </c>
      <c r="F41" s="218">
        <f t="shared" si="5"/>
        <v>0</v>
      </c>
      <c r="G41" s="218">
        <f t="shared" si="5"/>
        <v>0</v>
      </c>
      <c r="H41" s="218">
        <f>D6</f>
        <v>0</v>
      </c>
      <c r="I41" s="218">
        <f>H41*(1+$D10)</f>
        <v>0</v>
      </c>
      <c r="J41" s="218">
        <f>I41*(1+$D10)</f>
        <v>0</v>
      </c>
      <c r="K41" s="218">
        <f>J41*(1+$D10)</f>
        <v>0</v>
      </c>
      <c r="L41" s="218">
        <f>K41*(1+$D10)</f>
        <v>0</v>
      </c>
      <c r="M41" s="230" t="s">
        <v>547</v>
      </c>
      <c r="N41" s="214"/>
      <c r="O41" s="216"/>
      <c r="P41" s="216"/>
    </row>
    <row r="42" spans="2:18">
      <c r="B42" s="216" t="s">
        <v>189</v>
      </c>
      <c r="C42" s="43" t="s">
        <v>170</v>
      </c>
      <c r="D42" s="6">
        <f t="shared" ref="D42:L42" ca="1" si="6">$D7</f>
        <v>0</v>
      </c>
      <c r="E42" s="6">
        <f t="shared" ca="1" si="6"/>
        <v>0</v>
      </c>
      <c r="F42" s="6">
        <f t="shared" ca="1" si="6"/>
        <v>0</v>
      </c>
      <c r="G42" s="6">
        <f t="shared" ca="1" si="6"/>
        <v>0</v>
      </c>
      <c r="H42" s="6">
        <f t="shared" ca="1" si="6"/>
        <v>0</v>
      </c>
      <c r="I42" s="6">
        <f t="shared" ca="1" si="6"/>
        <v>0</v>
      </c>
      <c r="J42" s="6">
        <f t="shared" ca="1" si="6"/>
        <v>0</v>
      </c>
      <c r="K42" s="6">
        <f t="shared" ca="1" si="6"/>
        <v>0</v>
      </c>
      <c r="L42" s="6">
        <f t="shared" ca="1" si="6"/>
        <v>0</v>
      </c>
      <c r="M42" s="215" t="s">
        <v>548</v>
      </c>
      <c r="N42" s="214"/>
      <c r="O42" s="216"/>
    </row>
    <row r="43" spans="2:18">
      <c r="B43" s="216" t="s">
        <v>164</v>
      </c>
      <c r="C43" s="214" t="s">
        <v>170</v>
      </c>
      <c r="D43" s="214">
        <f ca="1">IFERROR(D41/$L31,0)</f>
        <v>0</v>
      </c>
      <c r="E43" s="214">
        <f t="shared" ref="E43:L43" ca="1" si="7">IFERROR(E41/$L31,0)</f>
        <v>0</v>
      </c>
      <c r="F43" s="214">
        <f t="shared" ca="1" si="7"/>
        <v>0</v>
      </c>
      <c r="G43" s="214">
        <f t="shared" ca="1" si="7"/>
        <v>0</v>
      </c>
      <c r="H43" s="214">
        <f t="shared" ca="1" si="7"/>
        <v>0</v>
      </c>
      <c r="I43" s="214">
        <f t="shared" ca="1" si="7"/>
        <v>0</v>
      </c>
      <c r="J43" s="214">
        <f t="shared" ca="1" si="7"/>
        <v>0</v>
      </c>
      <c r="K43" s="214">
        <f t="shared" ca="1" si="7"/>
        <v>0</v>
      </c>
      <c r="L43" s="214">
        <f t="shared" ca="1" si="7"/>
        <v>0</v>
      </c>
      <c r="M43" s="215" t="s">
        <v>549</v>
      </c>
      <c r="N43" s="214"/>
      <c r="O43" s="216"/>
    </row>
    <row r="44" spans="2:18">
      <c r="B44" s="216" t="s">
        <v>19</v>
      </c>
      <c r="C44" s="217" t="str">
        <f>'Cap Table'!$D$61</f>
        <v>$</v>
      </c>
      <c r="D44" s="246">
        <f t="shared" ref="D44:L44" ca="1" si="8">IFERROR(D41/D42,0)</f>
        <v>0</v>
      </c>
      <c r="E44" s="246">
        <f t="shared" ca="1" si="8"/>
        <v>0</v>
      </c>
      <c r="F44" s="246">
        <f t="shared" ca="1" si="8"/>
        <v>0</v>
      </c>
      <c r="G44" s="246">
        <f t="shared" ca="1" si="8"/>
        <v>0</v>
      </c>
      <c r="H44" s="246">
        <f t="shared" ca="1" si="8"/>
        <v>0</v>
      </c>
      <c r="I44" s="246">
        <f t="shared" ca="1" si="8"/>
        <v>0</v>
      </c>
      <c r="J44" s="246">
        <f t="shared" ca="1" si="8"/>
        <v>0</v>
      </c>
      <c r="K44" s="246">
        <f t="shared" ca="1" si="8"/>
        <v>0</v>
      </c>
      <c r="L44" s="246">
        <f t="shared" ca="1" si="8"/>
        <v>0</v>
      </c>
      <c r="M44" s="215" t="s">
        <v>550</v>
      </c>
      <c r="N44" s="214"/>
      <c r="O44" s="216"/>
    </row>
    <row r="45" spans="2:18">
      <c r="B45" s="216"/>
      <c r="M45" s="215"/>
      <c r="N45" s="214"/>
      <c r="O45" s="216"/>
    </row>
    <row r="46" spans="2:18" s="11" customFormat="1">
      <c r="B46" s="247" t="str">
        <f>D$16&amp;" Round Shareholders"</f>
        <v>E Round Shareholders</v>
      </c>
      <c r="C46" s="93"/>
      <c r="D46" s="248"/>
      <c r="E46" s="248"/>
      <c r="F46" s="248"/>
      <c r="G46" s="248"/>
      <c r="H46" s="248"/>
      <c r="I46" s="248"/>
      <c r="J46" s="248"/>
      <c r="K46" s="248"/>
      <c r="L46" s="248"/>
      <c r="M46" s="248"/>
      <c r="N46" s="244"/>
      <c r="O46" s="245"/>
    </row>
    <row r="47" spans="2:18" s="11" customFormat="1">
      <c r="B47" s="245" t="s">
        <v>199</v>
      </c>
      <c r="C47" s="249" t="str">
        <f>'Cap Table'!$D$61</f>
        <v>$</v>
      </c>
      <c r="D47" s="6">
        <f>D41</f>
        <v>0</v>
      </c>
      <c r="E47" s="6">
        <f t="shared" ref="E47:L47" si="9">E41</f>
        <v>0</v>
      </c>
      <c r="F47" s="6">
        <f t="shared" si="9"/>
        <v>0</v>
      </c>
      <c r="G47" s="6">
        <f t="shared" si="9"/>
        <v>0</v>
      </c>
      <c r="H47" s="6">
        <f t="shared" si="9"/>
        <v>0</v>
      </c>
      <c r="I47" s="6">
        <f t="shared" si="9"/>
        <v>0</v>
      </c>
      <c r="J47" s="6">
        <f t="shared" si="9"/>
        <v>0</v>
      </c>
      <c r="K47" s="6">
        <f t="shared" si="9"/>
        <v>0</v>
      </c>
      <c r="L47" s="6">
        <f t="shared" si="9"/>
        <v>0</v>
      </c>
      <c r="M47" s="215" t="s">
        <v>551</v>
      </c>
    </row>
    <row r="48" spans="2:18" s="11" customFormat="1">
      <c r="B48" s="245" t="s">
        <v>204</v>
      </c>
      <c r="C48" s="93" t="s">
        <v>170</v>
      </c>
      <c r="D48" s="6">
        <f t="shared" ref="D48:L48" ca="1" si="10">D42</f>
        <v>0</v>
      </c>
      <c r="E48" s="6">
        <f t="shared" ca="1" si="10"/>
        <v>0</v>
      </c>
      <c r="F48" s="6">
        <f t="shared" ca="1" si="10"/>
        <v>0</v>
      </c>
      <c r="G48" s="6">
        <f t="shared" ca="1" si="10"/>
        <v>0</v>
      </c>
      <c r="H48" s="6">
        <f t="shared" ca="1" si="10"/>
        <v>0</v>
      </c>
      <c r="I48" s="6">
        <f t="shared" ca="1" si="10"/>
        <v>0</v>
      </c>
      <c r="J48" s="6">
        <f t="shared" ca="1" si="10"/>
        <v>0</v>
      </c>
      <c r="K48" s="6">
        <f t="shared" ca="1" si="10"/>
        <v>0</v>
      </c>
      <c r="L48" s="6">
        <f t="shared" ca="1" si="10"/>
        <v>0</v>
      </c>
      <c r="M48" s="215" t="s">
        <v>552</v>
      </c>
    </row>
    <row r="49" spans="2:13" s="11" customFormat="1">
      <c r="B49" s="245" t="s">
        <v>197</v>
      </c>
      <c r="C49" s="249" t="str">
        <f>'Cap Table'!$D$61</f>
        <v>$</v>
      </c>
      <c r="D49" s="250" t="e">
        <f ca="1">IF($D$11="no",MAX(0,D$41)/D$42*D52,IF($D$34="full participating preferred",MAX(0,D$41-D$156)/D$42*D52,MAX(0,D$41)/D$42*D52))</f>
        <v>#DIV/0!</v>
      </c>
      <c r="E49" s="250" t="e">
        <f t="shared" ref="E49:L49" ca="1" si="11">IF($D$11="no",MAX(0,E$41)/E$42*E52,IF($D$34="full participating preferred",MAX(0,E$41-E$156)/E$42*E52,MAX(0,E$41)/E$42*E52))</f>
        <v>#DIV/0!</v>
      </c>
      <c r="F49" s="250" t="e">
        <f t="shared" ca="1" si="11"/>
        <v>#DIV/0!</v>
      </c>
      <c r="G49" s="250" t="e">
        <f t="shared" ca="1" si="11"/>
        <v>#DIV/0!</v>
      </c>
      <c r="H49" s="250" t="e">
        <f t="shared" ca="1" si="11"/>
        <v>#DIV/0!</v>
      </c>
      <c r="I49" s="250" t="e">
        <f t="shared" ca="1" si="11"/>
        <v>#DIV/0!</v>
      </c>
      <c r="J49" s="250" t="e">
        <f t="shared" ca="1" si="11"/>
        <v>#DIV/0!</v>
      </c>
      <c r="K49" s="250" t="e">
        <f t="shared" ca="1" si="11"/>
        <v>#DIV/0!</v>
      </c>
      <c r="L49" s="250" t="e">
        <f t="shared" ca="1" si="11"/>
        <v>#DIV/0!</v>
      </c>
      <c r="M49" s="248" t="s">
        <v>553</v>
      </c>
    </row>
    <row r="50" spans="2:13" s="11" customFormat="1">
      <c r="B50" s="245" t="s">
        <v>196</v>
      </c>
      <c r="C50" s="249" t="str">
        <f>'Cap Table'!$D$61</f>
        <v>$</v>
      </c>
      <c r="D50" s="68">
        <f ca="1">$D34</f>
        <v>0</v>
      </c>
      <c r="E50" s="68">
        <f t="shared" ref="E50:L50" ca="1" si="12">$D34</f>
        <v>0</v>
      </c>
      <c r="F50" s="68">
        <f t="shared" ca="1" si="12"/>
        <v>0</v>
      </c>
      <c r="G50" s="68">
        <f t="shared" ca="1" si="12"/>
        <v>0</v>
      </c>
      <c r="H50" s="68">
        <f t="shared" ca="1" si="12"/>
        <v>0</v>
      </c>
      <c r="I50" s="68">
        <f t="shared" ca="1" si="12"/>
        <v>0</v>
      </c>
      <c r="J50" s="68">
        <f t="shared" ca="1" si="12"/>
        <v>0</v>
      </c>
      <c r="K50" s="68">
        <f t="shared" ca="1" si="12"/>
        <v>0</v>
      </c>
      <c r="L50" s="68">
        <f t="shared" ca="1" si="12"/>
        <v>0</v>
      </c>
      <c r="M50" s="248" t="s">
        <v>554</v>
      </c>
    </row>
    <row r="51" spans="2:13" s="11" customFormat="1">
      <c r="B51" s="245" t="s">
        <v>555</v>
      </c>
      <c r="C51" s="249" t="str">
        <f>'Cap Table'!$D$61</f>
        <v>$</v>
      </c>
      <c r="D51" s="251" t="str">
        <f>IF($D$35="participating preferred with a cap",$D34*$D36,IF($D$35="full participating preferred",0,"na"))</f>
        <v>na</v>
      </c>
      <c r="E51" s="251" t="str">
        <f t="shared" ref="E51:L51" si="13">IF($D$35="participating preferred with a cap",$D34*$D36,IF($D$35="full participating preferred",0,"na"))</f>
        <v>na</v>
      </c>
      <c r="F51" s="251" t="str">
        <f t="shared" si="13"/>
        <v>na</v>
      </c>
      <c r="G51" s="251" t="str">
        <f t="shared" si="13"/>
        <v>na</v>
      </c>
      <c r="H51" s="251" t="str">
        <f t="shared" si="13"/>
        <v>na</v>
      </c>
      <c r="I51" s="251" t="str">
        <f t="shared" si="13"/>
        <v>na</v>
      </c>
      <c r="J51" s="251" t="str">
        <f t="shared" si="13"/>
        <v>na</v>
      </c>
      <c r="K51" s="251" t="str">
        <f t="shared" si="13"/>
        <v>na</v>
      </c>
      <c r="L51" s="251" t="str">
        <f t="shared" si="13"/>
        <v>na</v>
      </c>
      <c r="M51" s="252" t="s">
        <v>556</v>
      </c>
    </row>
    <row r="52" spans="2:13" s="11" customFormat="1">
      <c r="B52" s="245" t="str">
        <f>"Shares, "&amp;B46</f>
        <v>Shares, E Round Shareholders</v>
      </c>
      <c r="C52" s="249" t="s">
        <v>170</v>
      </c>
      <c r="D52" s="68">
        <f ca="1">$D27</f>
        <v>0</v>
      </c>
      <c r="E52" s="68">
        <f t="shared" ref="E52:L52" ca="1" si="14">$D27</f>
        <v>0</v>
      </c>
      <c r="F52" s="68">
        <f t="shared" ca="1" si="14"/>
        <v>0</v>
      </c>
      <c r="G52" s="68">
        <f t="shared" ca="1" si="14"/>
        <v>0</v>
      </c>
      <c r="H52" s="68">
        <f t="shared" ca="1" si="14"/>
        <v>0</v>
      </c>
      <c r="I52" s="68">
        <f t="shared" ca="1" si="14"/>
        <v>0</v>
      </c>
      <c r="J52" s="68">
        <f t="shared" ca="1" si="14"/>
        <v>0</v>
      </c>
      <c r="K52" s="68">
        <f t="shared" ca="1" si="14"/>
        <v>0</v>
      </c>
      <c r="L52" s="68">
        <f t="shared" ca="1" si="14"/>
        <v>0</v>
      </c>
      <c r="M52" s="248" t="s">
        <v>557</v>
      </c>
    </row>
    <row r="53" spans="2:13" s="11" customFormat="1">
      <c r="B53" s="245" t="s">
        <v>203</v>
      </c>
      <c r="C53" s="249" t="s">
        <v>419</v>
      </c>
      <c r="D53" s="77" t="e">
        <f ca="1">IF(OR($D$35="full participating preferred",AND($D$35="non participating preferred",D49&gt;D50),IF($D$11="no",AND($D$35="participating preferred with a cap",D47&lt;&gt;0,D47&gt;D50,D52&lt;&gt;0),AND($D$35="participating preferred with a cap",D47&lt;&gt;0,D$41&gt;D$156,D52&lt;&gt;0))),"yes","no")</f>
        <v>#DIV/0!</v>
      </c>
      <c r="E53" s="77" t="e">
        <f t="shared" ref="E53:L53" ca="1" si="15">IF(OR($D$35="full participating preferred",AND($D$35="non participating preferred",E49&gt;E50),IF($D$11="no",AND($D$35="participating preferred with a cap",E47&lt;&gt;0,E47&gt;E50,E52&lt;&gt;0),AND($D$35="participating preferred with a cap",E47&lt;&gt;0,E$41&gt;E$156,E52&lt;&gt;0))),"yes","no")</f>
        <v>#DIV/0!</v>
      </c>
      <c r="F53" s="77" t="e">
        <f t="shared" ca="1" si="15"/>
        <v>#DIV/0!</v>
      </c>
      <c r="G53" s="77" t="e">
        <f t="shared" ca="1" si="15"/>
        <v>#DIV/0!</v>
      </c>
      <c r="H53" s="77" t="e">
        <f t="shared" ca="1" si="15"/>
        <v>#DIV/0!</v>
      </c>
      <c r="I53" s="77" t="e">
        <f t="shared" ca="1" si="15"/>
        <v>#DIV/0!</v>
      </c>
      <c r="J53" s="77" t="e">
        <f t="shared" ca="1" si="15"/>
        <v>#DIV/0!</v>
      </c>
      <c r="K53" s="77" t="e">
        <f t="shared" ca="1" si="15"/>
        <v>#DIV/0!</v>
      </c>
      <c r="L53" s="77" t="e">
        <f t="shared" ca="1" si="15"/>
        <v>#DIV/0!</v>
      </c>
      <c r="M53" s="248" t="s">
        <v>558</v>
      </c>
    </row>
    <row r="54" spans="2:13" s="11" customFormat="1">
      <c r="B54" s="245" t="s">
        <v>202</v>
      </c>
      <c r="C54" s="249" t="s">
        <v>170</v>
      </c>
      <c r="D54" s="68" t="e">
        <f ca="1">IF(D53="yes",D52,0)</f>
        <v>#DIV/0!</v>
      </c>
      <c r="E54" s="68" t="e">
        <f t="shared" ref="E54:L54" ca="1" si="16">IF(E53="yes",E52,0)</f>
        <v>#DIV/0!</v>
      </c>
      <c r="F54" s="68" t="e">
        <f t="shared" ca="1" si="16"/>
        <v>#DIV/0!</v>
      </c>
      <c r="G54" s="68" t="e">
        <f t="shared" ca="1" si="16"/>
        <v>#DIV/0!</v>
      </c>
      <c r="H54" s="68" t="e">
        <f t="shared" ca="1" si="16"/>
        <v>#DIV/0!</v>
      </c>
      <c r="I54" s="68" t="e">
        <f t="shared" ca="1" si="16"/>
        <v>#DIV/0!</v>
      </c>
      <c r="J54" s="68" t="e">
        <f t="shared" ca="1" si="16"/>
        <v>#DIV/0!</v>
      </c>
      <c r="K54" s="68" t="e">
        <f t="shared" ca="1" si="16"/>
        <v>#DIV/0!</v>
      </c>
      <c r="L54" s="68" t="e">
        <f t="shared" ca="1" si="16"/>
        <v>#DIV/0!</v>
      </c>
      <c r="M54" s="252" t="s">
        <v>559</v>
      </c>
    </row>
    <row r="55" spans="2:13" s="11" customFormat="1">
      <c r="B55" s="245" t="s">
        <v>200</v>
      </c>
      <c r="C55" s="249" t="str">
        <f>'Cap Table'!$D$61</f>
        <v>$</v>
      </c>
      <c r="D55" s="250">
        <f>IF($D$35="full participating preferred",IF($D$11="no",D54/$L$27*MAX(0,IF(D$41&lt;=D91,0,D$41-D$156)),D54*D$133),IF($D$35="participating preferred with a cap",IF($D$11="no",MIN(MAX(0,D49-D50),D51),IF(D49&gt;D51,0,MAX(0,IF($D$11="no",D54/$L$27*MAX(0,IF(D$41&lt;=D$156,0,D$41-D$156))),D54*D$133))),0))</f>
        <v>0</v>
      </c>
      <c r="E55" s="250">
        <f t="shared" ref="E55:L55" si="17">IF($D$35="full participating preferred",IF($D$11="no",E54/$L$27*MAX(0,IF(E$41&lt;=E91,0,E$41-E$156)),E54*E$133),IF($D$35="participating preferred with a cap",IF($D$11="no",MIN(MAX(0,E49-E50),E51),IF(E49&gt;E51,0,MAX(0,IF($D$11="no",E54/$L$27*MAX(0,IF(E$41&lt;=E$156,0,E$41-E$156))),E54*E$133))),0))</f>
        <v>0</v>
      </c>
      <c r="F55" s="250">
        <f t="shared" si="17"/>
        <v>0</v>
      </c>
      <c r="G55" s="250">
        <f t="shared" si="17"/>
        <v>0</v>
      </c>
      <c r="H55" s="250">
        <f t="shared" si="17"/>
        <v>0</v>
      </c>
      <c r="I55" s="250">
        <f t="shared" si="17"/>
        <v>0</v>
      </c>
      <c r="J55" s="250">
        <f t="shared" si="17"/>
        <v>0</v>
      </c>
      <c r="K55" s="250">
        <f t="shared" si="17"/>
        <v>0</v>
      </c>
      <c r="L55" s="250">
        <f t="shared" si="17"/>
        <v>0</v>
      </c>
      <c r="M55" s="248" t="s">
        <v>560</v>
      </c>
    </row>
    <row r="56" spans="2:13" s="11" customFormat="1">
      <c r="B56" s="245" t="s">
        <v>23</v>
      </c>
      <c r="C56" s="249" t="str">
        <f>'Cap Table'!$D$61</f>
        <v>$</v>
      </c>
      <c r="D56" s="68" t="e">
        <f t="shared" ref="D56:L56" ca="1" si="18">MIN(D47,MAX(D54*D$133,D50+D55))</f>
        <v>#DIV/0!</v>
      </c>
      <c r="E56" s="68" t="e">
        <f t="shared" ca="1" si="18"/>
        <v>#DIV/0!</v>
      </c>
      <c r="F56" s="68" t="e">
        <f t="shared" ca="1" si="18"/>
        <v>#DIV/0!</v>
      </c>
      <c r="G56" s="68" t="e">
        <f t="shared" ca="1" si="18"/>
        <v>#DIV/0!</v>
      </c>
      <c r="H56" s="68" t="e">
        <f t="shared" ca="1" si="18"/>
        <v>#DIV/0!</v>
      </c>
      <c r="I56" s="68" t="e">
        <f t="shared" ca="1" si="18"/>
        <v>#DIV/0!</v>
      </c>
      <c r="J56" s="68" t="e">
        <f t="shared" ca="1" si="18"/>
        <v>#DIV/0!</v>
      </c>
      <c r="K56" s="68" t="e">
        <f t="shared" ca="1" si="18"/>
        <v>#DIV/0!</v>
      </c>
      <c r="L56" s="68" t="e">
        <f t="shared" ca="1" si="18"/>
        <v>#DIV/0!</v>
      </c>
      <c r="M56" s="248" t="s">
        <v>561</v>
      </c>
    </row>
    <row r="57" spans="2:13" s="11" customFormat="1">
      <c r="B57" s="245" t="s">
        <v>19</v>
      </c>
      <c r="C57" s="249" t="str">
        <f>'Cap Table'!$D$61</f>
        <v>$</v>
      </c>
      <c r="D57" s="253">
        <f ca="1">IFERROR(D56/D52,0)</f>
        <v>0</v>
      </c>
      <c r="E57" s="253">
        <f t="shared" ref="E57:L57" ca="1" si="19">IFERROR(E56/E52,0)</f>
        <v>0</v>
      </c>
      <c r="F57" s="253">
        <f t="shared" ca="1" si="19"/>
        <v>0</v>
      </c>
      <c r="G57" s="253">
        <f t="shared" ca="1" si="19"/>
        <v>0</v>
      </c>
      <c r="H57" s="253">
        <f t="shared" ca="1" si="19"/>
        <v>0</v>
      </c>
      <c r="I57" s="253">
        <f t="shared" ca="1" si="19"/>
        <v>0</v>
      </c>
      <c r="J57" s="253">
        <f t="shared" ca="1" si="19"/>
        <v>0</v>
      </c>
      <c r="K57" s="253">
        <f t="shared" ca="1" si="19"/>
        <v>0</v>
      </c>
      <c r="L57" s="253">
        <f t="shared" ca="1" si="19"/>
        <v>0</v>
      </c>
      <c r="M57" s="248" t="s">
        <v>562</v>
      </c>
    </row>
    <row r="58" spans="2:13" s="11" customFormat="1">
      <c r="B58" s="245"/>
      <c r="C58" s="93"/>
      <c r="I58" s="68"/>
      <c r="M58" s="254"/>
    </row>
    <row r="59" spans="2:13" s="11" customFormat="1">
      <c r="B59" s="247" t="str">
        <f>E$16&amp;" Round Shareholders"</f>
        <v>D Round Shareholders</v>
      </c>
      <c r="C59" s="93"/>
    </row>
    <row r="60" spans="2:13" s="11" customFormat="1">
      <c r="B60" s="245" t="s">
        <v>199</v>
      </c>
      <c r="C60" s="249" t="str">
        <f>'Cap Table'!$D$61</f>
        <v>$</v>
      </c>
      <c r="D60" s="68" t="e">
        <f ca="1">IF(D53="no",MAX(0,D47-D50),IF($D35="full participating preferred",MAX(0,D47-D50),IF(AND($D35="participating preferred with a cap",D55&lt;&gt;0),MAX(0,D47-D50),D47)))</f>
        <v>#DIV/0!</v>
      </c>
      <c r="E60" s="68" t="e">
        <f t="shared" ref="E60:L60" ca="1" si="20">IF(E53="no",MAX(0,E47-E50),IF($D35="full participating preferred",MAX(0,E47-E50),IF(AND($D35="participating preferred with a cap",E55&lt;&gt;0),MAX(0,E47-E50),E47)))</f>
        <v>#DIV/0!</v>
      </c>
      <c r="F60" s="68" t="e">
        <f t="shared" ca="1" si="20"/>
        <v>#DIV/0!</v>
      </c>
      <c r="G60" s="68" t="e">
        <f t="shared" ca="1" si="20"/>
        <v>#DIV/0!</v>
      </c>
      <c r="H60" s="68" t="e">
        <f t="shared" ca="1" si="20"/>
        <v>#DIV/0!</v>
      </c>
      <c r="I60" s="68" t="e">
        <f t="shared" ca="1" si="20"/>
        <v>#DIV/0!</v>
      </c>
      <c r="J60" s="68" t="e">
        <f t="shared" ca="1" si="20"/>
        <v>#DIV/0!</v>
      </c>
      <c r="K60" s="68" t="e">
        <f t="shared" ca="1" si="20"/>
        <v>#DIV/0!</v>
      </c>
      <c r="L60" s="68" t="e">
        <f t="shared" ca="1" si="20"/>
        <v>#DIV/0!</v>
      </c>
      <c r="M60" s="248" t="s">
        <v>563</v>
      </c>
    </row>
    <row r="61" spans="2:13" s="11" customFormat="1">
      <c r="B61" s="245" t="s">
        <v>204</v>
      </c>
      <c r="C61" s="93" t="s">
        <v>170</v>
      </c>
      <c r="D61" s="68" t="e">
        <f ca="1">D48-D54</f>
        <v>#DIV/0!</v>
      </c>
      <c r="E61" s="68" t="e">
        <f t="shared" ref="E61:L61" ca="1" si="21">E48-E54</f>
        <v>#DIV/0!</v>
      </c>
      <c r="F61" s="68" t="e">
        <f t="shared" ca="1" si="21"/>
        <v>#DIV/0!</v>
      </c>
      <c r="G61" s="68" t="e">
        <f t="shared" ca="1" si="21"/>
        <v>#DIV/0!</v>
      </c>
      <c r="H61" s="68" t="e">
        <f t="shared" ca="1" si="21"/>
        <v>#DIV/0!</v>
      </c>
      <c r="I61" s="68" t="e">
        <f t="shared" ca="1" si="21"/>
        <v>#DIV/0!</v>
      </c>
      <c r="J61" s="68" t="e">
        <f t="shared" ca="1" si="21"/>
        <v>#DIV/0!</v>
      </c>
      <c r="K61" s="68" t="e">
        <f t="shared" ca="1" si="21"/>
        <v>#DIV/0!</v>
      </c>
      <c r="L61" s="68" t="e">
        <f t="shared" ca="1" si="21"/>
        <v>#DIV/0!</v>
      </c>
      <c r="M61" s="62"/>
    </row>
    <row r="62" spans="2:13" s="11" customFormat="1">
      <c r="B62" s="245" t="s">
        <v>197</v>
      </c>
      <c r="C62" s="249" t="str">
        <f>'Cap Table'!$D$61</f>
        <v>$</v>
      </c>
      <c r="D62" s="250" t="e">
        <f ca="1">IF($D$11="no",MAX(0,D60)/D61*D65,IF($E$34="full participating preferred",MAX(0,D60-D$156)/D61*D65,MAX(0,D60)/D61*D65))</f>
        <v>#DIV/0!</v>
      </c>
      <c r="E62" s="250" t="e">
        <f t="shared" ref="E62:L62" ca="1" si="22">IF($D$11="no",MAX(0,E60)/E61*E65,IF($E$34="full participating preferred",MAX(0,E60-E$156)/E61*E65,MAX(0,E60)/E61*E65))</f>
        <v>#DIV/0!</v>
      </c>
      <c r="F62" s="250" t="e">
        <f t="shared" ca="1" si="22"/>
        <v>#DIV/0!</v>
      </c>
      <c r="G62" s="250" t="e">
        <f t="shared" ca="1" si="22"/>
        <v>#DIV/0!</v>
      </c>
      <c r="H62" s="250" t="e">
        <f t="shared" ca="1" si="22"/>
        <v>#DIV/0!</v>
      </c>
      <c r="I62" s="250" t="e">
        <f t="shared" ca="1" si="22"/>
        <v>#DIV/0!</v>
      </c>
      <c r="J62" s="250" t="e">
        <f t="shared" ca="1" si="22"/>
        <v>#DIV/0!</v>
      </c>
      <c r="K62" s="250" t="e">
        <f t="shared" ca="1" si="22"/>
        <v>#DIV/0!</v>
      </c>
      <c r="L62" s="250" t="e">
        <f t="shared" ca="1" si="22"/>
        <v>#DIV/0!</v>
      </c>
      <c r="M62" s="62"/>
    </row>
    <row r="63" spans="2:13" s="11" customFormat="1">
      <c r="B63" s="245" t="s">
        <v>196</v>
      </c>
      <c r="C63" s="249" t="str">
        <f>'Cap Table'!$D$61</f>
        <v>$</v>
      </c>
      <c r="D63" s="251">
        <f ca="1">$E34</f>
        <v>0</v>
      </c>
      <c r="E63" s="251">
        <f t="shared" ref="E63:L63" ca="1" si="23">$E34</f>
        <v>0</v>
      </c>
      <c r="F63" s="251">
        <f t="shared" ca="1" si="23"/>
        <v>0</v>
      </c>
      <c r="G63" s="251">
        <f t="shared" ca="1" si="23"/>
        <v>0</v>
      </c>
      <c r="H63" s="251">
        <f t="shared" ca="1" si="23"/>
        <v>0</v>
      </c>
      <c r="I63" s="251">
        <f t="shared" ca="1" si="23"/>
        <v>0</v>
      </c>
      <c r="J63" s="251">
        <f t="shared" ca="1" si="23"/>
        <v>0</v>
      </c>
      <c r="K63" s="251">
        <f t="shared" ca="1" si="23"/>
        <v>0</v>
      </c>
      <c r="L63" s="251">
        <f t="shared" ca="1" si="23"/>
        <v>0</v>
      </c>
      <c r="M63" s="62"/>
    </row>
    <row r="64" spans="2:13" s="11" customFormat="1">
      <c r="B64" s="245" t="s">
        <v>555</v>
      </c>
      <c r="C64" s="249" t="str">
        <f>'Cap Table'!$D$61</f>
        <v>$</v>
      </c>
      <c r="D64" s="251" t="str">
        <f>IF($E$35="participating preferred with a cap",$E34*$E36,IF($E$35="full participating preferred",0,"na"))</f>
        <v>na</v>
      </c>
      <c r="E64" s="251" t="str">
        <f t="shared" ref="E64:L64" si="24">IF($E$35="participating preferred with a cap",$E34*$E36,IF($E$35="full participating preferred",0,"na"))</f>
        <v>na</v>
      </c>
      <c r="F64" s="251" t="str">
        <f t="shared" si="24"/>
        <v>na</v>
      </c>
      <c r="G64" s="251" t="str">
        <f t="shared" si="24"/>
        <v>na</v>
      </c>
      <c r="H64" s="251" t="str">
        <f t="shared" si="24"/>
        <v>na</v>
      </c>
      <c r="I64" s="251" t="str">
        <f t="shared" si="24"/>
        <v>na</v>
      </c>
      <c r="J64" s="251" t="str">
        <f t="shared" si="24"/>
        <v>na</v>
      </c>
      <c r="K64" s="251" t="str">
        <f t="shared" si="24"/>
        <v>na</v>
      </c>
      <c r="L64" s="251" t="str">
        <f t="shared" si="24"/>
        <v>na</v>
      </c>
      <c r="M64" s="62"/>
    </row>
    <row r="65" spans="2:13" s="11" customFormat="1">
      <c r="B65" s="245" t="str">
        <f>"Shares, "&amp;B59</f>
        <v>Shares, D Round Shareholders</v>
      </c>
      <c r="C65" s="249" t="s">
        <v>170</v>
      </c>
      <c r="D65" s="68">
        <f ca="1">$E27</f>
        <v>0</v>
      </c>
      <c r="E65" s="68">
        <f t="shared" ref="E65:L65" ca="1" si="25">$E27</f>
        <v>0</v>
      </c>
      <c r="F65" s="68">
        <f t="shared" ca="1" si="25"/>
        <v>0</v>
      </c>
      <c r="G65" s="68">
        <f t="shared" ca="1" si="25"/>
        <v>0</v>
      </c>
      <c r="H65" s="68">
        <f t="shared" ca="1" si="25"/>
        <v>0</v>
      </c>
      <c r="I65" s="68">
        <f t="shared" ca="1" si="25"/>
        <v>0</v>
      </c>
      <c r="J65" s="68">
        <f t="shared" ca="1" si="25"/>
        <v>0</v>
      </c>
      <c r="K65" s="68">
        <f t="shared" ca="1" si="25"/>
        <v>0</v>
      </c>
      <c r="L65" s="68">
        <f t="shared" ca="1" si="25"/>
        <v>0</v>
      </c>
      <c r="M65" s="62"/>
    </row>
    <row r="66" spans="2:13" s="11" customFormat="1">
      <c r="B66" s="245" t="s">
        <v>203</v>
      </c>
      <c r="C66" s="249" t="s">
        <v>419</v>
      </c>
      <c r="D66" s="77" t="e">
        <f ca="1">IF(OR($E$35="full participating preferred",AND($E$35="non participating preferred",D62&gt;D63),IF($D$11="no",AND($E$35="participating preferred with a cap",D60&lt;&gt;0,D60&gt;D63,D65&lt;&gt;0),AND($E$35="participating preferred with a cap",D60&lt;&gt;0,D$41&gt;D$156,D65&lt;&gt;0))),"yes","no")</f>
        <v>#DIV/0!</v>
      </c>
      <c r="E66" s="77" t="e">
        <f t="shared" ref="E66:L66" ca="1" si="26">IF(OR($E$35="full participating preferred",AND($E$35="non participating preferred",E62&gt;E63),IF($D$11="no",AND($E$35="participating preferred with a cap",E60&lt;&gt;0,E60&gt;E63,E65&lt;&gt;0),AND($E$35="participating preferred with a cap",E60&lt;&gt;0,E$41&gt;E$156,E65&lt;&gt;0))),"yes","no")</f>
        <v>#DIV/0!</v>
      </c>
      <c r="F66" s="77" t="e">
        <f t="shared" ca="1" si="26"/>
        <v>#DIV/0!</v>
      </c>
      <c r="G66" s="77" t="e">
        <f t="shared" ca="1" si="26"/>
        <v>#DIV/0!</v>
      </c>
      <c r="H66" s="77" t="e">
        <f t="shared" ca="1" si="26"/>
        <v>#DIV/0!</v>
      </c>
      <c r="I66" s="77" t="e">
        <f t="shared" ca="1" si="26"/>
        <v>#DIV/0!</v>
      </c>
      <c r="J66" s="77" t="e">
        <f t="shared" ca="1" si="26"/>
        <v>#DIV/0!</v>
      </c>
      <c r="K66" s="77" t="e">
        <f t="shared" ca="1" si="26"/>
        <v>#DIV/0!</v>
      </c>
      <c r="L66" s="77" t="e">
        <f t="shared" ca="1" si="26"/>
        <v>#DIV/0!</v>
      </c>
      <c r="M66" s="62"/>
    </row>
    <row r="67" spans="2:13" s="11" customFormat="1">
      <c r="B67" s="245" t="s">
        <v>202</v>
      </c>
      <c r="C67" s="249" t="s">
        <v>170</v>
      </c>
      <c r="D67" s="68" t="e">
        <f ca="1">IF(D66="yes",D65,0)</f>
        <v>#DIV/0!</v>
      </c>
      <c r="E67" s="68" t="e">
        <f t="shared" ref="E67:L67" ca="1" si="27">IF(E66="yes",E65,0)</f>
        <v>#DIV/0!</v>
      </c>
      <c r="F67" s="68" t="e">
        <f t="shared" ca="1" si="27"/>
        <v>#DIV/0!</v>
      </c>
      <c r="G67" s="68" t="e">
        <f t="shared" ca="1" si="27"/>
        <v>#DIV/0!</v>
      </c>
      <c r="H67" s="68" t="e">
        <f t="shared" ca="1" si="27"/>
        <v>#DIV/0!</v>
      </c>
      <c r="I67" s="68" t="e">
        <f t="shared" ca="1" si="27"/>
        <v>#DIV/0!</v>
      </c>
      <c r="J67" s="68" t="e">
        <f t="shared" ca="1" si="27"/>
        <v>#DIV/0!</v>
      </c>
      <c r="K67" s="68" t="e">
        <f t="shared" ca="1" si="27"/>
        <v>#DIV/0!</v>
      </c>
      <c r="L67" s="68" t="e">
        <f t="shared" ca="1" si="27"/>
        <v>#DIV/0!</v>
      </c>
      <c r="M67" s="62"/>
    </row>
    <row r="68" spans="2:13" s="11" customFormat="1">
      <c r="B68" s="245" t="s">
        <v>200</v>
      </c>
      <c r="C68" s="249" t="str">
        <f>'Cap Table'!$D$61</f>
        <v>$</v>
      </c>
      <c r="D68" s="250">
        <f>IF($E$35="full participating preferred",IF($D$11="no",D67/$L$27*MAX(0,IF(D$41&lt;=D104,0,D$41-D$156)),D67*D$133),IF($E$35="participating preferred with a cap",IF($D$11="no",MIN(MAX(0,D62-D63),D64),IF(D62&gt;D64,0,MAX(0,IF($D$11="no",D67/$L$27*MAX(0,IF(D$41&lt;=D$156,0,D$41-D$156))),D67*D$133))),0))</f>
        <v>0</v>
      </c>
      <c r="E68" s="250">
        <f t="shared" ref="E68:L68" si="28">IF($E$35="full participating preferred",IF($D$11="no",E67/$L$27*MAX(0,IF(E$41&lt;=E104,0,E$41-E$156)),E67*E$133),IF($E$35="participating preferred with a cap",IF($D$11="no",MIN(MAX(0,E62-E63),E64),IF(E62&gt;E64,0,MAX(0,IF($D$11="no",E67/$L$27*MAX(0,IF(E$41&lt;=E$156,0,E$41-E$156))),E67*E$133))),0))</f>
        <v>0</v>
      </c>
      <c r="F68" s="250">
        <f t="shared" si="28"/>
        <v>0</v>
      </c>
      <c r="G68" s="250">
        <f t="shared" si="28"/>
        <v>0</v>
      </c>
      <c r="H68" s="250">
        <f t="shared" si="28"/>
        <v>0</v>
      </c>
      <c r="I68" s="250">
        <f t="shared" si="28"/>
        <v>0</v>
      </c>
      <c r="J68" s="250">
        <f t="shared" si="28"/>
        <v>0</v>
      </c>
      <c r="K68" s="250">
        <f t="shared" si="28"/>
        <v>0</v>
      </c>
      <c r="L68" s="250">
        <f t="shared" si="28"/>
        <v>0</v>
      </c>
      <c r="M68" s="62"/>
    </row>
    <row r="69" spans="2:13" s="11" customFormat="1">
      <c r="B69" s="245" t="s">
        <v>23</v>
      </c>
      <c r="C69" s="249" t="str">
        <f>'Cap Table'!$D$61</f>
        <v>$</v>
      </c>
      <c r="D69" s="68" t="e">
        <f t="shared" ref="D69:L69" ca="1" si="29">MIN(D60,MAX(D67*D$133,D63+D68))</f>
        <v>#DIV/0!</v>
      </c>
      <c r="E69" s="68" t="e">
        <f t="shared" ca="1" si="29"/>
        <v>#DIV/0!</v>
      </c>
      <c r="F69" s="68" t="e">
        <f t="shared" ca="1" si="29"/>
        <v>#DIV/0!</v>
      </c>
      <c r="G69" s="68" t="e">
        <f t="shared" ca="1" si="29"/>
        <v>#DIV/0!</v>
      </c>
      <c r="H69" s="68" t="e">
        <f t="shared" ca="1" si="29"/>
        <v>#DIV/0!</v>
      </c>
      <c r="I69" s="68" t="e">
        <f t="shared" ca="1" si="29"/>
        <v>#DIV/0!</v>
      </c>
      <c r="J69" s="68" t="e">
        <f t="shared" ca="1" si="29"/>
        <v>#DIV/0!</v>
      </c>
      <c r="K69" s="68" t="e">
        <f t="shared" ca="1" si="29"/>
        <v>#DIV/0!</v>
      </c>
      <c r="L69" s="68" t="e">
        <f t="shared" ca="1" si="29"/>
        <v>#DIV/0!</v>
      </c>
      <c r="M69" s="62"/>
    </row>
    <row r="70" spans="2:13" s="11" customFormat="1">
      <c r="B70" s="245" t="s">
        <v>19</v>
      </c>
      <c r="C70" s="249" t="str">
        <f>'Cap Table'!$D$61</f>
        <v>$</v>
      </c>
      <c r="D70" s="253">
        <f ca="1">IFERROR(D69/D65,0)</f>
        <v>0</v>
      </c>
      <c r="E70" s="253">
        <f t="shared" ref="E70:L70" ca="1" si="30">IFERROR(E69/E65,0)</f>
        <v>0</v>
      </c>
      <c r="F70" s="253">
        <f t="shared" ca="1" si="30"/>
        <v>0</v>
      </c>
      <c r="G70" s="253">
        <f t="shared" ca="1" si="30"/>
        <v>0</v>
      </c>
      <c r="H70" s="253">
        <f t="shared" ca="1" si="30"/>
        <v>0</v>
      </c>
      <c r="I70" s="253">
        <f t="shared" ca="1" si="30"/>
        <v>0</v>
      </c>
      <c r="J70" s="253">
        <f t="shared" ca="1" si="30"/>
        <v>0</v>
      </c>
      <c r="K70" s="253">
        <f t="shared" ca="1" si="30"/>
        <v>0</v>
      </c>
      <c r="L70" s="253">
        <f t="shared" ca="1" si="30"/>
        <v>0</v>
      </c>
      <c r="M70" s="62"/>
    </row>
    <row r="71" spans="2:13" s="11" customFormat="1">
      <c r="C71" s="93"/>
      <c r="M71" s="62"/>
    </row>
    <row r="72" spans="2:13" s="11" customFormat="1">
      <c r="B72" s="247" t="str">
        <f>F$16&amp;" Round Shareholders"</f>
        <v>C Round Shareholders</v>
      </c>
      <c r="C72" s="93"/>
      <c r="D72" s="68"/>
      <c r="E72" s="68"/>
      <c r="F72" s="68"/>
      <c r="G72" s="68"/>
      <c r="H72" s="68"/>
      <c r="I72" s="68"/>
      <c r="J72" s="68"/>
      <c r="K72" s="68"/>
      <c r="L72" s="68"/>
      <c r="M72" s="62"/>
    </row>
    <row r="73" spans="2:13" s="11" customFormat="1">
      <c r="B73" s="245" t="s">
        <v>199</v>
      </c>
      <c r="C73" s="249" t="str">
        <f>'Cap Table'!$D$61</f>
        <v>$</v>
      </c>
      <c r="D73" s="68" t="e">
        <f ca="1">IF(D66="no",MAX(0,D60-D63),IF($E$35="full participating preferred",MAX(0,D60-D63),IF(AND($E$35="participating preferred with a cap",D68&lt;&gt;0),MAX(0,D60-D63),D60)))</f>
        <v>#DIV/0!</v>
      </c>
      <c r="E73" s="68" t="e">
        <f t="shared" ref="E73:L73" ca="1" si="31">IF(E66="no",MAX(0,E60-E63),IF($E$35="full participating preferred",MAX(0,E60-E63),IF(AND($E$35="participating preferred with a cap",E68&lt;&gt;0),MAX(0,E60-E63),E60)))</f>
        <v>#DIV/0!</v>
      </c>
      <c r="F73" s="68" t="e">
        <f t="shared" ca="1" si="31"/>
        <v>#DIV/0!</v>
      </c>
      <c r="G73" s="68" t="e">
        <f t="shared" ca="1" si="31"/>
        <v>#DIV/0!</v>
      </c>
      <c r="H73" s="68" t="e">
        <f t="shared" ca="1" si="31"/>
        <v>#DIV/0!</v>
      </c>
      <c r="I73" s="68" t="e">
        <f t="shared" ca="1" si="31"/>
        <v>#DIV/0!</v>
      </c>
      <c r="J73" s="68" t="e">
        <f t="shared" ca="1" si="31"/>
        <v>#DIV/0!</v>
      </c>
      <c r="K73" s="68" t="e">
        <f t="shared" ca="1" si="31"/>
        <v>#DIV/0!</v>
      </c>
      <c r="L73" s="68" t="e">
        <f t="shared" ca="1" si="31"/>
        <v>#DIV/0!</v>
      </c>
      <c r="M73" s="248" t="s">
        <v>563</v>
      </c>
    </row>
    <row r="74" spans="2:13" s="11" customFormat="1">
      <c r="B74" s="245" t="s">
        <v>204</v>
      </c>
      <c r="C74" s="93" t="s">
        <v>170</v>
      </c>
      <c r="D74" s="68" t="e">
        <f ca="1">D61-D67</f>
        <v>#DIV/0!</v>
      </c>
      <c r="E74" s="68" t="e">
        <f t="shared" ref="E74:L74" ca="1" si="32">E61-E67</f>
        <v>#DIV/0!</v>
      </c>
      <c r="F74" s="68" t="e">
        <f t="shared" ca="1" si="32"/>
        <v>#DIV/0!</v>
      </c>
      <c r="G74" s="68" t="e">
        <f t="shared" ca="1" si="32"/>
        <v>#DIV/0!</v>
      </c>
      <c r="H74" s="68" t="e">
        <f t="shared" ca="1" si="32"/>
        <v>#DIV/0!</v>
      </c>
      <c r="I74" s="68" t="e">
        <f t="shared" ca="1" si="32"/>
        <v>#DIV/0!</v>
      </c>
      <c r="J74" s="68" t="e">
        <f t="shared" ca="1" si="32"/>
        <v>#DIV/0!</v>
      </c>
      <c r="K74" s="68" t="e">
        <f t="shared" ca="1" si="32"/>
        <v>#DIV/0!</v>
      </c>
      <c r="L74" s="68" t="e">
        <f t="shared" ca="1" si="32"/>
        <v>#DIV/0!</v>
      </c>
      <c r="M74" s="62"/>
    </row>
    <row r="75" spans="2:13" s="11" customFormat="1">
      <c r="B75" s="245" t="s">
        <v>197</v>
      </c>
      <c r="C75" s="249" t="str">
        <f>'Cap Table'!$D$61</f>
        <v>$</v>
      </c>
      <c r="D75" s="250" t="e">
        <f ca="1">IF($D$11="no",MAX(0,D73)/D74*D78,IF($F$34="full participating preferred",MAX(0,D73-D$156)/D74*D78,MAX(0,D73)/D74*D78))</f>
        <v>#DIV/0!</v>
      </c>
      <c r="E75" s="250" t="e">
        <f t="shared" ref="E75:L75" ca="1" si="33">IF($D$11="no",MAX(0,E73)/E74*E78,IF($F$34="full participating preferred",MAX(0,E73-E$156)/E74*E78,MAX(0,E73)/E74*E78))</f>
        <v>#DIV/0!</v>
      </c>
      <c r="F75" s="250" t="e">
        <f t="shared" ca="1" si="33"/>
        <v>#DIV/0!</v>
      </c>
      <c r="G75" s="250" t="e">
        <f t="shared" ca="1" si="33"/>
        <v>#DIV/0!</v>
      </c>
      <c r="H75" s="250" t="e">
        <f t="shared" ca="1" si="33"/>
        <v>#DIV/0!</v>
      </c>
      <c r="I75" s="250" t="e">
        <f t="shared" ca="1" si="33"/>
        <v>#DIV/0!</v>
      </c>
      <c r="J75" s="250" t="e">
        <f t="shared" ca="1" si="33"/>
        <v>#DIV/0!</v>
      </c>
      <c r="K75" s="250" t="e">
        <f t="shared" ca="1" si="33"/>
        <v>#DIV/0!</v>
      </c>
      <c r="L75" s="250" t="e">
        <f t="shared" ca="1" si="33"/>
        <v>#DIV/0!</v>
      </c>
      <c r="M75" s="62"/>
    </row>
    <row r="76" spans="2:13" s="11" customFormat="1">
      <c r="B76" s="245" t="s">
        <v>196</v>
      </c>
      <c r="C76" s="249" t="str">
        <f>'Cap Table'!$D$61</f>
        <v>$</v>
      </c>
      <c r="D76" s="251">
        <f ca="1">$F$34</f>
        <v>0</v>
      </c>
      <c r="E76" s="251">
        <f t="shared" ref="E76:L76" ca="1" si="34">$F$34</f>
        <v>0</v>
      </c>
      <c r="F76" s="251">
        <f t="shared" ca="1" si="34"/>
        <v>0</v>
      </c>
      <c r="G76" s="251">
        <f t="shared" ca="1" si="34"/>
        <v>0</v>
      </c>
      <c r="H76" s="251">
        <f t="shared" ca="1" si="34"/>
        <v>0</v>
      </c>
      <c r="I76" s="251">
        <f t="shared" ca="1" si="34"/>
        <v>0</v>
      </c>
      <c r="J76" s="251">
        <f t="shared" ca="1" si="34"/>
        <v>0</v>
      </c>
      <c r="K76" s="251">
        <f t="shared" ca="1" si="34"/>
        <v>0</v>
      </c>
      <c r="L76" s="251">
        <f t="shared" ca="1" si="34"/>
        <v>0</v>
      </c>
      <c r="M76" s="62"/>
    </row>
    <row r="77" spans="2:13" s="11" customFormat="1">
      <c r="B77" s="245" t="s">
        <v>555</v>
      </c>
      <c r="C77" s="249" t="str">
        <f>'Cap Table'!$D$61</f>
        <v>$</v>
      </c>
      <c r="D77" s="251" t="str">
        <f>IF($F$35="participating preferred with a cap",$F$34*$F$36,IF($F$35="full participating preferred",0,"na"))</f>
        <v>na</v>
      </c>
      <c r="E77" s="251" t="str">
        <f t="shared" ref="E77:L77" si="35">IF($F$35="participating preferred with a cap",$F$34*$F$36,IF($F$35="full participating preferred",0,"na"))</f>
        <v>na</v>
      </c>
      <c r="F77" s="251" t="str">
        <f t="shared" si="35"/>
        <v>na</v>
      </c>
      <c r="G77" s="251" t="str">
        <f t="shared" si="35"/>
        <v>na</v>
      </c>
      <c r="H77" s="251" t="str">
        <f t="shared" si="35"/>
        <v>na</v>
      </c>
      <c r="I77" s="251" t="str">
        <f t="shared" si="35"/>
        <v>na</v>
      </c>
      <c r="J77" s="251" t="str">
        <f t="shared" si="35"/>
        <v>na</v>
      </c>
      <c r="K77" s="251" t="str">
        <f t="shared" si="35"/>
        <v>na</v>
      </c>
      <c r="L77" s="251" t="str">
        <f t="shared" si="35"/>
        <v>na</v>
      </c>
      <c r="M77" s="62"/>
    </row>
    <row r="78" spans="2:13" s="11" customFormat="1">
      <c r="B78" s="245" t="str">
        <f>"Shares, "&amp;B72</f>
        <v>Shares, C Round Shareholders</v>
      </c>
      <c r="C78" s="249" t="s">
        <v>170</v>
      </c>
      <c r="D78" s="68">
        <f ca="1">$F$27</f>
        <v>0</v>
      </c>
      <c r="E78" s="68">
        <f t="shared" ref="E78:L78" ca="1" si="36">$F$27</f>
        <v>0</v>
      </c>
      <c r="F78" s="68">
        <f t="shared" ca="1" si="36"/>
        <v>0</v>
      </c>
      <c r="G78" s="68">
        <f t="shared" ca="1" si="36"/>
        <v>0</v>
      </c>
      <c r="H78" s="68">
        <f t="shared" ca="1" si="36"/>
        <v>0</v>
      </c>
      <c r="I78" s="68">
        <f t="shared" ca="1" si="36"/>
        <v>0</v>
      </c>
      <c r="J78" s="68">
        <f t="shared" ca="1" si="36"/>
        <v>0</v>
      </c>
      <c r="K78" s="68">
        <f t="shared" ca="1" si="36"/>
        <v>0</v>
      </c>
      <c r="L78" s="68">
        <f t="shared" ca="1" si="36"/>
        <v>0</v>
      </c>
      <c r="M78" s="62"/>
    </row>
    <row r="79" spans="2:13" s="11" customFormat="1">
      <c r="B79" s="245" t="s">
        <v>203</v>
      </c>
      <c r="C79" s="249" t="s">
        <v>300</v>
      </c>
      <c r="D79" s="77" t="e">
        <f ca="1">IF(OR($F$35="full participating preferred",AND($F$35="non participating preferred",D75&gt;D76),IF($D$11="no",AND($F$35="participating preferred with a cap",D73&lt;&gt;0,D73&gt;D76,D78&lt;&gt;0),AND($F$35="participating preferred with a cap",D73&lt;&gt;0,D$41&gt;D$156,D78&lt;&gt;0))),"yes","no")</f>
        <v>#DIV/0!</v>
      </c>
      <c r="E79" s="77" t="e">
        <f t="shared" ref="E79:L79" ca="1" si="37">IF(OR($F$35="full participating preferred",AND($F$35="non participating preferred",E75&gt;E76),IF($D$11="no",AND($F$35="participating preferred with a cap",E73&lt;&gt;0,E73&gt;E76,E78&lt;&gt;0),AND($F$35="participating preferred with a cap",E73&lt;&gt;0,E$41&gt;E$156,E78&lt;&gt;0))),"yes","no")</f>
        <v>#DIV/0!</v>
      </c>
      <c r="F79" s="77" t="e">
        <f t="shared" ca="1" si="37"/>
        <v>#DIV/0!</v>
      </c>
      <c r="G79" s="77" t="e">
        <f t="shared" ca="1" si="37"/>
        <v>#DIV/0!</v>
      </c>
      <c r="H79" s="77" t="e">
        <f t="shared" ca="1" si="37"/>
        <v>#DIV/0!</v>
      </c>
      <c r="I79" s="77" t="e">
        <f t="shared" ca="1" si="37"/>
        <v>#DIV/0!</v>
      </c>
      <c r="J79" s="77" t="e">
        <f t="shared" ca="1" si="37"/>
        <v>#DIV/0!</v>
      </c>
      <c r="K79" s="77" t="e">
        <f t="shared" ca="1" si="37"/>
        <v>#DIV/0!</v>
      </c>
      <c r="L79" s="77" t="e">
        <f t="shared" ca="1" si="37"/>
        <v>#DIV/0!</v>
      </c>
      <c r="M79" s="62"/>
    </row>
    <row r="80" spans="2:13" s="11" customFormat="1">
      <c r="B80" s="245" t="s">
        <v>202</v>
      </c>
      <c r="C80" s="249" t="s">
        <v>170</v>
      </c>
      <c r="D80" s="68" t="e">
        <f ca="1">IF(D79="yes",D78,0)</f>
        <v>#DIV/0!</v>
      </c>
      <c r="E80" s="68" t="e">
        <f t="shared" ref="E80:L80" ca="1" si="38">IF(E79="yes",E78,0)</f>
        <v>#DIV/0!</v>
      </c>
      <c r="F80" s="68" t="e">
        <f t="shared" ca="1" si="38"/>
        <v>#DIV/0!</v>
      </c>
      <c r="G80" s="68" t="e">
        <f t="shared" ca="1" si="38"/>
        <v>#DIV/0!</v>
      </c>
      <c r="H80" s="68" t="e">
        <f t="shared" ca="1" si="38"/>
        <v>#DIV/0!</v>
      </c>
      <c r="I80" s="68" t="e">
        <f t="shared" ca="1" si="38"/>
        <v>#DIV/0!</v>
      </c>
      <c r="J80" s="68" t="e">
        <f t="shared" ca="1" si="38"/>
        <v>#DIV/0!</v>
      </c>
      <c r="K80" s="68" t="e">
        <f t="shared" ca="1" si="38"/>
        <v>#DIV/0!</v>
      </c>
      <c r="L80" s="68" t="e">
        <f t="shared" ca="1" si="38"/>
        <v>#DIV/0!</v>
      </c>
      <c r="M80" s="62"/>
    </row>
    <row r="81" spans="2:13" s="11" customFormat="1">
      <c r="B81" s="245" t="s">
        <v>200</v>
      </c>
      <c r="C81" s="249" t="str">
        <f>'Cap Table'!$D$61</f>
        <v>$</v>
      </c>
      <c r="D81" s="250">
        <f>IF($F$35="full participating preferred",IF($D$11="no",D80/$L$27*MAX(0,IF(D$41&lt;=D117,0,D$41-D$156)),D80*D$133),IF($F$35="participating preferred with a cap",IF($D$11="no",MIN(MAX(0,D75-D76),D77),IF(D75&gt;D77,0,MAX(0,IF($D$11="no",D80/$L$27*MAX(0,IF(D$41&lt;=D$156,0,D$41-D$156))),D80*D$133))),0))</f>
        <v>0</v>
      </c>
      <c r="E81" s="250">
        <f t="shared" ref="E81:L81" si="39">IF($F$35="full participating preferred",IF($D$11="no",E80/$L$27*MAX(0,IF(E$41&lt;=E117,0,E$41-E$156)),E80*E$133),IF($F$35="participating preferred with a cap",IF($D$11="no",MIN(MAX(0,E75-E76),E77),IF(E75&gt;E77,0,MAX(0,IF($D$11="no",E80/$L$27*MAX(0,IF(E$41&lt;=E$156,0,E$41-E$156))),E80*E$133))),0))</f>
        <v>0</v>
      </c>
      <c r="F81" s="250">
        <f t="shared" si="39"/>
        <v>0</v>
      </c>
      <c r="G81" s="250">
        <f t="shared" si="39"/>
        <v>0</v>
      </c>
      <c r="H81" s="250">
        <f t="shared" si="39"/>
        <v>0</v>
      </c>
      <c r="I81" s="250">
        <f t="shared" si="39"/>
        <v>0</v>
      </c>
      <c r="J81" s="250">
        <f t="shared" si="39"/>
        <v>0</v>
      </c>
      <c r="K81" s="250">
        <f t="shared" si="39"/>
        <v>0</v>
      </c>
      <c r="L81" s="250">
        <f t="shared" si="39"/>
        <v>0</v>
      </c>
      <c r="M81" s="62"/>
    </row>
    <row r="82" spans="2:13" s="11" customFormat="1">
      <c r="B82" s="245" t="s">
        <v>23</v>
      </c>
      <c r="C82" s="249" t="str">
        <f>'Cap Table'!$D$61</f>
        <v>$</v>
      </c>
      <c r="D82" s="68" t="e">
        <f t="shared" ref="D82:L82" ca="1" si="40">MIN(D73,MAX(D80*D$133,D76+D81))</f>
        <v>#DIV/0!</v>
      </c>
      <c r="E82" s="68" t="e">
        <f t="shared" ca="1" si="40"/>
        <v>#DIV/0!</v>
      </c>
      <c r="F82" s="68" t="e">
        <f t="shared" ca="1" si="40"/>
        <v>#DIV/0!</v>
      </c>
      <c r="G82" s="68" t="e">
        <f t="shared" ca="1" si="40"/>
        <v>#DIV/0!</v>
      </c>
      <c r="H82" s="68" t="e">
        <f t="shared" ca="1" si="40"/>
        <v>#DIV/0!</v>
      </c>
      <c r="I82" s="68" t="e">
        <f t="shared" ca="1" si="40"/>
        <v>#DIV/0!</v>
      </c>
      <c r="J82" s="68" t="e">
        <f t="shared" ca="1" si="40"/>
        <v>#DIV/0!</v>
      </c>
      <c r="K82" s="68" t="e">
        <f t="shared" ca="1" si="40"/>
        <v>#DIV/0!</v>
      </c>
      <c r="L82" s="68" t="e">
        <f t="shared" ca="1" si="40"/>
        <v>#DIV/0!</v>
      </c>
      <c r="M82" s="62"/>
    </row>
    <row r="83" spans="2:13" s="11" customFormat="1">
      <c r="B83" s="245" t="s">
        <v>19</v>
      </c>
      <c r="C83" s="249" t="str">
        <f>'Cap Table'!$D$61</f>
        <v>$</v>
      </c>
      <c r="D83" s="253">
        <f ca="1">IFERROR(D82/D78,0)</f>
        <v>0</v>
      </c>
      <c r="E83" s="253">
        <f t="shared" ref="E83:L83" ca="1" si="41">IFERROR(E82/E78,0)</f>
        <v>0</v>
      </c>
      <c r="F83" s="253">
        <f t="shared" ca="1" si="41"/>
        <v>0</v>
      </c>
      <c r="G83" s="253">
        <f t="shared" ca="1" si="41"/>
        <v>0</v>
      </c>
      <c r="H83" s="253">
        <f t="shared" ca="1" si="41"/>
        <v>0</v>
      </c>
      <c r="I83" s="253">
        <f t="shared" ca="1" si="41"/>
        <v>0</v>
      </c>
      <c r="J83" s="253">
        <f t="shared" ca="1" si="41"/>
        <v>0</v>
      </c>
      <c r="K83" s="253">
        <f t="shared" ca="1" si="41"/>
        <v>0</v>
      </c>
      <c r="L83" s="253">
        <f t="shared" ca="1" si="41"/>
        <v>0</v>
      </c>
      <c r="M83" s="62"/>
    </row>
    <row r="84" spans="2:13" s="11" customFormat="1">
      <c r="C84" s="93"/>
      <c r="M84" s="62"/>
    </row>
    <row r="85" spans="2:13" s="11" customFormat="1">
      <c r="B85" s="247" t="str">
        <f>G$16&amp;" Round Shareholders"</f>
        <v>B Round Shareholders</v>
      </c>
      <c r="C85" s="93"/>
      <c r="M85" s="62"/>
    </row>
    <row r="86" spans="2:13" s="11" customFormat="1">
      <c r="B86" s="245" t="s">
        <v>199</v>
      </c>
      <c r="C86" s="249" t="str">
        <f>'Cap Table'!$D$61</f>
        <v>$</v>
      </c>
      <c r="D86" s="68" t="e">
        <f ca="1">IF(D79="no",MAX(0,D73-D76),IF($F$35="full participating preferred",MAX(0,D73-D76),IF(AND($F$35="participating preferred with a cap",D81&lt;&gt;0),MAX(0,D73-D76),D73)))</f>
        <v>#DIV/0!</v>
      </c>
      <c r="E86" s="68" t="e">
        <f t="shared" ref="E86:L86" ca="1" si="42">IF(E79="no",MAX(0,E73-E76),IF($F$35="full participating preferred",MAX(0,E73-E76),IF(AND($F$35="participating preferred with a cap",E81&lt;&gt;0),MAX(0,E73-E76),E73)))</f>
        <v>#DIV/0!</v>
      </c>
      <c r="F86" s="68" t="e">
        <f t="shared" ca="1" si="42"/>
        <v>#DIV/0!</v>
      </c>
      <c r="G86" s="68" t="e">
        <f t="shared" ca="1" si="42"/>
        <v>#DIV/0!</v>
      </c>
      <c r="H86" s="68" t="e">
        <f t="shared" ca="1" si="42"/>
        <v>#DIV/0!</v>
      </c>
      <c r="I86" s="68" t="e">
        <f t="shared" ca="1" si="42"/>
        <v>#DIV/0!</v>
      </c>
      <c r="J86" s="68" t="e">
        <f t="shared" ca="1" si="42"/>
        <v>#DIV/0!</v>
      </c>
      <c r="K86" s="68" t="e">
        <f t="shared" ca="1" si="42"/>
        <v>#DIV/0!</v>
      </c>
      <c r="L86" s="68" t="e">
        <f t="shared" ca="1" si="42"/>
        <v>#DIV/0!</v>
      </c>
      <c r="M86" s="248" t="s">
        <v>563</v>
      </c>
    </row>
    <row r="87" spans="2:13" s="11" customFormat="1">
      <c r="B87" s="245" t="s">
        <v>204</v>
      </c>
      <c r="C87" s="93" t="s">
        <v>170</v>
      </c>
      <c r="D87" s="68" t="e">
        <f ca="1">D74-D80</f>
        <v>#DIV/0!</v>
      </c>
      <c r="E87" s="68" t="e">
        <f t="shared" ref="E87:L87" ca="1" si="43">E74-E80</f>
        <v>#DIV/0!</v>
      </c>
      <c r="F87" s="68" t="e">
        <f t="shared" ca="1" si="43"/>
        <v>#DIV/0!</v>
      </c>
      <c r="G87" s="68" t="e">
        <f t="shared" ca="1" si="43"/>
        <v>#DIV/0!</v>
      </c>
      <c r="H87" s="68" t="e">
        <f t="shared" ca="1" si="43"/>
        <v>#DIV/0!</v>
      </c>
      <c r="I87" s="68" t="e">
        <f t="shared" ca="1" si="43"/>
        <v>#DIV/0!</v>
      </c>
      <c r="J87" s="68" t="e">
        <f t="shared" ca="1" si="43"/>
        <v>#DIV/0!</v>
      </c>
      <c r="K87" s="68" t="e">
        <f t="shared" ca="1" si="43"/>
        <v>#DIV/0!</v>
      </c>
      <c r="L87" s="68" t="e">
        <f t="shared" ca="1" si="43"/>
        <v>#DIV/0!</v>
      </c>
      <c r="M87" s="62"/>
    </row>
    <row r="88" spans="2:13" s="11" customFormat="1">
      <c r="B88" s="245" t="s">
        <v>197</v>
      </c>
      <c r="C88" s="249" t="str">
        <f>'Cap Table'!$D$61</f>
        <v>$</v>
      </c>
      <c r="D88" s="250" t="e">
        <f ca="1">IF($D$11="no",MAX(0,D86)/D87*D91,IF($G$34="full participating preferred",MAX(0,D86-D$156)/D87*D91,MAX(0,D86)/D87*D91))</f>
        <v>#DIV/0!</v>
      </c>
      <c r="E88" s="250" t="e">
        <f t="shared" ref="E88:L88" ca="1" si="44">IF($D$11="no",MAX(0,E86)/E87*E91,IF($G$34="full participating preferred",MAX(0,E86-E$156)/E87*E91,MAX(0,E86)/E87*E91))</f>
        <v>#DIV/0!</v>
      </c>
      <c r="F88" s="250" t="e">
        <f t="shared" ca="1" si="44"/>
        <v>#DIV/0!</v>
      </c>
      <c r="G88" s="250" t="e">
        <f t="shared" ca="1" si="44"/>
        <v>#DIV/0!</v>
      </c>
      <c r="H88" s="250" t="e">
        <f t="shared" ca="1" si="44"/>
        <v>#DIV/0!</v>
      </c>
      <c r="I88" s="250" t="e">
        <f t="shared" ca="1" si="44"/>
        <v>#DIV/0!</v>
      </c>
      <c r="J88" s="250" t="e">
        <f t="shared" ca="1" si="44"/>
        <v>#DIV/0!</v>
      </c>
      <c r="K88" s="250" t="e">
        <f t="shared" ca="1" si="44"/>
        <v>#DIV/0!</v>
      </c>
      <c r="L88" s="250" t="e">
        <f t="shared" ca="1" si="44"/>
        <v>#DIV/0!</v>
      </c>
      <c r="M88" s="62"/>
    </row>
    <row r="89" spans="2:13" s="11" customFormat="1">
      <c r="B89" s="245" t="s">
        <v>196</v>
      </c>
      <c r="C89" s="249" t="str">
        <f>'Cap Table'!$D$61</f>
        <v>$</v>
      </c>
      <c r="D89" s="251">
        <f ca="1">$G$34</f>
        <v>0</v>
      </c>
      <c r="E89" s="251">
        <f t="shared" ref="E89:L89" ca="1" si="45">$G$34</f>
        <v>0</v>
      </c>
      <c r="F89" s="251">
        <f t="shared" ca="1" si="45"/>
        <v>0</v>
      </c>
      <c r="G89" s="251">
        <f t="shared" ca="1" si="45"/>
        <v>0</v>
      </c>
      <c r="H89" s="251">
        <f t="shared" ca="1" si="45"/>
        <v>0</v>
      </c>
      <c r="I89" s="251">
        <f t="shared" ca="1" si="45"/>
        <v>0</v>
      </c>
      <c r="J89" s="251">
        <f t="shared" ca="1" si="45"/>
        <v>0</v>
      </c>
      <c r="K89" s="251">
        <f t="shared" ca="1" si="45"/>
        <v>0</v>
      </c>
      <c r="L89" s="251">
        <f t="shared" ca="1" si="45"/>
        <v>0</v>
      </c>
      <c r="M89" s="62"/>
    </row>
    <row r="90" spans="2:13" s="11" customFormat="1">
      <c r="B90" s="245" t="s">
        <v>555</v>
      </c>
      <c r="C90" s="249" t="str">
        <f>'Cap Table'!$D$61</f>
        <v>$</v>
      </c>
      <c r="D90" s="251" t="str">
        <f>IF($G$35="participating preferred with a cap",$G$34*$G$36,IF($G$35="full participating preferred",0,"na"))</f>
        <v>na</v>
      </c>
      <c r="E90" s="251" t="str">
        <f t="shared" ref="E90:L90" si="46">IF($G$35="participating preferred with a cap",$G$34*$G$36,IF($G$35="full participating preferred",0,"na"))</f>
        <v>na</v>
      </c>
      <c r="F90" s="251" t="str">
        <f t="shared" si="46"/>
        <v>na</v>
      </c>
      <c r="G90" s="251" t="str">
        <f t="shared" si="46"/>
        <v>na</v>
      </c>
      <c r="H90" s="251" t="str">
        <f t="shared" si="46"/>
        <v>na</v>
      </c>
      <c r="I90" s="251" t="str">
        <f t="shared" si="46"/>
        <v>na</v>
      </c>
      <c r="J90" s="251" t="str">
        <f t="shared" si="46"/>
        <v>na</v>
      </c>
      <c r="K90" s="251" t="str">
        <f t="shared" si="46"/>
        <v>na</v>
      </c>
      <c r="L90" s="251" t="str">
        <f t="shared" si="46"/>
        <v>na</v>
      </c>
      <c r="M90" s="62"/>
    </row>
    <row r="91" spans="2:13" s="11" customFormat="1">
      <c r="B91" s="245" t="str">
        <f>"Shares, "&amp;B85</f>
        <v>Shares, B Round Shareholders</v>
      </c>
      <c r="C91" s="249" t="s">
        <v>170</v>
      </c>
      <c r="D91" s="68">
        <f ca="1">$G$27</f>
        <v>0</v>
      </c>
      <c r="E91" s="68">
        <f t="shared" ref="E91:L91" ca="1" si="47">$G$27</f>
        <v>0</v>
      </c>
      <c r="F91" s="68">
        <f t="shared" ca="1" si="47"/>
        <v>0</v>
      </c>
      <c r="G91" s="68">
        <f t="shared" ca="1" si="47"/>
        <v>0</v>
      </c>
      <c r="H91" s="68">
        <f t="shared" ca="1" si="47"/>
        <v>0</v>
      </c>
      <c r="I91" s="68">
        <f t="shared" ca="1" si="47"/>
        <v>0</v>
      </c>
      <c r="J91" s="68">
        <f t="shared" ca="1" si="47"/>
        <v>0</v>
      </c>
      <c r="K91" s="68">
        <f t="shared" ca="1" si="47"/>
        <v>0</v>
      </c>
      <c r="L91" s="68">
        <f t="shared" ca="1" si="47"/>
        <v>0</v>
      </c>
      <c r="M91" s="62"/>
    </row>
    <row r="92" spans="2:13" s="11" customFormat="1">
      <c r="B92" s="245" t="s">
        <v>203</v>
      </c>
      <c r="C92" s="249" t="s">
        <v>419</v>
      </c>
      <c r="D92" s="77" t="e">
        <f ca="1">IF(OR($G$35="full participating preferred",AND($G$35="non participating preferred",D88&gt;D89),IF($D$11="no",AND($G$35="participating preferred with a cap",D86&lt;&gt;0,D86&gt;D89,D91&lt;&gt;0),AND($G$35="participating preferred with a cap",D86&lt;&gt;0,D$41&gt;D$156,D91&lt;&gt;0))),"yes","no")</f>
        <v>#DIV/0!</v>
      </c>
      <c r="E92" s="77" t="e">
        <f t="shared" ref="E92:L92" ca="1" si="48">IF(OR($G$35="full participating preferred",AND($G$35="non participating preferred",E88&gt;E89),IF($D$11="no",AND($G$35="participating preferred with a cap",E86&lt;&gt;0,E86&gt;E89,E91&lt;&gt;0),AND($G$35="participating preferred with a cap",E86&lt;&gt;0,E$41&gt;E$156,E91&lt;&gt;0))),"yes","no")</f>
        <v>#DIV/0!</v>
      </c>
      <c r="F92" s="77" t="e">
        <f t="shared" ca="1" si="48"/>
        <v>#DIV/0!</v>
      </c>
      <c r="G92" s="77" t="e">
        <f t="shared" ca="1" si="48"/>
        <v>#DIV/0!</v>
      </c>
      <c r="H92" s="77" t="e">
        <f t="shared" ca="1" si="48"/>
        <v>#DIV/0!</v>
      </c>
      <c r="I92" s="77" t="e">
        <f t="shared" ca="1" si="48"/>
        <v>#DIV/0!</v>
      </c>
      <c r="J92" s="77" t="e">
        <f t="shared" ca="1" si="48"/>
        <v>#DIV/0!</v>
      </c>
      <c r="K92" s="77" t="e">
        <f t="shared" ca="1" si="48"/>
        <v>#DIV/0!</v>
      </c>
      <c r="L92" s="77" t="e">
        <f t="shared" ca="1" si="48"/>
        <v>#DIV/0!</v>
      </c>
      <c r="M92" s="62"/>
    </row>
    <row r="93" spans="2:13" s="11" customFormat="1">
      <c r="B93" s="245" t="s">
        <v>202</v>
      </c>
      <c r="C93" s="249" t="s">
        <v>170</v>
      </c>
      <c r="D93" s="68" t="e">
        <f ca="1">IF(D92="yes",D91,0)</f>
        <v>#DIV/0!</v>
      </c>
      <c r="E93" s="68" t="e">
        <f t="shared" ref="E93:L93" ca="1" si="49">IF(E92="yes",E91,0)</f>
        <v>#DIV/0!</v>
      </c>
      <c r="F93" s="68" t="e">
        <f t="shared" ca="1" si="49"/>
        <v>#DIV/0!</v>
      </c>
      <c r="G93" s="68" t="e">
        <f t="shared" ca="1" si="49"/>
        <v>#DIV/0!</v>
      </c>
      <c r="H93" s="68" t="e">
        <f t="shared" ca="1" si="49"/>
        <v>#DIV/0!</v>
      </c>
      <c r="I93" s="68" t="e">
        <f t="shared" ca="1" si="49"/>
        <v>#DIV/0!</v>
      </c>
      <c r="J93" s="68" t="e">
        <f t="shared" ca="1" si="49"/>
        <v>#DIV/0!</v>
      </c>
      <c r="K93" s="68" t="e">
        <f t="shared" ca="1" si="49"/>
        <v>#DIV/0!</v>
      </c>
      <c r="L93" s="68" t="e">
        <f t="shared" ca="1" si="49"/>
        <v>#DIV/0!</v>
      </c>
      <c r="M93" s="62"/>
    </row>
    <row r="94" spans="2:13" s="11" customFormat="1">
      <c r="B94" s="245" t="s">
        <v>200</v>
      </c>
      <c r="C94" s="249" t="str">
        <f>'Cap Table'!$D$61</f>
        <v>$</v>
      </c>
      <c r="D94" s="250">
        <f>IF($G$35="full participating preferred",IF($D$11="no",D93/$L$27*MAX(0,IF(D$41&lt;=D130,0,D$41-D$156)),D93*D$133),IF($G$35="participating preferred with a cap",IF($D$11="no",MIN(MAX(0,D88-D89),D90),IF(D88&gt;D90,0,MAX(0,IF($D$11="no",D93/$L$27*MAX(0,IF(D$41&lt;=D$156,0,D$41-D$156))),D93*D$133))),0))</f>
        <v>0</v>
      </c>
      <c r="E94" s="250">
        <f t="shared" ref="E94:L94" si="50">IF($G$35="full participating preferred",IF($D$11="no",E93/$L$27*MAX(0,IF(E$41&lt;=E130,0,E$41-E$156)),E93*E$133),IF($G$35="participating preferred with a cap",IF($D$11="no",MIN(MAX(0,E88-E89),E90),IF(E88&gt;E90,0,MAX(0,IF($D$11="no",E93/$L$27*MAX(0,IF(E$41&lt;=E$156,0,E$41-E$156))),E93*E$133))),0))</f>
        <v>0</v>
      </c>
      <c r="F94" s="250">
        <f t="shared" si="50"/>
        <v>0</v>
      </c>
      <c r="G94" s="250">
        <f t="shared" si="50"/>
        <v>0</v>
      </c>
      <c r="H94" s="250">
        <f t="shared" si="50"/>
        <v>0</v>
      </c>
      <c r="I94" s="250">
        <f t="shared" si="50"/>
        <v>0</v>
      </c>
      <c r="J94" s="250">
        <f t="shared" si="50"/>
        <v>0</v>
      </c>
      <c r="K94" s="250">
        <f t="shared" si="50"/>
        <v>0</v>
      </c>
      <c r="L94" s="250">
        <f t="shared" si="50"/>
        <v>0</v>
      </c>
      <c r="M94" s="62"/>
    </row>
    <row r="95" spans="2:13" s="11" customFormat="1">
      <c r="B95" s="245" t="s">
        <v>23</v>
      </c>
      <c r="C95" s="249" t="str">
        <f>'Cap Table'!$D$61</f>
        <v>$</v>
      </c>
      <c r="D95" s="68" t="e">
        <f ca="1">MIN(D86,MAX(D93*D$133,D89+D94))</f>
        <v>#DIV/0!</v>
      </c>
      <c r="E95" s="68" t="e">
        <f t="shared" ref="E95:L95" ca="1" si="51">MIN(E86,MAX(E93*E$133,E89+E94))</f>
        <v>#DIV/0!</v>
      </c>
      <c r="F95" s="68" t="e">
        <f t="shared" ca="1" si="51"/>
        <v>#DIV/0!</v>
      </c>
      <c r="G95" s="68" t="e">
        <f t="shared" ca="1" si="51"/>
        <v>#DIV/0!</v>
      </c>
      <c r="H95" s="68" t="e">
        <f t="shared" ca="1" si="51"/>
        <v>#DIV/0!</v>
      </c>
      <c r="I95" s="68" t="e">
        <f t="shared" ca="1" si="51"/>
        <v>#DIV/0!</v>
      </c>
      <c r="J95" s="68" t="e">
        <f t="shared" ca="1" si="51"/>
        <v>#DIV/0!</v>
      </c>
      <c r="K95" s="68" t="e">
        <f t="shared" ca="1" si="51"/>
        <v>#DIV/0!</v>
      </c>
      <c r="L95" s="68" t="e">
        <f t="shared" ca="1" si="51"/>
        <v>#DIV/0!</v>
      </c>
      <c r="M95" s="62"/>
    </row>
    <row r="96" spans="2:13" s="11" customFormat="1">
      <c r="B96" s="245" t="s">
        <v>19</v>
      </c>
      <c r="C96" s="249" t="str">
        <f>'Cap Table'!$D$61</f>
        <v>$</v>
      </c>
      <c r="D96" s="253">
        <f ca="1">IFERROR(D95/D91,0)</f>
        <v>0</v>
      </c>
      <c r="E96" s="253">
        <f t="shared" ref="E96:L96" ca="1" si="52">IFERROR(E95/E91,0)</f>
        <v>0</v>
      </c>
      <c r="F96" s="253">
        <f t="shared" ca="1" si="52"/>
        <v>0</v>
      </c>
      <c r="G96" s="253">
        <f t="shared" ca="1" si="52"/>
        <v>0</v>
      </c>
      <c r="H96" s="253">
        <f t="shared" ca="1" si="52"/>
        <v>0</v>
      </c>
      <c r="I96" s="253">
        <f t="shared" ca="1" si="52"/>
        <v>0</v>
      </c>
      <c r="J96" s="253">
        <f t="shared" ca="1" si="52"/>
        <v>0</v>
      </c>
      <c r="K96" s="253">
        <f t="shared" ca="1" si="52"/>
        <v>0</v>
      </c>
      <c r="L96" s="253">
        <f t="shared" ca="1" si="52"/>
        <v>0</v>
      </c>
      <c r="M96" s="62"/>
    </row>
    <row r="97" spans="2:13" s="11" customFormat="1">
      <c r="C97" s="93"/>
      <c r="M97" s="62"/>
    </row>
    <row r="98" spans="2:13" s="11" customFormat="1">
      <c r="B98" s="247" t="str">
        <f>H$16&amp;" Round Shareholders"</f>
        <v>A Round Shareholders</v>
      </c>
      <c r="C98" s="93"/>
      <c r="M98" s="62"/>
    </row>
    <row r="99" spans="2:13" s="11" customFormat="1">
      <c r="B99" s="245" t="s">
        <v>199</v>
      </c>
      <c r="C99" s="249" t="str">
        <f>'Cap Table'!$D$61</f>
        <v>$</v>
      </c>
      <c r="D99" s="68" t="e">
        <f ca="1">IF(D92="no",MAX(0,D86-D89),IF($G$35="full participating preferred",MAX(0,D86-D89),IF(AND($G$35="participating preferred with a cap",D94&lt;&gt;0),MAX(0,D86-D89),D86)))</f>
        <v>#DIV/0!</v>
      </c>
      <c r="E99" s="68" t="e">
        <f t="shared" ref="E99:L99" ca="1" si="53">IF(E92="no",MAX(0,E86-E89),IF($G$35="full participating preferred",MAX(0,E86-E89),IF(AND($G$35="participating preferred with a cap",E94&lt;&gt;0),MAX(0,E86-E89),E86)))</f>
        <v>#DIV/0!</v>
      </c>
      <c r="F99" s="68" t="e">
        <f t="shared" ca="1" si="53"/>
        <v>#DIV/0!</v>
      </c>
      <c r="G99" s="68" t="e">
        <f t="shared" ca="1" si="53"/>
        <v>#DIV/0!</v>
      </c>
      <c r="H99" s="68" t="e">
        <f t="shared" ca="1" si="53"/>
        <v>#DIV/0!</v>
      </c>
      <c r="I99" s="68" t="e">
        <f t="shared" ca="1" si="53"/>
        <v>#DIV/0!</v>
      </c>
      <c r="J99" s="68" t="e">
        <f t="shared" ca="1" si="53"/>
        <v>#DIV/0!</v>
      </c>
      <c r="K99" s="68" t="e">
        <f t="shared" ca="1" si="53"/>
        <v>#DIV/0!</v>
      </c>
      <c r="L99" s="68" t="e">
        <f t="shared" ca="1" si="53"/>
        <v>#DIV/0!</v>
      </c>
      <c r="M99" s="248" t="s">
        <v>563</v>
      </c>
    </row>
    <row r="100" spans="2:13" s="11" customFormat="1">
      <c r="B100" s="245" t="s">
        <v>204</v>
      </c>
      <c r="C100" s="93" t="s">
        <v>170</v>
      </c>
      <c r="D100" s="68" t="e">
        <f ca="1">D87-D93</f>
        <v>#DIV/0!</v>
      </c>
      <c r="E100" s="68" t="e">
        <f t="shared" ref="E100:L100" ca="1" si="54">E87-E93</f>
        <v>#DIV/0!</v>
      </c>
      <c r="F100" s="68" t="e">
        <f t="shared" ca="1" si="54"/>
        <v>#DIV/0!</v>
      </c>
      <c r="G100" s="68" t="e">
        <f t="shared" ca="1" si="54"/>
        <v>#DIV/0!</v>
      </c>
      <c r="H100" s="68" t="e">
        <f t="shared" ca="1" si="54"/>
        <v>#DIV/0!</v>
      </c>
      <c r="I100" s="68" t="e">
        <f t="shared" ca="1" si="54"/>
        <v>#DIV/0!</v>
      </c>
      <c r="J100" s="68" t="e">
        <f t="shared" ca="1" si="54"/>
        <v>#DIV/0!</v>
      </c>
      <c r="K100" s="68" t="e">
        <f t="shared" ca="1" si="54"/>
        <v>#DIV/0!</v>
      </c>
      <c r="L100" s="68" t="e">
        <f t="shared" ca="1" si="54"/>
        <v>#DIV/0!</v>
      </c>
      <c r="M100" s="62"/>
    </row>
    <row r="101" spans="2:13" s="11" customFormat="1">
      <c r="B101" s="245" t="s">
        <v>197</v>
      </c>
      <c r="C101" s="249" t="str">
        <f>'Cap Table'!$D$61</f>
        <v>$</v>
      </c>
      <c r="D101" s="250" t="e">
        <f ca="1">IF($D$11="no",MAX(0,D99)/D100*D104,IF($H$34="full participating preferred",MAX(0,D99-D$156)/D100*D104,MAX(0,D99)/D100*D104))</f>
        <v>#DIV/0!</v>
      </c>
      <c r="E101" s="250" t="e">
        <f t="shared" ref="E101:L101" ca="1" si="55">IF($D$11="no",MAX(0,E99)/E100*E104,IF($H$34="full participating preferred",MAX(0,E99-E$156)/E100*E104,MAX(0,E99)/E100*E104))</f>
        <v>#DIV/0!</v>
      </c>
      <c r="F101" s="250" t="e">
        <f t="shared" ca="1" si="55"/>
        <v>#DIV/0!</v>
      </c>
      <c r="G101" s="250" t="e">
        <f t="shared" ca="1" si="55"/>
        <v>#DIV/0!</v>
      </c>
      <c r="H101" s="250" t="e">
        <f t="shared" ca="1" si="55"/>
        <v>#DIV/0!</v>
      </c>
      <c r="I101" s="250" t="e">
        <f t="shared" ca="1" si="55"/>
        <v>#DIV/0!</v>
      </c>
      <c r="J101" s="250" t="e">
        <f t="shared" ca="1" si="55"/>
        <v>#DIV/0!</v>
      </c>
      <c r="K101" s="250" t="e">
        <f t="shared" ca="1" si="55"/>
        <v>#DIV/0!</v>
      </c>
      <c r="L101" s="250" t="e">
        <f t="shared" ca="1" si="55"/>
        <v>#DIV/0!</v>
      </c>
      <c r="M101" s="62"/>
    </row>
    <row r="102" spans="2:13" s="11" customFormat="1">
      <c r="B102" s="245" t="s">
        <v>196</v>
      </c>
      <c r="C102" s="249" t="str">
        <f>'Cap Table'!$D$61</f>
        <v>$</v>
      </c>
      <c r="D102" s="251">
        <f ca="1">$H$34</f>
        <v>0</v>
      </c>
      <c r="E102" s="251">
        <f t="shared" ref="E102:L102" ca="1" si="56">$H$34</f>
        <v>0</v>
      </c>
      <c r="F102" s="251">
        <f t="shared" ca="1" si="56"/>
        <v>0</v>
      </c>
      <c r="G102" s="251">
        <f t="shared" ca="1" si="56"/>
        <v>0</v>
      </c>
      <c r="H102" s="251">
        <f t="shared" ca="1" si="56"/>
        <v>0</v>
      </c>
      <c r="I102" s="251">
        <f t="shared" ca="1" si="56"/>
        <v>0</v>
      </c>
      <c r="J102" s="251">
        <f t="shared" ca="1" si="56"/>
        <v>0</v>
      </c>
      <c r="K102" s="251">
        <f t="shared" ca="1" si="56"/>
        <v>0</v>
      </c>
      <c r="L102" s="251">
        <f t="shared" ca="1" si="56"/>
        <v>0</v>
      </c>
      <c r="M102" s="62"/>
    </row>
    <row r="103" spans="2:13" s="11" customFormat="1">
      <c r="B103" s="245" t="s">
        <v>555</v>
      </c>
      <c r="C103" s="249" t="str">
        <f>'Cap Table'!$D$61</f>
        <v>$</v>
      </c>
      <c r="D103" s="251" t="str">
        <f>IF($H$35="participating preferred with a cap",$H$34*$H$36,IF($H$35="full participating preferred",0,"na"))</f>
        <v>na</v>
      </c>
      <c r="E103" s="251" t="str">
        <f t="shared" ref="E103:L103" si="57">IF($H$35="participating preferred with a cap",$H$34*$H$36,IF($H$35="full participating preferred",0,"na"))</f>
        <v>na</v>
      </c>
      <c r="F103" s="251" t="str">
        <f t="shared" si="57"/>
        <v>na</v>
      </c>
      <c r="G103" s="251" t="str">
        <f t="shared" si="57"/>
        <v>na</v>
      </c>
      <c r="H103" s="251" t="str">
        <f t="shared" si="57"/>
        <v>na</v>
      </c>
      <c r="I103" s="251" t="str">
        <f t="shared" si="57"/>
        <v>na</v>
      </c>
      <c r="J103" s="251" t="str">
        <f t="shared" si="57"/>
        <v>na</v>
      </c>
      <c r="K103" s="251" t="str">
        <f t="shared" si="57"/>
        <v>na</v>
      </c>
      <c r="L103" s="251" t="str">
        <f t="shared" si="57"/>
        <v>na</v>
      </c>
      <c r="M103" s="62"/>
    </row>
    <row r="104" spans="2:13" s="11" customFormat="1">
      <c r="B104" s="245" t="str">
        <f>"Shares, "&amp;B98</f>
        <v>Shares, A Round Shareholders</v>
      </c>
      <c r="C104" s="249" t="s">
        <v>170</v>
      </c>
      <c r="D104" s="68">
        <f ca="1">$H$27</f>
        <v>0</v>
      </c>
      <c r="E104" s="68">
        <f t="shared" ref="E104:L104" ca="1" si="58">$H$27</f>
        <v>0</v>
      </c>
      <c r="F104" s="68">
        <f t="shared" ca="1" si="58"/>
        <v>0</v>
      </c>
      <c r="G104" s="68">
        <f t="shared" ca="1" si="58"/>
        <v>0</v>
      </c>
      <c r="H104" s="68">
        <f t="shared" ca="1" si="58"/>
        <v>0</v>
      </c>
      <c r="I104" s="68">
        <f t="shared" ca="1" si="58"/>
        <v>0</v>
      </c>
      <c r="J104" s="68">
        <f t="shared" ca="1" si="58"/>
        <v>0</v>
      </c>
      <c r="K104" s="68">
        <f t="shared" ca="1" si="58"/>
        <v>0</v>
      </c>
      <c r="L104" s="68">
        <f t="shared" ca="1" si="58"/>
        <v>0</v>
      </c>
      <c r="M104" s="62"/>
    </row>
    <row r="105" spans="2:13" s="11" customFormat="1">
      <c r="B105" s="245" t="s">
        <v>203</v>
      </c>
      <c r="C105" s="249" t="s">
        <v>419</v>
      </c>
      <c r="D105" s="77" t="e">
        <f ca="1">IF(OR($H$35="full participating preferred",AND($H$35="non participating preferred",D101&gt;D102),IF($D$11="no",AND($H$35="participating preferred with a cap",D99&lt;&gt;0,D99&gt;D102,D104&lt;&gt;0),AND($H$35="participating preferred with a cap",D99&lt;&gt;0,D$41&gt;D$156,D104&lt;&gt;0))),"yes","no")</f>
        <v>#DIV/0!</v>
      </c>
      <c r="E105" s="77" t="e">
        <f t="shared" ref="E105:L105" ca="1" si="59">IF(OR($H$35="full participating preferred",AND($H$35="non participating preferred",E101&gt;E102),IF($D$11="no",AND($H$35="participating preferred with a cap",E99&lt;&gt;0,E99&gt;E102,E104&lt;&gt;0),AND($H$35="participating preferred with a cap",E99&lt;&gt;0,E$41&gt;E$156,E104&lt;&gt;0))),"yes","no")</f>
        <v>#DIV/0!</v>
      </c>
      <c r="F105" s="77" t="e">
        <f t="shared" ca="1" si="59"/>
        <v>#DIV/0!</v>
      </c>
      <c r="G105" s="77" t="e">
        <f t="shared" ca="1" si="59"/>
        <v>#DIV/0!</v>
      </c>
      <c r="H105" s="77" t="e">
        <f t="shared" ca="1" si="59"/>
        <v>#DIV/0!</v>
      </c>
      <c r="I105" s="77" t="e">
        <f t="shared" ca="1" si="59"/>
        <v>#DIV/0!</v>
      </c>
      <c r="J105" s="77" t="e">
        <f t="shared" ca="1" si="59"/>
        <v>#DIV/0!</v>
      </c>
      <c r="K105" s="77" t="e">
        <f t="shared" ca="1" si="59"/>
        <v>#DIV/0!</v>
      </c>
      <c r="L105" s="77" t="e">
        <f t="shared" ca="1" si="59"/>
        <v>#DIV/0!</v>
      </c>
      <c r="M105" s="62"/>
    </row>
    <row r="106" spans="2:13" s="11" customFormat="1">
      <c r="B106" s="245" t="s">
        <v>202</v>
      </c>
      <c r="C106" s="249" t="s">
        <v>170</v>
      </c>
      <c r="D106" s="68" t="e">
        <f ca="1">IF(D105="yes",D104,0)</f>
        <v>#DIV/0!</v>
      </c>
      <c r="E106" s="68" t="e">
        <f t="shared" ref="E106:L106" ca="1" si="60">IF(E105="yes",E104,0)</f>
        <v>#DIV/0!</v>
      </c>
      <c r="F106" s="68" t="e">
        <f t="shared" ca="1" si="60"/>
        <v>#DIV/0!</v>
      </c>
      <c r="G106" s="68" t="e">
        <f t="shared" ca="1" si="60"/>
        <v>#DIV/0!</v>
      </c>
      <c r="H106" s="68" t="e">
        <f t="shared" ca="1" si="60"/>
        <v>#DIV/0!</v>
      </c>
      <c r="I106" s="68" t="e">
        <f t="shared" ca="1" si="60"/>
        <v>#DIV/0!</v>
      </c>
      <c r="J106" s="68" t="e">
        <f t="shared" ca="1" si="60"/>
        <v>#DIV/0!</v>
      </c>
      <c r="K106" s="68" t="e">
        <f t="shared" ca="1" si="60"/>
        <v>#DIV/0!</v>
      </c>
      <c r="L106" s="68" t="e">
        <f t="shared" ca="1" si="60"/>
        <v>#DIV/0!</v>
      </c>
      <c r="M106" s="62"/>
    </row>
    <row r="107" spans="2:13" s="11" customFormat="1">
      <c r="B107" s="245" t="s">
        <v>200</v>
      </c>
      <c r="C107" s="249" t="str">
        <f>'Cap Table'!$D$61</f>
        <v>$</v>
      </c>
      <c r="D107" s="250">
        <f>IF($H$35="full participating preferred",IF($D$11="no",D106/$L$27*MAX(0,IF(D$41&lt;=D143,0,D$41-D$156)),D106*D$133),IF($H$35="participating preferred with a cap",IF($D$11="no",MIN(MAX(0,D101-D102),D103),IF(D101&gt;D103,0,MAX(0,IF($D$11="no",D106/$L$27*MAX(0,IF(D$41&lt;=D$156,0,D$41-D$156))),D106*D$133))),0))</f>
        <v>0</v>
      </c>
      <c r="E107" s="250">
        <f t="shared" ref="E107:L107" si="61">IF($H$35="full participating preferred",IF($D$11="no",E106/$L$27*MAX(0,IF(E$41&lt;=E143,0,E$41-E$156)),E106*E$133),IF($H$35="participating preferred with a cap",IF($D$11="no",MIN(MAX(0,E101-E102),E103),IF(E101&gt;E103,0,MAX(0,IF($D$11="no",E106/$L$27*MAX(0,IF(E$41&lt;=E$156,0,E$41-E$156))),E106*E$133))),0))</f>
        <v>0</v>
      </c>
      <c r="F107" s="250">
        <f t="shared" si="61"/>
        <v>0</v>
      </c>
      <c r="G107" s="250">
        <f t="shared" si="61"/>
        <v>0</v>
      </c>
      <c r="H107" s="250">
        <f t="shared" si="61"/>
        <v>0</v>
      </c>
      <c r="I107" s="250">
        <f t="shared" si="61"/>
        <v>0</v>
      </c>
      <c r="J107" s="250">
        <f t="shared" si="61"/>
        <v>0</v>
      </c>
      <c r="K107" s="250">
        <f t="shared" si="61"/>
        <v>0</v>
      </c>
      <c r="L107" s="250">
        <f t="shared" si="61"/>
        <v>0</v>
      </c>
      <c r="M107" s="62"/>
    </row>
    <row r="108" spans="2:13" s="11" customFormat="1">
      <c r="B108" s="245" t="s">
        <v>23</v>
      </c>
      <c r="C108" s="249" t="str">
        <f>'Cap Table'!$D$61</f>
        <v>$</v>
      </c>
      <c r="D108" s="68" t="e">
        <f ca="1">MIN(D99,MAX(D106*D$133,D102+D107))</f>
        <v>#DIV/0!</v>
      </c>
      <c r="E108" s="68" t="e">
        <f t="shared" ref="E108:L108" ca="1" si="62">MIN(E99,MAX(E106*E$133,E102+E107))</f>
        <v>#DIV/0!</v>
      </c>
      <c r="F108" s="68" t="e">
        <f t="shared" ca="1" si="62"/>
        <v>#DIV/0!</v>
      </c>
      <c r="G108" s="68" t="e">
        <f t="shared" ca="1" si="62"/>
        <v>#DIV/0!</v>
      </c>
      <c r="H108" s="68" t="e">
        <f t="shared" ca="1" si="62"/>
        <v>#DIV/0!</v>
      </c>
      <c r="I108" s="68" t="e">
        <f t="shared" ca="1" si="62"/>
        <v>#DIV/0!</v>
      </c>
      <c r="J108" s="68" t="e">
        <f t="shared" ca="1" si="62"/>
        <v>#DIV/0!</v>
      </c>
      <c r="K108" s="68" t="e">
        <f t="shared" ca="1" si="62"/>
        <v>#DIV/0!</v>
      </c>
      <c r="L108" s="68" t="e">
        <f t="shared" ca="1" si="62"/>
        <v>#DIV/0!</v>
      </c>
      <c r="M108" s="62"/>
    </row>
    <row r="109" spans="2:13" s="11" customFormat="1">
      <c r="B109" s="245" t="s">
        <v>19</v>
      </c>
      <c r="C109" s="249" t="str">
        <f>'Cap Table'!$D$61</f>
        <v>$</v>
      </c>
      <c r="D109" s="253">
        <f ca="1">IFERROR(D108/D104,0)</f>
        <v>0</v>
      </c>
      <c r="E109" s="253">
        <f t="shared" ref="E109:L109" ca="1" si="63">IFERROR(E108/E104,0)</f>
        <v>0</v>
      </c>
      <c r="F109" s="253">
        <f t="shared" ca="1" si="63"/>
        <v>0</v>
      </c>
      <c r="G109" s="253">
        <f t="shared" ca="1" si="63"/>
        <v>0</v>
      </c>
      <c r="H109" s="253">
        <f t="shared" ca="1" si="63"/>
        <v>0</v>
      </c>
      <c r="I109" s="253">
        <f t="shared" ca="1" si="63"/>
        <v>0</v>
      </c>
      <c r="J109" s="253">
        <f t="shared" ca="1" si="63"/>
        <v>0</v>
      </c>
      <c r="K109" s="253">
        <f t="shared" ca="1" si="63"/>
        <v>0</v>
      </c>
      <c r="L109" s="253">
        <f t="shared" ca="1" si="63"/>
        <v>0</v>
      </c>
      <c r="M109" s="62"/>
    </row>
    <row r="110" spans="2:13" s="11" customFormat="1">
      <c r="C110" s="93"/>
      <c r="M110" s="62"/>
    </row>
    <row r="111" spans="2:13" s="11" customFormat="1">
      <c r="B111" s="247" t="str">
        <f>I$16&amp;" Round Shareholders"</f>
        <v>Seed Round Shareholders</v>
      </c>
      <c r="C111" s="93"/>
      <c r="M111" s="62"/>
    </row>
    <row r="112" spans="2:13" s="11" customFormat="1">
      <c r="B112" s="245" t="s">
        <v>199</v>
      </c>
      <c r="C112" s="249" t="str">
        <f>'Cap Table'!$D$61</f>
        <v>$</v>
      </c>
      <c r="D112" s="68" t="e">
        <f ca="1">IF(D105="no",MAX(0,D99-D102),IF($H$35="full participating preferred",MAX(0,D99-D102),IF(AND($H$35="participating preferred with a cap",D107&lt;&gt;0),MAX(0,D99-D102),D99)))</f>
        <v>#DIV/0!</v>
      </c>
      <c r="E112" s="68" t="e">
        <f t="shared" ref="E112:L112" ca="1" si="64">IF(E105="no",MAX(0,E99-E102),IF($H$35="full participating preferred",MAX(0,E99-E102),IF(AND($H$35="participating preferred with a cap",E107&lt;&gt;0),MAX(0,E99-E102),E99)))</f>
        <v>#DIV/0!</v>
      </c>
      <c r="F112" s="68" t="e">
        <f t="shared" ca="1" si="64"/>
        <v>#DIV/0!</v>
      </c>
      <c r="G112" s="68" t="e">
        <f t="shared" ca="1" si="64"/>
        <v>#DIV/0!</v>
      </c>
      <c r="H112" s="68" t="e">
        <f t="shared" ca="1" si="64"/>
        <v>#DIV/0!</v>
      </c>
      <c r="I112" s="68" t="e">
        <f t="shared" ca="1" si="64"/>
        <v>#DIV/0!</v>
      </c>
      <c r="J112" s="68" t="e">
        <f t="shared" ca="1" si="64"/>
        <v>#DIV/0!</v>
      </c>
      <c r="K112" s="68" t="e">
        <f t="shared" ca="1" si="64"/>
        <v>#DIV/0!</v>
      </c>
      <c r="L112" s="68" t="e">
        <f t="shared" ca="1" si="64"/>
        <v>#DIV/0!</v>
      </c>
      <c r="M112" s="248" t="s">
        <v>563</v>
      </c>
    </row>
    <row r="113" spans="2:13" s="11" customFormat="1">
      <c r="B113" s="245" t="s">
        <v>204</v>
      </c>
      <c r="C113" s="93" t="s">
        <v>170</v>
      </c>
      <c r="D113" s="68" t="e">
        <f ca="1">D100-D106</f>
        <v>#DIV/0!</v>
      </c>
      <c r="E113" s="68" t="e">
        <f t="shared" ref="E113:L113" ca="1" si="65">E100-E106</f>
        <v>#DIV/0!</v>
      </c>
      <c r="F113" s="68" t="e">
        <f t="shared" ca="1" si="65"/>
        <v>#DIV/0!</v>
      </c>
      <c r="G113" s="68" t="e">
        <f t="shared" ca="1" si="65"/>
        <v>#DIV/0!</v>
      </c>
      <c r="H113" s="68" t="e">
        <f t="shared" ca="1" si="65"/>
        <v>#DIV/0!</v>
      </c>
      <c r="I113" s="68" t="e">
        <f t="shared" ca="1" si="65"/>
        <v>#DIV/0!</v>
      </c>
      <c r="J113" s="68" t="e">
        <f t="shared" ca="1" si="65"/>
        <v>#DIV/0!</v>
      </c>
      <c r="K113" s="68" t="e">
        <f t="shared" ca="1" si="65"/>
        <v>#DIV/0!</v>
      </c>
      <c r="L113" s="68" t="e">
        <f t="shared" ca="1" si="65"/>
        <v>#DIV/0!</v>
      </c>
      <c r="M113" s="62"/>
    </row>
    <row r="114" spans="2:13" s="11" customFormat="1">
      <c r="B114" s="245" t="s">
        <v>197</v>
      </c>
      <c r="C114" s="249" t="str">
        <f>'Cap Table'!$D$61</f>
        <v>$</v>
      </c>
      <c r="D114" s="250" t="e">
        <f ca="1">IF($D$11="no",MAX(0,D112)/D113*D117,IF($I$34="full participating preferred",MAX(0,D112-D$156)/D113*D117,MAX(0,D112)/D113*D117))</f>
        <v>#DIV/0!</v>
      </c>
      <c r="E114" s="250" t="e">
        <f t="shared" ref="E114:L114" ca="1" si="66">IF($D$11="no",MAX(0,E112)/E113*E117,IF($I$34="full participating preferred",MAX(0,E112-E$156)/E113*E117,MAX(0,E112)/E113*E117))</f>
        <v>#DIV/0!</v>
      </c>
      <c r="F114" s="250" t="e">
        <f t="shared" ca="1" si="66"/>
        <v>#DIV/0!</v>
      </c>
      <c r="G114" s="250" t="e">
        <f t="shared" ca="1" si="66"/>
        <v>#DIV/0!</v>
      </c>
      <c r="H114" s="250" t="e">
        <f t="shared" ca="1" si="66"/>
        <v>#DIV/0!</v>
      </c>
      <c r="I114" s="250" t="e">
        <f t="shared" ca="1" si="66"/>
        <v>#DIV/0!</v>
      </c>
      <c r="J114" s="250" t="e">
        <f t="shared" ca="1" si="66"/>
        <v>#DIV/0!</v>
      </c>
      <c r="K114" s="250" t="e">
        <f t="shared" ca="1" si="66"/>
        <v>#DIV/0!</v>
      </c>
      <c r="L114" s="250" t="e">
        <f t="shared" ca="1" si="66"/>
        <v>#DIV/0!</v>
      </c>
      <c r="M114" s="62"/>
    </row>
    <row r="115" spans="2:13" s="11" customFormat="1">
      <c r="B115" s="245" t="s">
        <v>196</v>
      </c>
      <c r="C115" s="249" t="str">
        <f>'Cap Table'!$D$61</f>
        <v>$</v>
      </c>
      <c r="D115" s="251">
        <f ca="1">$I$34</f>
        <v>0</v>
      </c>
      <c r="E115" s="251">
        <f t="shared" ref="E115:L115" ca="1" si="67">$I$34</f>
        <v>0</v>
      </c>
      <c r="F115" s="251">
        <f t="shared" ca="1" si="67"/>
        <v>0</v>
      </c>
      <c r="G115" s="251">
        <f t="shared" ca="1" si="67"/>
        <v>0</v>
      </c>
      <c r="H115" s="251">
        <f t="shared" ca="1" si="67"/>
        <v>0</v>
      </c>
      <c r="I115" s="251">
        <f t="shared" ca="1" si="67"/>
        <v>0</v>
      </c>
      <c r="J115" s="251">
        <f t="shared" ca="1" si="67"/>
        <v>0</v>
      </c>
      <c r="K115" s="251">
        <f t="shared" ca="1" si="67"/>
        <v>0</v>
      </c>
      <c r="L115" s="251">
        <f t="shared" ca="1" si="67"/>
        <v>0</v>
      </c>
      <c r="M115" s="62"/>
    </row>
    <row r="116" spans="2:13" s="11" customFormat="1">
      <c r="B116" s="245" t="s">
        <v>555</v>
      </c>
      <c r="C116" s="249" t="str">
        <f>'Cap Table'!$D$61</f>
        <v>$</v>
      </c>
      <c r="D116" s="251" t="str">
        <f>IF($I$35="participating preferred with a cap",$I$34*$I$36,IF($I$35="full participating preferred",0,"na"))</f>
        <v>na</v>
      </c>
      <c r="E116" s="251" t="str">
        <f t="shared" ref="E116:L116" si="68">IF($I$35="participating preferred with a cap",$I$34*$I$36,IF($I$35="full participating preferred",0,"na"))</f>
        <v>na</v>
      </c>
      <c r="F116" s="251" t="str">
        <f t="shared" si="68"/>
        <v>na</v>
      </c>
      <c r="G116" s="251" t="str">
        <f t="shared" si="68"/>
        <v>na</v>
      </c>
      <c r="H116" s="251" t="str">
        <f t="shared" si="68"/>
        <v>na</v>
      </c>
      <c r="I116" s="251" t="str">
        <f t="shared" si="68"/>
        <v>na</v>
      </c>
      <c r="J116" s="251" t="str">
        <f t="shared" si="68"/>
        <v>na</v>
      </c>
      <c r="K116" s="251" t="str">
        <f t="shared" si="68"/>
        <v>na</v>
      </c>
      <c r="L116" s="251" t="str">
        <f t="shared" si="68"/>
        <v>na</v>
      </c>
      <c r="M116" s="62"/>
    </row>
    <row r="117" spans="2:13" s="11" customFormat="1">
      <c r="B117" s="245" t="str">
        <f>"Shares, "&amp;B111</f>
        <v>Shares, Seed Round Shareholders</v>
      </c>
      <c r="C117" s="249" t="s">
        <v>170</v>
      </c>
      <c r="D117" s="68">
        <f ca="1">$I$27</f>
        <v>0</v>
      </c>
      <c r="E117" s="68">
        <f t="shared" ref="E117:L117" ca="1" si="69">$I$27</f>
        <v>0</v>
      </c>
      <c r="F117" s="68">
        <f t="shared" ca="1" si="69"/>
        <v>0</v>
      </c>
      <c r="G117" s="68">
        <f t="shared" ca="1" si="69"/>
        <v>0</v>
      </c>
      <c r="H117" s="68">
        <f t="shared" ca="1" si="69"/>
        <v>0</v>
      </c>
      <c r="I117" s="68">
        <f t="shared" ca="1" si="69"/>
        <v>0</v>
      </c>
      <c r="J117" s="68">
        <f t="shared" ca="1" si="69"/>
        <v>0</v>
      </c>
      <c r="K117" s="68">
        <f t="shared" ca="1" si="69"/>
        <v>0</v>
      </c>
      <c r="L117" s="68">
        <f t="shared" ca="1" si="69"/>
        <v>0</v>
      </c>
      <c r="M117" s="62"/>
    </row>
    <row r="118" spans="2:13" s="11" customFormat="1">
      <c r="B118" s="245" t="s">
        <v>203</v>
      </c>
      <c r="C118" s="249" t="s">
        <v>419</v>
      </c>
      <c r="D118" s="77" t="e">
        <f ca="1">IF(OR($I$35="full participating preferred",AND($I$35="non participating preferred",D114&gt;D115),IF($D$11="no",AND($I$35="participating preferred with a cap",D112&lt;&gt;0,D112&gt;D115,D117&lt;&gt;0),AND($I$35="participating preferred with a cap",D112&lt;&gt;0,D$41&gt;D$156,D117&lt;&gt;0))),"yes","no")</f>
        <v>#DIV/0!</v>
      </c>
      <c r="E118" s="77" t="e">
        <f t="shared" ref="E118:L118" ca="1" si="70">IF(OR($I$35="full participating preferred",AND($I$35="non participating preferred",E114&gt;E115),IF($D$11="no",AND($I$35="participating preferred with a cap",E112&lt;&gt;0,E112&gt;E115,E117&lt;&gt;0),AND($I$35="participating preferred with a cap",E112&lt;&gt;0,E$41&gt;E$156,E117&lt;&gt;0))),"yes","no")</f>
        <v>#DIV/0!</v>
      </c>
      <c r="F118" s="77" t="e">
        <f t="shared" ca="1" si="70"/>
        <v>#DIV/0!</v>
      </c>
      <c r="G118" s="77" t="e">
        <f t="shared" ca="1" si="70"/>
        <v>#DIV/0!</v>
      </c>
      <c r="H118" s="77" t="e">
        <f t="shared" ca="1" si="70"/>
        <v>#DIV/0!</v>
      </c>
      <c r="I118" s="77" t="e">
        <f t="shared" ca="1" si="70"/>
        <v>#DIV/0!</v>
      </c>
      <c r="J118" s="77" t="e">
        <f t="shared" ca="1" si="70"/>
        <v>#DIV/0!</v>
      </c>
      <c r="K118" s="77" t="e">
        <f t="shared" ca="1" si="70"/>
        <v>#DIV/0!</v>
      </c>
      <c r="L118" s="77" t="e">
        <f t="shared" ca="1" si="70"/>
        <v>#DIV/0!</v>
      </c>
      <c r="M118" s="62"/>
    </row>
    <row r="119" spans="2:13" s="11" customFormat="1">
      <c r="B119" s="245" t="s">
        <v>202</v>
      </c>
      <c r="C119" s="249" t="s">
        <v>170</v>
      </c>
      <c r="D119" s="68" t="e">
        <f ca="1">IF(D118="yes",D117,0)</f>
        <v>#DIV/0!</v>
      </c>
      <c r="E119" s="68" t="e">
        <f t="shared" ref="E119:L119" ca="1" si="71">IF(E118="yes",E117,0)</f>
        <v>#DIV/0!</v>
      </c>
      <c r="F119" s="68" t="e">
        <f t="shared" ca="1" si="71"/>
        <v>#DIV/0!</v>
      </c>
      <c r="G119" s="68" t="e">
        <f t="shared" ca="1" si="71"/>
        <v>#DIV/0!</v>
      </c>
      <c r="H119" s="68" t="e">
        <f t="shared" ca="1" si="71"/>
        <v>#DIV/0!</v>
      </c>
      <c r="I119" s="68" t="e">
        <f t="shared" ca="1" si="71"/>
        <v>#DIV/0!</v>
      </c>
      <c r="J119" s="68" t="e">
        <f t="shared" ca="1" si="71"/>
        <v>#DIV/0!</v>
      </c>
      <c r="K119" s="68" t="e">
        <f t="shared" ca="1" si="71"/>
        <v>#DIV/0!</v>
      </c>
      <c r="L119" s="68" t="e">
        <f t="shared" ca="1" si="71"/>
        <v>#DIV/0!</v>
      </c>
      <c r="M119" s="62"/>
    </row>
    <row r="120" spans="2:13" s="11" customFormat="1">
      <c r="B120" s="245" t="s">
        <v>200</v>
      </c>
      <c r="C120" s="249" t="str">
        <f>'Cap Table'!$D$61</f>
        <v>$</v>
      </c>
      <c r="D120" s="250">
        <f>IF($I$35="full participating preferred",IF($D$11="no",D119/$L$27*MAX(0,IF(D$41&lt;=D156,0,D$41-D$156)),D119*D$133),IF($I$35="participating preferred with a cap",IF($D$11="no",MIN(MAX(0,D114-D115),D116),IF(D114&gt;D116,0,MAX(0,IF($D$11="no",D119/$L$27*MAX(0,IF(D$41&lt;=D$156,0,D$41-D$156))),D119*D$133))),0))</f>
        <v>0</v>
      </c>
      <c r="E120" s="250">
        <f t="shared" ref="E120:L120" si="72">IF($I$35="full participating preferred",IF($D$11="no",E119/$L$27*MAX(0,IF(E$41&lt;=E156,0,E41-E156)),E119*E$133),IF($I$35="participating preferred with a cap",IF($D$11="no",MIN(MAX(0,E114-E115),E116),IF(E114&gt;E116,0,MAX(0,IF($D$11="no",E119/$L$27*MAX(0,IF(E$41&lt;=E156,0,E41-E156))),E119*E$133))),0))</f>
        <v>0</v>
      </c>
      <c r="F120" s="250">
        <f t="shared" si="72"/>
        <v>0</v>
      </c>
      <c r="G120" s="250">
        <f t="shared" si="72"/>
        <v>0</v>
      </c>
      <c r="H120" s="250">
        <f t="shared" si="72"/>
        <v>0</v>
      </c>
      <c r="I120" s="250">
        <f t="shared" si="72"/>
        <v>0</v>
      </c>
      <c r="J120" s="250">
        <f t="shared" si="72"/>
        <v>0</v>
      </c>
      <c r="K120" s="250">
        <f t="shared" si="72"/>
        <v>0</v>
      </c>
      <c r="L120" s="250">
        <f t="shared" si="72"/>
        <v>0</v>
      </c>
      <c r="M120" s="62"/>
    </row>
    <row r="121" spans="2:13" s="11" customFormat="1">
      <c r="B121" s="245" t="s">
        <v>23</v>
      </c>
      <c r="C121" s="249" t="str">
        <f>'Cap Table'!$D$61</f>
        <v>$</v>
      </c>
      <c r="D121" s="68" t="e">
        <f ca="1">MIN(D112,MAX(D119*D$133,D115+D120))</f>
        <v>#DIV/0!</v>
      </c>
      <c r="E121" s="68" t="e">
        <f t="shared" ref="E121:L121" ca="1" si="73">MIN(E112,MAX(E119*E$133,E115+E120))</f>
        <v>#DIV/0!</v>
      </c>
      <c r="F121" s="68" t="e">
        <f t="shared" ca="1" si="73"/>
        <v>#DIV/0!</v>
      </c>
      <c r="G121" s="68" t="e">
        <f t="shared" ca="1" si="73"/>
        <v>#DIV/0!</v>
      </c>
      <c r="H121" s="68" t="e">
        <f t="shared" ca="1" si="73"/>
        <v>#DIV/0!</v>
      </c>
      <c r="I121" s="68" t="e">
        <f t="shared" ca="1" si="73"/>
        <v>#DIV/0!</v>
      </c>
      <c r="J121" s="68" t="e">
        <f t="shared" ca="1" si="73"/>
        <v>#DIV/0!</v>
      </c>
      <c r="K121" s="68" t="e">
        <f t="shared" ca="1" si="73"/>
        <v>#DIV/0!</v>
      </c>
      <c r="L121" s="68" t="e">
        <f t="shared" ca="1" si="73"/>
        <v>#DIV/0!</v>
      </c>
      <c r="M121" s="62"/>
    </row>
    <row r="122" spans="2:13" s="11" customFormat="1">
      <c r="B122" s="245" t="s">
        <v>19</v>
      </c>
      <c r="C122" s="249" t="str">
        <f>'Cap Table'!$D$61</f>
        <v>$</v>
      </c>
      <c r="D122" s="253">
        <f ca="1">IFERROR(D121/D117,0)</f>
        <v>0</v>
      </c>
      <c r="E122" s="253">
        <f t="shared" ref="E122:L122" ca="1" si="74">IFERROR(E121/E117,0)</f>
        <v>0</v>
      </c>
      <c r="F122" s="253">
        <f t="shared" ca="1" si="74"/>
        <v>0</v>
      </c>
      <c r="G122" s="253">
        <f t="shared" ca="1" si="74"/>
        <v>0</v>
      </c>
      <c r="H122" s="253">
        <f t="shared" ca="1" si="74"/>
        <v>0</v>
      </c>
      <c r="I122" s="253">
        <f t="shared" ca="1" si="74"/>
        <v>0</v>
      </c>
      <c r="J122" s="253">
        <f t="shared" ca="1" si="74"/>
        <v>0</v>
      </c>
      <c r="K122" s="253">
        <f t="shared" ca="1" si="74"/>
        <v>0</v>
      </c>
      <c r="L122" s="253">
        <f t="shared" ca="1" si="74"/>
        <v>0</v>
      </c>
      <c r="M122" s="62"/>
    </row>
    <row r="123" spans="2:13" s="11" customFormat="1">
      <c r="C123" s="93"/>
      <c r="M123" s="62"/>
    </row>
    <row r="124" spans="2:13" s="11" customFormat="1">
      <c r="B124" s="247" t="s">
        <v>21</v>
      </c>
      <c r="C124" s="93"/>
      <c r="M124" s="62"/>
    </row>
    <row r="125" spans="2:13" s="11" customFormat="1">
      <c r="B125" s="245" t="s">
        <v>199</v>
      </c>
      <c r="C125" s="249" t="str">
        <f>'Cap Table'!$D$61</f>
        <v>$</v>
      </c>
      <c r="D125" s="68" t="e">
        <f ca="1">IF(D118="no",MAX(0,D112-D115),IF($I$35="full participating preferred",MAX(0,D112-D115),IF(AND($I$35="participating preferred with a cap",D120&lt;&gt;0),MAX(0,D112-D115),D112)))</f>
        <v>#DIV/0!</v>
      </c>
      <c r="E125" s="68" t="e">
        <f t="shared" ref="E125:L125" ca="1" si="75">IF(E118="no",MAX(0,E112-E115),IF($I$35="full participating preferred",MAX(0,E112-E115),IF(AND($I$35="participating preferred with a cap",E120&lt;&gt;0),MAX(0,E112-E115),E112)))</f>
        <v>#DIV/0!</v>
      </c>
      <c r="F125" s="68" t="e">
        <f t="shared" ca="1" si="75"/>
        <v>#DIV/0!</v>
      </c>
      <c r="G125" s="68" t="e">
        <f t="shared" ca="1" si="75"/>
        <v>#DIV/0!</v>
      </c>
      <c r="H125" s="68" t="e">
        <f t="shared" ca="1" si="75"/>
        <v>#DIV/0!</v>
      </c>
      <c r="I125" s="68" t="e">
        <f t="shared" ca="1" si="75"/>
        <v>#DIV/0!</v>
      </c>
      <c r="J125" s="68" t="e">
        <f t="shared" ca="1" si="75"/>
        <v>#DIV/0!</v>
      </c>
      <c r="K125" s="68" t="e">
        <f t="shared" ca="1" si="75"/>
        <v>#DIV/0!</v>
      </c>
      <c r="L125" s="68" t="e">
        <f t="shared" ca="1" si="75"/>
        <v>#DIV/0!</v>
      </c>
      <c r="M125" s="62"/>
    </row>
    <row r="126" spans="2:13" s="11" customFormat="1">
      <c r="B126" s="245" t="s">
        <v>204</v>
      </c>
      <c r="C126" s="93" t="s">
        <v>170</v>
      </c>
      <c r="D126" s="68" t="e">
        <f ca="1">D113-D119</f>
        <v>#DIV/0!</v>
      </c>
      <c r="E126" s="68" t="e">
        <f t="shared" ref="E126:L126" ca="1" si="76">E113-E119</f>
        <v>#DIV/0!</v>
      </c>
      <c r="F126" s="68" t="e">
        <f t="shared" ca="1" si="76"/>
        <v>#DIV/0!</v>
      </c>
      <c r="G126" s="68" t="e">
        <f t="shared" ca="1" si="76"/>
        <v>#DIV/0!</v>
      </c>
      <c r="H126" s="68" t="e">
        <f t="shared" ca="1" si="76"/>
        <v>#DIV/0!</v>
      </c>
      <c r="I126" s="68" t="e">
        <f t="shared" ca="1" si="76"/>
        <v>#DIV/0!</v>
      </c>
      <c r="J126" s="68" t="e">
        <f t="shared" ca="1" si="76"/>
        <v>#DIV/0!</v>
      </c>
      <c r="K126" s="68" t="e">
        <f t="shared" ca="1" si="76"/>
        <v>#DIV/0!</v>
      </c>
      <c r="L126" s="68" t="e">
        <f t="shared" ca="1" si="76"/>
        <v>#DIV/0!</v>
      </c>
      <c r="M126" s="62"/>
    </row>
    <row r="127" spans="2:13" s="11" customFormat="1">
      <c r="B127" s="245" t="s">
        <v>197</v>
      </c>
      <c r="C127" s="249" t="str">
        <f>'Cap Table'!$D$61</f>
        <v>$</v>
      </c>
      <c r="D127" s="250" t="e">
        <f ca="1">D125</f>
        <v>#DIV/0!</v>
      </c>
      <c r="E127" s="250" t="e">
        <f t="shared" ref="E127:L127" ca="1" si="77">E125</f>
        <v>#DIV/0!</v>
      </c>
      <c r="F127" s="250" t="e">
        <f t="shared" ca="1" si="77"/>
        <v>#DIV/0!</v>
      </c>
      <c r="G127" s="250" t="e">
        <f t="shared" ca="1" si="77"/>
        <v>#DIV/0!</v>
      </c>
      <c r="H127" s="250" t="e">
        <f t="shared" ca="1" si="77"/>
        <v>#DIV/0!</v>
      </c>
      <c r="I127" s="250" t="e">
        <f t="shared" ca="1" si="77"/>
        <v>#DIV/0!</v>
      </c>
      <c r="J127" s="250" t="e">
        <f t="shared" ca="1" si="77"/>
        <v>#DIV/0!</v>
      </c>
      <c r="K127" s="250" t="e">
        <f t="shared" ca="1" si="77"/>
        <v>#DIV/0!</v>
      </c>
      <c r="L127" s="250" t="e">
        <f t="shared" ca="1" si="77"/>
        <v>#DIV/0!</v>
      </c>
      <c r="M127" s="62"/>
    </row>
    <row r="128" spans="2:13" s="11" customFormat="1">
      <c r="B128" s="245" t="s">
        <v>205</v>
      </c>
      <c r="C128" s="249" t="s">
        <v>170</v>
      </c>
      <c r="D128" s="250">
        <f ca="1">$J27+$K27</f>
        <v>0</v>
      </c>
      <c r="E128" s="250">
        <f t="shared" ref="E128:L128" ca="1" si="78">$J27+$K27</f>
        <v>0</v>
      </c>
      <c r="F128" s="250">
        <f t="shared" ca="1" si="78"/>
        <v>0</v>
      </c>
      <c r="G128" s="250">
        <f t="shared" ca="1" si="78"/>
        <v>0</v>
      </c>
      <c r="H128" s="250">
        <f t="shared" ca="1" si="78"/>
        <v>0</v>
      </c>
      <c r="I128" s="250">
        <f t="shared" ca="1" si="78"/>
        <v>0</v>
      </c>
      <c r="J128" s="250">
        <f t="shared" ca="1" si="78"/>
        <v>0</v>
      </c>
      <c r="K128" s="250">
        <f t="shared" ca="1" si="78"/>
        <v>0</v>
      </c>
      <c r="L128" s="250">
        <f t="shared" ca="1" si="78"/>
        <v>0</v>
      </c>
      <c r="M128" s="62"/>
    </row>
    <row r="129" spans="2:13" s="11" customFormat="1">
      <c r="B129" s="245" t="s">
        <v>209</v>
      </c>
      <c r="C129" s="249" t="s">
        <v>170</v>
      </c>
      <c r="D129" s="250" t="e">
        <f t="shared" ref="D129:G129" ca="1" si="79">D106+D119+D93+D80+D67+D54</f>
        <v>#DIV/0!</v>
      </c>
      <c r="E129" s="250" t="e">
        <f t="shared" ca="1" si="79"/>
        <v>#DIV/0!</v>
      </c>
      <c r="F129" s="250" t="e">
        <f t="shared" ca="1" si="79"/>
        <v>#DIV/0!</v>
      </c>
      <c r="G129" s="250" t="e">
        <f t="shared" ca="1" si="79"/>
        <v>#DIV/0!</v>
      </c>
      <c r="H129" s="250" t="e">
        <f ca="1">H106+H119+H93+H80+H67+H54</f>
        <v>#DIV/0!</v>
      </c>
      <c r="I129" s="250" t="e">
        <f t="shared" ref="I129:L129" ca="1" si="80">I106+I119+I93+I80+I67+I54</f>
        <v>#DIV/0!</v>
      </c>
      <c r="J129" s="250" t="e">
        <f t="shared" ca="1" si="80"/>
        <v>#DIV/0!</v>
      </c>
      <c r="K129" s="250" t="e">
        <f t="shared" ca="1" si="80"/>
        <v>#DIV/0!</v>
      </c>
      <c r="L129" s="250" t="e">
        <f t="shared" ca="1" si="80"/>
        <v>#DIV/0!</v>
      </c>
      <c r="M129" s="62"/>
    </row>
    <row r="130" spans="2:13" s="11" customFormat="1">
      <c r="B130" s="245" t="s">
        <v>0</v>
      </c>
      <c r="C130" s="249" t="s">
        <v>170</v>
      </c>
      <c r="D130" s="6" t="e">
        <f ca="1">D129+D128</f>
        <v>#DIV/0!</v>
      </c>
      <c r="E130" s="6" t="e">
        <f t="shared" ref="E130:L130" ca="1" si="81">E129+E128</f>
        <v>#DIV/0!</v>
      </c>
      <c r="F130" s="6" t="e">
        <f t="shared" ca="1" si="81"/>
        <v>#DIV/0!</v>
      </c>
      <c r="G130" s="6" t="e">
        <f t="shared" ca="1" si="81"/>
        <v>#DIV/0!</v>
      </c>
      <c r="H130" s="6" t="e">
        <f t="shared" ca="1" si="81"/>
        <v>#DIV/0!</v>
      </c>
      <c r="I130" s="6" t="e">
        <f t="shared" ca="1" si="81"/>
        <v>#DIV/0!</v>
      </c>
      <c r="J130" s="6" t="e">
        <f t="shared" ca="1" si="81"/>
        <v>#DIV/0!</v>
      </c>
      <c r="K130" s="6" t="e">
        <f t="shared" ca="1" si="81"/>
        <v>#DIV/0!</v>
      </c>
      <c r="L130" s="6" t="e">
        <f t="shared" ca="1" si="81"/>
        <v>#DIV/0!</v>
      </c>
      <c r="M130" s="62"/>
    </row>
    <row r="131" spans="2:13" s="11" customFormat="1">
      <c r="B131" s="245" t="s">
        <v>201</v>
      </c>
      <c r="C131" s="249" t="str">
        <f>'Cap Table'!$D$61</f>
        <v>$</v>
      </c>
      <c r="D131" s="6" t="e">
        <f ca="1">D125</f>
        <v>#DIV/0!</v>
      </c>
      <c r="E131" s="6" t="e">
        <f t="shared" ref="E131:L131" ca="1" si="82">E125</f>
        <v>#DIV/0!</v>
      </c>
      <c r="F131" s="6" t="e">
        <f t="shared" ca="1" si="82"/>
        <v>#DIV/0!</v>
      </c>
      <c r="G131" s="6" t="e">
        <f t="shared" ca="1" si="82"/>
        <v>#DIV/0!</v>
      </c>
      <c r="H131" s="6" t="e">
        <f t="shared" ca="1" si="82"/>
        <v>#DIV/0!</v>
      </c>
      <c r="I131" s="6" t="e">
        <f t="shared" ca="1" si="82"/>
        <v>#DIV/0!</v>
      </c>
      <c r="J131" s="6" t="e">
        <f t="shared" ca="1" si="82"/>
        <v>#DIV/0!</v>
      </c>
      <c r="K131" s="6" t="e">
        <f t="shared" ca="1" si="82"/>
        <v>#DIV/0!</v>
      </c>
      <c r="L131" s="6" t="e">
        <f t="shared" ca="1" si="82"/>
        <v>#DIV/0!</v>
      </c>
      <c r="M131" s="62"/>
    </row>
    <row r="132" spans="2:13" s="11" customFormat="1">
      <c r="B132" s="245" t="s">
        <v>23</v>
      </c>
      <c r="C132" s="249" t="str">
        <f>'Cap Table'!$D$61</f>
        <v>$</v>
      </c>
      <c r="D132" s="6" t="e">
        <f ca="1">D133*D128</f>
        <v>#DIV/0!</v>
      </c>
      <c r="E132" s="6" t="e">
        <f t="shared" ref="E132:L132" ca="1" si="83">E133*E128</f>
        <v>#DIV/0!</v>
      </c>
      <c r="F132" s="6" t="e">
        <f t="shared" ca="1" si="83"/>
        <v>#DIV/0!</v>
      </c>
      <c r="G132" s="6" t="e">
        <f t="shared" ca="1" si="83"/>
        <v>#DIV/0!</v>
      </c>
      <c r="H132" s="6" t="e">
        <f t="shared" ca="1" si="83"/>
        <v>#DIV/0!</v>
      </c>
      <c r="I132" s="6" t="e">
        <f t="shared" ca="1" si="83"/>
        <v>#DIV/0!</v>
      </c>
      <c r="J132" s="6" t="e">
        <f t="shared" ca="1" si="83"/>
        <v>#DIV/0!</v>
      </c>
      <c r="K132" s="6" t="e">
        <f t="shared" ca="1" si="83"/>
        <v>#DIV/0!</v>
      </c>
      <c r="L132" s="6" t="e">
        <f t="shared" ca="1" si="83"/>
        <v>#DIV/0!</v>
      </c>
      <c r="M132" s="62"/>
    </row>
    <row r="133" spans="2:13" s="11" customFormat="1">
      <c r="B133" s="245" t="s">
        <v>19</v>
      </c>
      <c r="C133" s="249" t="str">
        <f>'Cap Table'!$D$61</f>
        <v>$</v>
      </c>
      <c r="D133" s="238" t="e">
        <f ca="1">D131/D130</f>
        <v>#DIV/0!</v>
      </c>
      <c r="E133" s="238" t="e">
        <f t="shared" ref="E133:L133" ca="1" si="84">E131/E130</f>
        <v>#DIV/0!</v>
      </c>
      <c r="F133" s="238" t="e">
        <f t="shared" ca="1" si="84"/>
        <v>#DIV/0!</v>
      </c>
      <c r="G133" s="238" t="e">
        <f t="shared" ca="1" si="84"/>
        <v>#DIV/0!</v>
      </c>
      <c r="H133" s="238" t="e">
        <f t="shared" ca="1" si="84"/>
        <v>#DIV/0!</v>
      </c>
      <c r="I133" s="238" t="e">
        <f t="shared" ca="1" si="84"/>
        <v>#DIV/0!</v>
      </c>
      <c r="J133" s="238" t="e">
        <f t="shared" ca="1" si="84"/>
        <v>#DIV/0!</v>
      </c>
      <c r="K133" s="238" t="e">
        <f t="shared" ca="1" si="84"/>
        <v>#DIV/0!</v>
      </c>
      <c r="L133" s="238" t="e">
        <f t="shared" ca="1" si="84"/>
        <v>#DIV/0!</v>
      </c>
      <c r="M133" s="248"/>
    </row>
    <row r="134" spans="2:13" s="11" customFormat="1">
      <c r="C134" s="93"/>
      <c r="M134" s="248"/>
    </row>
    <row r="135" spans="2:13" s="11" customFormat="1">
      <c r="B135" s="245" t="s">
        <v>213</v>
      </c>
      <c r="C135" s="249" t="str">
        <f>'Cap Table'!$D$61</f>
        <v>$</v>
      </c>
      <c r="D135" s="70" t="e">
        <f t="shared" ref="D135:L135" ca="1" si="85">D132+D121+D56+D108+D95+D82+D69</f>
        <v>#DIV/0!</v>
      </c>
      <c r="E135" s="70" t="e">
        <f t="shared" ca="1" si="85"/>
        <v>#DIV/0!</v>
      </c>
      <c r="F135" s="70" t="e">
        <f t="shared" ca="1" si="85"/>
        <v>#DIV/0!</v>
      </c>
      <c r="G135" s="70" t="e">
        <f t="shared" ca="1" si="85"/>
        <v>#DIV/0!</v>
      </c>
      <c r="H135" s="70" t="e">
        <f t="shared" ca="1" si="85"/>
        <v>#DIV/0!</v>
      </c>
      <c r="I135" s="70" t="e">
        <f t="shared" ca="1" si="85"/>
        <v>#DIV/0!</v>
      </c>
      <c r="J135" s="70" t="e">
        <f t="shared" ca="1" si="85"/>
        <v>#DIV/0!</v>
      </c>
      <c r="K135" s="70" t="e">
        <f t="shared" ca="1" si="85"/>
        <v>#DIV/0!</v>
      </c>
      <c r="L135" s="70" t="e">
        <f t="shared" ca="1" si="85"/>
        <v>#DIV/0!</v>
      </c>
      <c r="M135" s="248" t="s">
        <v>564</v>
      </c>
    </row>
    <row r="136" spans="2:13" s="11" customFormat="1">
      <c r="B136" s="245" t="s">
        <v>565</v>
      </c>
      <c r="C136" s="93"/>
      <c r="D136" s="68" t="e">
        <f ca="1">D135-D41</f>
        <v>#DIV/0!</v>
      </c>
      <c r="E136" s="68" t="e">
        <f t="shared" ref="E136:L136" ca="1" si="86">E135-E41</f>
        <v>#DIV/0!</v>
      </c>
      <c r="F136" s="68" t="e">
        <f t="shared" ca="1" si="86"/>
        <v>#DIV/0!</v>
      </c>
      <c r="G136" s="68" t="e">
        <f t="shared" ca="1" si="86"/>
        <v>#DIV/0!</v>
      </c>
      <c r="H136" s="68" t="e">
        <f t="shared" ca="1" si="86"/>
        <v>#DIV/0!</v>
      </c>
      <c r="I136" s="68" t="e">
        <f t="shared" ca="1" si="86"/>
        <v>#DIV/0!</v>
      </c>
      <c r="J136" s="68" t="e">
        <f t="shared" ca="1" si="86"/>
        <v>#DIV/0!</v>
      </c>
      <c r="K136" s="68" t="e">
        <f t="shared" ca="1" si="86"/>
        <v>#DIV/0!</v>
      </c>
      <c r="L136" s="68" t="e">
        <f t="shared" ca="1" si="86"/>
        <v>#DIV/0!</v>
      </c>
      <c r="M136" s="252" t="s">
        <v>566</v>
      </c>
    </row>
    <row r="137" spans="2:13" s="11" customFormat="1">
      <c r="C137" s="93"/>
      <c r="M137" s="248"/>
    </row>
    <row r="138" spans="2:13" s="11" customFormat="1">
      <c r="B138" s="247" t="s">
        <v>208</v>
      </c>
      <c r="C138" s="93"/>
      <c r="M138" s="248"/>
    </row>
    <row r="139" spans="2:13">
      <c r="B139" s="6" t="str">
        <f>B46</f>
        <v>E Round Shareholders</v>
      </c>
      <c r="C139" s="217" t="str">
        <f>'Cap Table'!$D$61</f>
        <v>$</v>
      </c>
      <c r="D139" s="6" t="e">
        <f t="shared" ref="D139:L139" ca="1" si="87">D56</f>
        <v>#DIV/0!</v>
      </c>
      <c r="E139" s="6" t="e">
        <f t="shared" ca="1" si="87"/>
        <v>#DIV/0!</v>
      </c>
      <c r="F139" s="6" t="e">
        <f t="shared" ca="1" si="87"/>
        <v>#DIV/0!</v>
      </c>
      <c r="G139" s="6" t="e">
        <f t="shared" ca="1" si="87"/>
        <v>#DIV/0!</v>
      </c>
      <c r="H139" s="6" t="e">
        <f t="shared" ca="1" si="87"/>
        <v>#DIV/0!</v>
      </c>
      <c r="I139" s="6" t="e">
        <f t="shared" ca="1" si="87"/>
        <v>#DIV/0!</v>
      </c>
      <c r="J139" s="6" t="e">
        <f t="shared" ca="1" si="87"/>
        <v>#DIV/0!</v>
      </c>
      <c r="K139" s="6" t="e">
        <f t="shared" ca="1" si="87"/>
        <v>#DIV/0!</v>
      </c>
      <c r="L139" s="6" t="e">
        <f t="shared" ca="1" si="87"/>
        <v>#DIV/0!</v>
      </c>
      <c r="M139" s="215"/>
    </row>
    <row r="140" spans="2:13">
      <c r="B140" s="6" t="str">
        <f>B59</f>
        <v>D Round Shareholders</v>
      </c>
      <c r="C140" s="217" t="str">
        <f>'Cap Table'!$D$61</f>
        <v>$</v>
      </c>
      <c r="D140" s="6" t="e">
        <f ca="1">D69</f>
        <v>#DIV/0!</v>
      </c>
      <c r="E140" s="6" t="e">
        <f t="shared" ref="E140:L140" ca="1" si="88">E69</f>
        <v>#DIV/0!</v>
      </c>
      <c r="F140" s="6" t="e">
        <f t="shared" ca="1" si="88"/>
        <v>#DIV/0!</v>
      </c>
      <c r="G140" s="6" t="e">
        <f t="shared" ca="1" si="88"/>
        <v>#DIV/0!</v>
      </c>
      <c r="H140" s="6" t="e">
        <f t="shared" ca="1" si="88"/>
        <v>#DIV/0!</v>
      </c>
      <c r="I140" s="6" t="e">
        <f t="shared" ca="1" si="88"/>
        <v>#DIV/0!</v>
      </c>
      <c r="J140" s="6" t="e">
        <f t="shared" ca="1" si="88"/>
        <v>#DIV/0!</v>
      </c>
      <c r="K140" s="6" t="e">
        <f t="shared" ca="1" si="88"/>
        <v>#DIV/0!</v>
      </c>
      <c r="L140" s="6" t="e">
        <f t="shared" ca="1" si="88"/>
        <v>#DIV/0!</v>
      </c>
      <c r="M140" s="215"/>
    </row>
    <row r="141" spans="2:13">
      <c r="B141" s="6" t="str">
        <f>B72</f>
        <v>C Round Shareholders</v>
      </c>
      <c r="C141" s="217" t="str">
        <f>'Cap Table'!$D$61</f>
        <v>$</v>
      </c>
      <c r="D141" s="6" t="e">
        <f ca="1">D82</f>
        <v>#DIV/0!</v>
      </c>
      <c r="E141" s="6" t="e">
        <f t="shared" ref="E141:L141" ca="1" si="89">E82</f>
        <v>#DIV/0!</v>
      </c>
      <c r="F141" s="6" t="e">
        <f t="shared" ca="1" si="89"/>
        <v>#DIV/0!</v>
      </c>
      <c r="G141" s="6" t="e">
        <f t="shared" ca="1" si="89"/>
        <v>#DIV/0!</v>
      </c>
      <c r="H141" s="6" t="e">
        <f t="shared" ca="1" si="89"/>
        <v>#DIV/0!</v>
      </c>
      <c r="I141" s="6" t="e">
        <f t="shared" ca="1" si="89"/>
        <v>#DIV/0!</v>
      </c>
      <c r="J141" s="6" t="e">
        <f t="shared" ca="1" si="89"/>
        <v>#DIV/0!</v>
      </c>
      <c r="K141" s="6" t="e">
        <f t="shared" ca="1" si="89"/>
        <v>#DIV/0!</v>
      </c>
      <c r="L141" s="6" t="e">
        <f t="shared" ca="1" si="89"/>
        <v>#DIV/0!</v>
      </c>
      <c r="M141" s="215"/>
    </row>
    <row r="142" spans="2:13">
      <c r="B142" s="6" t="str">
        <f>B85</f>
        <v>B Round Shareholders</v>
      </c>
      <c r="C142" s="217" t="str">
        <f>'Cap Table'!$D$61</f>
        <v>$</v>
      </c>
      <c r="D142" s="6" t="e">
        <f ca="1">D95</f>
        <v>#DIV/0!</v>
      </c>
      <c r="E142" s="6" t="e">
        <f t="shared" ref="E142:L142" ca="1" si="90">E95</f>
        <v>#DIV/0!</v>
      </c>
      <c r="F142" s="6" t="e">
        <f t="shared" ca="1" si="90"/>
        <v>#DIV/0!</v>
      </c>
      <c r="G142" s="6" t="e">
        <f t="shared" ca="1" si="90"/>
        <v>#DIV/0!</v>
      </c>
      <c r="H142" s="6" t="e">
        <f t="shared" ca="1" si="90"/>
        <v>#DIV/0!</v>
      </c>
      <c r="I142" s="6" t="e">
        <f t="shared" ca="1" si="90"/>
        <v>#DIV/0!</v>
      </c>
      <c r="J142" s="6" t="e">
        <f t="shared" ca="1" si="90"/>
        <v>#DIV/0!</v>
      </c>
      <c r="K142" s="6" t="e">
        <f t="shared" ca="1" si="90"/>
        <v>#DIV/0!</v>
      </c>
      <c r="L142" s="6" t="e">
        <f t="shared" ca="1" si="90"/>
        <v>#DIV/0!</v>
      </c>
      <c r="M142" s="215"/>
    </row>
    <row r="143" spans="2:13">
      <c r="B143" s="6" t="str">
        <f>B98</f>
        <v>A Round Shareholders</v>
      </c>
      <c r="C143" s="217" t="str">
        <f>'Cap Table'!$D$61</f>
        <v>$</v>
      </c>
      <c r="D143" s="6" t="e">
        <f ca="1">D108</f>
        <v>#DIV/0!</v>
      </c>
      <c r="E143" s="6" t="e">
        <f t="shared" ref="E143:L143" ca="1" si="91">E108</f>
        <v>#DIV/0!</v>
      </c>
      <c r="F143" s="6" t="e">
        <f t="shared" ca="1" si="91"/>
        <v>#DIV/0!</v>
      </c>
      <c r="G143" s="6" t="e">
        <f t="shared" ca="1" si="91"/>
        <v>#DIV/0!</v>
      </c>
      <c r="H143" s="6" t="e">
        <f t="shared" ca="1" si="91"/>
        <v>#DIV/0!</v>
      </c>
      <c r="I143" s="6" t="e">
        <f t="shared" ca="1" si="91"/>
        <v>#DIV/0!</v>
      </c>
      <c r="J143" s="6" t="e">
        <f t="shared" ca="1" si="91"/>
        <v>#DIV/0!</v>
      </c>
      <c r="K143" s="6" t="e">
        <f t="shared" ca="1" si="91"/>
        <v>#DIV/0!</v>
      </c>
      <c r="L143" s="6" t="e">
        <f t="shared" ca="1" si="91"/>
        <v>#DIV/0!</v>
      </c>
      <c r="M143" s="215"/>
    </row>
    <row r="144" spans="2:13">
      <c r="B144" s="216" t="str">
        <f>B111</f>
        <v>Seed Round Shareholders</v>
      </c>
      <c r="C144" s="217" t="str">
        <f>'Cap Table'!$D$61</f>
        <v>$</v>
      </c>
      <c r="D144" s="6" t="e">
        <f ca="1">D121</f>
        <v>#DIV/0!</v>
      </c>
      <c r="E144" s="6" t="e">
        <f t="shared" ref="E144:L144" ca="1" si="92">E121</f>
        <v>#DIV/0!</v>
      </c>
      <c r="F144" s="6" t="e">
        <f t="shared" ca="1" si="92"/>
        <v>#DIV/0!</v>
      </c>
      <c r="G144" s="6" t="e">
        <f t="shared" ca="1" si="92"/>
        <v>#DIV/0!</v>
      </c>
      <c r="H144" s="6" t="e">
        <f t="shared" ca="1" si="92"/>
        <v>#DIV/0!</v>
      </c>
      <c r="I144" s="6" t="e">
        <f t="shared" ca="1" si="92"/>
        <v>#DIV/0!</v>
      </c>
      <c r="J144" s="6" t="e">
        <f t="shared" ca="1" si="92"/>
        <v>#DIV/0!</v>
      </c>
      <c r="K144" s="6" t="e">
        <f t="shared" ca="1" si="92"/>
        <v>#DIV/0!</v>
      </c>
      <c r="L144" s="6" t="e">
        <f t="shared" ca="1" si="92"/>
        <v>#DIV/0!</v>
      </c>
      <c r="M144" s="215"/>
    </row>
    <row r="145" spans="2:13">
      <c r="B145" s="216" t="str">
        <f>B124</f>
        <v>Common</v>
      </c>
      <c r="C145" s="217" t="str">
        <f>'Cap Table'!$D$61</f>
        <v>$</v>
      </c>
      <c r="D145" s="6" t="e">
        <f t="shared" ref="D145:L145" ca="1" si="93">D132</f>
        <v>#DIV/0!</v>
      </c>
      <c r="E145" s="6" t="e">
        <f t="shared" ca="1" si="93"/>
        <v>#DIV/0!</v>
      </c>
      <c r="F145" s="6" t="e">
        <f t="shared" ca="1" si="93"/>
        <v>#DIV/0!</v>
      </c>
      <c r="G145" s="6" t="e">
        <f t="shared" ca="1" si="93"/>
        <v>#DIV/0!</v>
      </c>
      <c r="H145" s="6" t="e">
        <f t="shared" ca="1" si="93"/>
        <v>#DIV/0!</v>
      </c>
      <c r="I145" s="6" t="e">
        <f t="shared" ca="1" si="93"/>
        <v>#DIV/0!</v>
      </c>
      <c r="J145" s="6" t="e">
        <f t="shared" ca="1" si="93"/>
        <v>#DIV/0!</v>
      </c>
      <c r="K145" s="6" t="e">
        <f t="shared" ca="1" si="93"/>
        <v>#DIV/0!</v>
      </c>
      <c r="L145" s="6" t="e">
        <f t="shared" ca="1" si="93"/>
        <v>#DIV/0!</v>
      </c>
      <c r="M145" s="215"/>
    </row>
    <row r="146" spans="2:13">
      <c r="B146" s="216" t="s">
        <v>20</v>
      </c>
      <c r="C146" s="217" t="str">
        <f>'Cap Table'!$D$61</f>
        <v>$</v>
      </c>
      <c r="D146" s="88" t="e">
        <f t="shared" ref="D146" ca="1" si="94">SUM(D139:D145)</f>
        <v>#DIV/0!</v>
      </c>
      <c r="E146" s="88" t="e">
        <f t="shared" ref="E146:L146" ca="1" si="95">SUM(E139:E145)</f>
        <v>#DIV/0!</v>
      </c>
      <c r="F146" s="88" t="e">
        <f t="shared" ca="1" si="95"/>
        <v>#DIV/0!</v>
      </c>
      <c r="G146" s="88" t="e">
        <f t="shared" ca="1" si="95"/>
        <v>#DIV/0!</v>
      </c>
      <c r="H146" s="88" t="e">
        <f t="shared" ca="1" si="95"/>
        <v>#DIV/0!</v>
      </c>
      <c r="I146" s="88" t="e">
        <f t="shared" ca="1" si="95"/>
        <v>#DIV/0!</v>
      </c>
      <c r="J146" s="88" t="e">
        <f t="shared" ca="1" si="95"/>
        <v>#DIV/0!</v>
      </c>
      <c r="K146" s="88" t="e">
        <f t="shared" ca="1" si="95"/>
        <v>#DIV/0!</v>
      </c>
      <c r="L146" s="88" t="e">
        <f t="shared" ca="1" si="95"/>
        <v>#DIV/0!</v>
      </c>
      <c r="M146" s="215" t="s">
        <v>564</v>
      </c>
    </row>
    <row r="147" spans="2:13">
      <c r="C147" s="2"/>
      <c r="M147" s="215"/>
    </row>
    <row r="148" spans="2:13">
      <c r="B148" s="227" t="s">
        <v>246</v>
      </c>
      <c r="C148" s="2"/>
      <c r="M148" s="215"/>
    </row>
    <row r="149" spans="2:13">
      <c r="B149" s="216" t="str">
        <f>B46</f>
        <v>E Round Shareholders</v>
      </c>
      <c r="C149" s="217" t="str">
        <f>'Cap Table'!$D$61</f>
        <v>$</v>
      </c>
      <c r="D149" s="6" t="e">
        <f ca="1">IF($D$35="full participating preferred",MIN(D47,$D$34),IF($D$35="participating preferred with a cap",IF(AND(D55=0,D49&gt;D50),0,MIN(D47,$D$34)),IF(D49&gt;D50,0,MIN(D47,$D$34))))</f>
        <v>#DIV/0!</v>
      </c>
      <c r="E149" s="6" t="e">
        <f t="shared" ref="E149:L149" ca="1" si="96">IF($D$35="full participating preferred",MIN(E47,$D$34),IF($D$35="participating preferred with a cap",IF(AND(E55=0,E49&gt;E50),0,MIN(E47,$D$34)),IF(E49&gt;E50,0,MIN(E47,$D$34))))</f>
        <v>#DIV/0!</v>
      </c>
      <c r="F149" s="6" t="e">
        <f t="shared" ca="1" si="96"/>
        <v>#DIV/0!</v>
      </c>
      <c r="G149" s="6" t="e">
        <f t="shared" ca="1" si="96"/>
        <v>#DIV/0!</v>
      </c>
      <c r="H149" s="6" t="e">
        <f t="shared" ca="1" si="96"/>
        <v>#DIV/0!</v>
      </c>
      <c r="I149" s="6" t="e">
        <f t="shared" ca="1" si="96"/>
        <v>#DIV/0!</v>
      </c>
      <c r="J149" s="6" t="e">
        <f t="shared" ca="1" si="96"/>
        <v>#DIV/0!</v>
      </c>
      <c r="K149" s="6" t="e">
        <f t="shared" ca="1" si="96"/>
        <v>#DIV/0!</v>
      </c>
      <c r="L149" s="6" t="e">
        <f t="shared" ca="1" si="96"/>
        <v>#DIV/0!</v>
      </c>
      <c r="M149" s="215"/>
    </row>
    <row r="150" spans="2:13">
      <c r="B150" s="216" t="str">
        <f>B59</f>
        <v>D Round Shareholders</v>
      </c>
      <c r="C150" s="217" t="str">
        <f>'Cap Table'!$D$61</f>
        <v>$</v>
      </c>
      <c r="D150" s="6" t="e">
        <f ca="1">IF($E$35="full participating preferred",MIN(D60,$E$34),IF($E$35="participating preferred with a cap",IF(AND(D68=0,D62&gt;D63),0,MIN(D60,$E$34)),IF(D62&gt;D63,0,MIN(D60,$E$34))))</f>
        <v>#DIV/0!</v>
      </c>
      <c r="E150" s="6" t="e">
        <f t="shared" ref="E150:L150" ca="1" si="97">IF($E$35="full participating preferred",MIN(E60,$E$34),IF($E$35="participating preferred with a cap",IF(AND(E68=0,E62&gt;E63),0,MIN(E60,$E$34)),IF(E62&gt;E63,0,MIN(E60,$E$34))))</f>
        <v>#DIV/0!</v>
      </c>
      <c r="F150" s="6" t="e">
        <f t="shared" ca="1" si="97"/>
        <v>#DIV/0!</v>
      </c>
      <c r="G150" s="6" t="e">
        <f t="shared" ca="1" si="97"/>
        <v>#DIV/0!</v>
      </c>
      <c r="H150" s="6" t="e">
        <f t="shared" ca="1" si="97"/>
        <v>#DIV/0!</v>
      </c>
      <c r="I150" s="6" t="e">
        <f t="shared" ca="1" si="97"/>
        <v>#DIV/0!</v>
      </c>
      <c r="J150" s="6" t="e">
        <f t="shared" ca="1" si="97"/>
        <v>#DIV/0!</v>
      </c>
      <c r="K150" s="6" t="e">
        <f t="shared" ca="1" si="97"/>
        <v>#DIV/0!</v>
      </c>
      <c r="L150" s="6" t="e">
        <f t="shared" ca="1" si="97"/>
        <v>#DIV/0!</v>
      </c>
      <c r="M150" s="215"/>
    </row>
    <row r="151" spans="2:13">
      <c r="B151" s="216" t="str">
        <f>B72</f>
        <v>C Round Shareholders</v>
      </c>
      <c r="C151" s="217" t="str">
        <f>'Cap Table'!$D$61</f>
        <v>$</v>
      </c>
      <c r="D151" s="6" t="e">
        <f ca="1">IF($F$35="full participating preferred",MIN(D73,$F$34),IF($F$35="participating preferred with a cap",IF(AND(D81=0,D75&gt;D76),0,MIN(D73,$F$34)),IF(D75&gt;D76,0,MIN(D73,$F$34))))</f>
        <v>#DIV/0!</v>
      </c>
      <c r="E151" s="6" t="e">
        <f t="shared" ref="E151:L151" ca="1" si="98">IF($F$35="full participating preferred",MIN(E73,$F$34),IF($F$35="participating preferred with a cap",IF(AND(E81=0,E75&gt;E76),0,MIN(E73,$F$34)),IF(E75&gt;E76,0,MIN(E73,$F$34))))</f>
        <v>#DIV/0!</v>
      </c>
      <c r="F151" s="6" t="e">
        <f t="shared" ca="1" si="98"/>
        <v>#DIV/0!</v>
      </c>
      <c r="G151" s="6" t="e">
        <f t="shared" ca="1" si="98"/>
        <v>#DIV/0!</v>
      </c>
      <c r="H151" s="6" t="e">
        <f t="shared" ca="1" si="98"/>
        <v>#DIV/0!</v>
      </c>
      <c r="I151" s="6" t="e">
        <f t="shared" ca="1" si="98"/>
        <v>#DIV/0!</v>
      </c>
      <c r="J151" s="6" t="e">
        <f t="shared" ca="1" si="98"/>
        <v>#DIV/0!</v>
      </c>
      <c r="K151" s="6" t="e">
        <f t="shared" ca="1" si="98"/>
        <v>#DIV/0!</v>
      </c>
      <c r="L151" s="6" t="e">
        <f t="shared" ca="1" si="98"/>
        <v>#DIV/0!</v>
      </c>
      <c r="M151" s="215"/>
    </row>
    <row r="152" spans="2:13">
      <c r="B152" s="216" t="str">
        <f>B85</f>
        <v>B Round Shareholders</v>
      </c>
      <c r="C152" s="217" t="str">
        <f>'Cap Table'!$D$61</f>
        <v>$</v>
      </c>
      <c r="D152" s="6" t="e">
        <f ca="1">IF($G$35="full participating preferred",MIN(D86,$G$34),IF($G$35="participating preferred with a cap",IF(AND(D94=0,D88&gt;D89),0,MIN(D86,$G$34)),IF(D88&gt;D89,0,MIN(D86,$G$34))))</f>
        <v>#DIV/0!</v>
      </c>
      <c r="E152" s="6" t="e">
        <f t="shared" ref="E152:L152" ca="1" si="99">IF($G$35="full participating preferred",MIN(E86,$G$34),IF($G$35="participating preferred with a cap",IF(AND(E94=0,E88&gt;E89),0,MIN(E86,$G$34)),IF(E88&gt;E89,0,MIN(E86,$G$34))))</f>
        <v>#DIV/0!</v>
      </c>
      <c r="F152" s="6" t="e">
        <f t="shared" ca="1" si="99"/>
        <v>#DIV/0!</v>
      </c>
      <c r="G152" s="6" t="e">
        <f t="shared" ca="1" si="99"/>
        <v>#DIV/0!</v>
      </c>
      <c r="H152" s="6" t="e">
        <f t="shared" ca="1" si="99"/>
        <v>#DIV/0!</v>
      </c>
      <c r="I152" s="6" t="e">
        <f t="shared" ca="1" si="99"/>
        <v>#DIV/0!</v>
      </c>
      <c r="J152" s="6" t="e">
        <f t="shared" ca="1" si="99"/>
        <v>#DIV/0!</v>
      </c>
      <c r="K152" s="6" t="e">
        <f t="shared" ca="1" si="99"/>
        <v>#DIV/0!</v>
      </c>
      <c r="L152" s="6" t="e">
        <f t="shared" ca="1" si="99"/>
        <v>#DIV/0!</v>
      </c>
      <c r="M152" s="215"/>
    </row>
    <row r="153" spans="2:13">
      <c r="B153" s="216" t="str">
        <f>B98</f>
        <v>A Round Shareholders</v>
      </c>
      <c r="C153" s="217" t="str">
        <f>'Cap Table'!$D$61</f>
        <v>$</v>
      </c>
      <c r="D153" s="6" t="e">
        <f ca="1">IF($H$35="full participating preferred",MIN(D99,$H$34),IF($H$35="participating preferred with a cap",IF(AND(D107=0,D101&gt;D102),0,MIN(D99,$H$34)),IF(D101&gt;D102,0,MIN(D99,$H$34))))</f>
        <v>#DIV/0!</v>
      </c>
      <c r="E153" s="6" t="e">
        <f t="shared" ref="E153:L153" ca="1" si="100">IF($H$35="full participating preferred",MIN(E99,$H$34),IF($H$35="participating preferred with a cap",IF(AND(E107=0,E101&gt;E102),0,MIN(E99,$H$34)),IF(E101&gt;E102,0,MIN(E99,$H$34))))</f>
        <v>#DIV/0!</v>
      </c>
      <c r="F153" s="6" t="e">
        <f t="shared" ca="1" si="100"/>
        <v>#DIV/0!</v>
      </c>
      <c r="G153" s="6" t="e">
        <f t="shared" ca="1" si="100"/>
        <v>#DIV/0!</v>
      </c>
      <c r="H153" s="6" t="e">
        <f t="shared" ca="1" si="100"/>
        <v>#DIV/0!</v>
      </c>
      <c r="I153" s="6" t="e">
        <f t="shared" ca="1" si="100"/>
        <v>#DIV/0!</v>
      </c>
      <c r="J153" s="6" t="e">
        <f t="shared" ca="1" si="100"/>
        <v>#DIV/0!</v>
      </c>
      <c r="K153" s="6" t="e">
        <f t="shared" ca="1" si="100"/>
        <v>#DIV/0!</v>
      </c>
      <c r="L153" s="6" t="e">
        <f t="shared" ca="1" si="100"/>
        <v>#DIV/0!</v>
      </c>
      <c r="M153" s="215"/>
    </row>
    <row r="154" spans="2:13">
      <c r="B154" s="216" t="str">
        <f>B111</f>
        <v>Seed Round Shareholders</v>
      </c>
      <c r="C154" s="217" t="str">
        <f>'Cap Table'!$D$61</f>
        <v>$</v>
      </c>
      <c r="D154" s="6" t="e">
        <f ca="1">IF($I$35="full participating preferred",MIN(D112,$I$34),IF($I$35="participating preferred with a cap",IF(AND(D120=0,D114&gt;D115),0,MIN(D112,$I$34)),IF(D114&gt;D115,0,MIN(D112,$I$34))))</f>
        <v>#DIV/0!</v>
      </c>
      <c r="E154" s="6" t="e">
        <f t="shared" ref="E154:L154" ca="1" si="101">IF($I$35="full participating preferred",MIN(E112,$I$34),IF($I$35="participating preferred with a cap",IF(AND(E120=0,E114&gt;E115),0,MIN(E112,$I$34)),IF(E114&gt;E115,0,MIN(E112,$I$34))))</f>
        <v>#DIV/0!</v>
      </c>
      <c r="F154" s="6" t="e">
        <f t="shared" ca="1" si="101"/>
        <v>#DIV/0!</v>
      </c>
      <c r="G154" s="6" t="e">
        <f t="shared" ca="1" si="101"/>
        <v>#DIV/0!</v>
      </c>
      <c r="H154" s="6" t="e">
        <f t="shared" ca="1" si="101"/>
        <v>#DIV/0!</v>
      </c>
      <c r="I154" s="6" t="e">
        <f t="shared" ca="1" si="101"/>
        <v>#DIV/0!</v>
      </c>
      <c r="J154" s="6" t="e">
        <f t="shared" ca="1" si="101"/>
        <v>#DIV/0!</v>
      </c>
      <c r="K154" s="6" t="e">
        <f t="shared" ca="1" si="101"/>
        <v>#DIV/0!</v>
      </c>
      <c r="L154" s="6" t="e">
        <f t="shared" ca="1" si="101"/>
        <v>#DIV/0!</v>
      </c>
      <c r="M154" s="215"/>
    </row>
    <row r="155" spans="2:13">
      <c r="B155" s="216" t="str">
        <f>B128&amp;" (including Options)"</f>
        <v>Common Shares (including Options)</v>
      </c>
      <c r="C155" s="217" t="str">
        <f>'Cap Table'!$D$61</f>
        <v>$</v>
      </c>
      <c r="D155" s="6">
        <v>0</v>
      </c>
      <c r="E155" s="6">
        <v>0</v>
      </c>
      <c r="F155" s="6">
        <v>0</v>
      </c>
      <c r="G155" s="6">
        <v>0</v>
      </c>
      <c r="H155" s="6">
        <v>0</v>
      </c>
      <c r="I155" s="6">
        <v>0</v>
      </c>
      <c r="J155" s="6">
        <v>0</v>
      </c>
      <c r="K155" s="6">
        <v>0</v>
      </c>
      <c r="L155" s="6">
        <v>0</v>
      </c>
      <c r="M155" s="215"/>
    </row>
    <row r="156" spans="2:13">
      <c r="B156" s="216" t="s">
        <v>20</v>
      </c>
      <c r="C156" s="217" t="str">
        <f>'Cap Table'!$D$61</f>
        <v>$</v>
      </c>
      <c r="D156" s="88" t="e">
        <f t="shared" ref="D156:L156" ca="1" si="102">SUM(D149:D155)</f>
        <v>#DIV/0!</v>
      </c>
      <c r="E156" s="88" t="e">
        <f t="shared" ca="1" si="102"/>
        <v>#DIV/0!</v>
      </c>
      <c r="F156" s="88" t="e">
        <f t="shared" ca="1" si="102"/>
        <v>#DIV/0!</v>
      </c>
      <c r="G156" s="88" t="e">
        <f t="shared" ca="1" si="102"/>
        <v>#DIV/0!</v>
      </c>
      <c r="H156" s="88" t="e">
        <f t="shared" ca="1" si="102"/>
        <v>#DIV/0!</v>
      </c>
      <c r="I156" s="88" t="e">
        <f t="shared" ca="1" si="102"/>
        <v>#DIV/0!</v>
      </c>
      <c r="J156" s="88" t="e">
        <f t="shared" ca="1" si="102"/>
        <v>#DIV/0!</v>
      </c>
      <c r="K156" s="88" t="e">
        <f t="shared" ca="1" si="102"/>
        <v>#DIV/0!</v>
      </c>
      <c r="L156" s="88" t="e">
        <f t="shared" ca="1" si="102"/>
        <v>#DIV/0!</v>
      </c>
      <c r="M156" s="230" t="s">
        <v>567</v>
      </c>
    </row>
    <row r="157" spans="2:13">
      <c r="C157" s="2"/>
      <c r="M157" s="215"/>
    </row>
    <row r="158" spans="2:13">
      <c r="M158" s="215"/>
    </row>
    <row r="159" spans="2:13">
      <c r="B159" s="47" t="s">
        <v>568</v>
      </c>
      <c r="M159" s="215"/>
    </row>
    <row r="160" spans="2:13">
      <c r="B160" s="34"/>
      <c r="M160" s="215"/>
    </row>
    <row r="161" spans="2:13">
      <c r="B161" s="6" t="str">
        <f>B$17</f>
        <v>E</v>
      </c>
      <c r="C161" s="217" t="str">
        <f>'Cap Table'!$D$61</f>
        <v>$</v>
      </c>
      <c r="D161" s="250" t="e">
        <f t="shared" ref="D161:L168" ca="1" si="103">D$57*$D17+$E17*D$70+$F17*D$83+$G17*D$96+$H17*D$109+$I17*D$122+($J17+$K17)*D$133</f>
        <v>#DIV/0!</v>
      </c>
      <c r="E161" s="250" t="e">
        <f t="shared" ca="1" si="103"/>
        <v>#DIV/0!</v>
      </c>
      <c r="F161" s="250" t="e">
        <f t="shared" ca="1" si="103"/>
        <v>#DIV/0!</v>
      </c>
      <c r="G161" s="250" t="e">
        <f t="shared" ca="1" si="103"/>
        <v>#DIV/0!</v>
      </c>
      <c r="H161" s="250" t="e">
        <f t="shared" ca="1" si="103"/>
        <v>#DIV/0!</v>
      </c>
      <c r="I161" s="250" t="e">
        <f t="shared" ca="1" si="103"/>
        <v>#DIV/0!</v>
      </c>
      <c r="J161" s="250" t="e">
        <f t="shared" ca="1" si="103"/>
        <v>#DIV/0!</v>
      </c>
      <c r="K161" s="250" t="e">
        <f t="shared" ca="1" si="103"/>
        <v>#DIV/0!</v>
      </c>
      <c r="L161" s="250" t="e">
        <f t="shared" ca="1" si="103"/>
        <v>#DIV/0!</v>
      </c>
      <c r="M161" s="215"/>
    </row>
    <row r="162" spans="2:13">
      <c r="B162" s="6" t="str">
        <f>B$18</f>
        <v>D</v>
      </c>
      <c r="C162" s="217" t="str">
        <f>'Cap Table'!$D$61</f>
        <v>$</v>
      </c>
      <c r="D162" s="250" t="e">
        <f t="shared" ca="1" si="103"/>
        <v>#DIV/0!</v>
      </c>
      <c r="E162" s="250" t="e">
        <f t="shared" ca="1" si="103"/>
        <v>#DIV/0!</v>
      </c>
      <c r="F162" s="250" t="e">
        <f t="shared" ca="1" si="103"/>
        <v>#DIV/0!</v>
      </c>
      <c r="G162" s="250" t="e">
        <f t="shared" ca="1" si="103"/>
        <v>#DIV/0!</v>
      </c>
      <c r="H162" s="250" t="e">
        <f t="shared" ca="1" si="103"/>
        <v>#DIV/0!</v>
      </c>
      <c r="I162" s="250" t="e">
        <f t="shared" ca="1" si="103"/>
        <v>#DIV/0!</v>
      </c>
      <c r="J162" s="250" t="e">
        <f t="shared" ca="1" si="103"/>
        <v>#DIV/0!</v>
      </c>
      <c r="K162" s="250" t="e">
        <f t="shared" ca="1" si="103"/>
        <v>#DIV/0!</v>
      </c>
      <c r="L162" s="250" t="e">
        <f t="shared" ca="1" si="103"/>
        <v>#DIV/0!</v>
      </c>
      <c r="M162" s="215"/>
    </row>
    <row r="163" spans="2:13">
      <c r="B163" s="6" t="str">
        <f>B$19</f>
        <v>C</v>
      </c>
      <c r="C163" s="217" t="str">
        <f>'Cap Table'!$D$61</f>
        <v>$</v>
      </c>
      <c r="D163" s="250" t="e">
        <f t="shared" ca="1" si="103"/>
        <v>#DIV/0!</v>
      </c>
      <c r="E163" s="250" t="e">
        <f t="shared" ca="1" si="103"/>
        <v>#DIV/0!</v>
      </c>
      <c r="F163" s="250" t="e">
        <f t="shared" ca="1" si="103"/>
        <v>#DIV/0!</v>
      </c>
      <c r="G163" s="250" t="e">
        <f t="shared" ca="1" si="103"/>
        <v>#DIV/0!</v>
      </c>
      <c r="H163" s="250" t="e">
        <f t="shared" ca="1" si="103"/>
        <v>#DIV/0!</v>
      </c>
      <c r="I163" s="250" t="e">
        <f t="shared" ca="1" si="103"/>
        <v>#DIV/0!</v>
      </c>
      <c r="J163" s="250" t="e">
        <f t="shared" ca="1" si="103"/>
        <v>#DIV/0!</v>
      </c>
      <c r="K163" s="250" t="e">
        <f t="shared" ca="1" si="103"/>
        <v>#DIV/0!</v>
      </c>
      <c r="L163" s="250" t="e">
        <f t="shared" ca="1" si="103"/>
        <v>#DIV/0!</v>
      </c>
      <c r="M163" s="215"/>
    </row>
    <row r="164" spans="2:13">
      <c r="B164" s="6" t="str">
        <f>B$20</f>
        <v>B</v>
      </c>
      <c r="C164" s="217" t="str">
        <f>'Cap Table'!$D$61</f>
        <v>$</v>
      </c>
      <c r="D164" s="250" t="e">
        <f t="shared" ca="1" si="103"/>
        <v>#DIV/0!</v>
      </c>
      <c r="E164" s="250" t="e">
        <f t="shared" ca="1" si="103"/>
        <v>#DIV/0!</v>
      </c>
      <c r="F164" s="250" t="e">
        <f t="shared" ca="1" si="103"/>
        <v>#DIV/0!</v>
      </c>
      <c r="G164" s="250" t="e">
        <f t="shared" ca="1" si="103"/>
        <v>#DIV/0!</v>
      </c>
      <c r="H164" s="250" t="e">
        <f t="shared" ca="1" si="103"/>
        <v>#DIV/0!</v>
      </c>
      <c r="I164" s="250" t="e">
        <f t="shared" ca="1" si="103"/>
        <v>#DIV/0!</v>
      </c>
      <c r="J164" s="250" t="e">
        <f t="shared" ca="1" si="103"/>
        <v>#DIV/0!</v>
      </c>
      <c r="K164" s="250" t="e">
        <f t="shared" ca="1" si="103"/>
        <v>#DIV/0!</v>
      </c>
      <c r="L164" s="250" t="e">
        <f t="shared" ca="1" si="103"/>
        <v>#DIV/0!</v>
      </c>
      <c r="M164" s="215"/>
    </row>
    <row r="165" spans="2:13">
      <c r="B165" s="6" t="str">
        <f>B$21</f>
        <v>A</v>
      </c>
      <c r="C165" s="217" t="str">
        <f>'Cap Table'!$D$61</f>
        <v>$</v>
      </c>
      <c r="D165" s="250" t="e">
        <f t="shared" ca="1" si="103"/>
        <v>#DIV/0!</v>
      </c>
      <c r="E165" s="250" t="e">
        <f t="shared" ca="1" si="103"/>
        <v>#DIV/0!</v>
      </c>
      <c r="F165" s="250" t="e">
        <f t="shared" ca="1" si="103"/>
        <v>#DIV/0!</v>
      </c>
      <c r="G165" s="250" t="e">
        <f t="shared" ca="1" si="103"/>
        <v>#DIV/0!</v>
      </c>
      <c r="H165" s="250" t="e">
        <f t="shared" ca="1" si="103"/>
        <v>#DIV/0!</v>
      </c>
      <c r="I165" s="250" t="e">
        <f t="shared" ca="1" si="103"/>
        <v>#DIV/0!</v>
      </c>
      <c r="J165" s="250" t="e">
        <f t="shared" ca="1" si="103"/>
        <v>#DIV/0!</v>
      </c>
      <c r="K165" s="250" t="e">
        <f t="shared" ca="1" si="103"/>
        <v>#DIV/0!</v>
      </c>
      <c r="L165" s="250" t="e">
        <f t="shared" ca="1" si="103"/>
        <v>#DIV/0!</v>
      </c>
      <c r="M165" s="215"/>
    </row>
    <row r="166" spans="2:13">
      <c r="B166" s="6" t="str">
        <f>B$22</f>
        <v>Seed</v>
      </c>
      <c r="C166" s="217" t="str">
        <f>'Cap Table'!$D$61</f>
        <v>$</v>
      </c>
      <c r="D166" s="250" t="e">
        <f t="shared" ca="1" si="103"/>
        <v>#DIV/0!</v>
      </c>
      <c r="E166" s="250" t="e">
        <f t="shared" ca="1" si="103"/>
        <v>#DIV/0!</v>
      </c>
      <c r="F166" s="250" t="e">
        <f t="shared" ca="1" si="103"/>
        <v>#DIV/0!</v>
      </c>
      <c r="G166" s="250" t="e">
        <f t="shared" ca="1" si="103"/>
        <v>#DIV/0!</v>
      </c>
      <c r="H166" s="250" t="e">
        <f t="shared" ca="1" si="103"/>
        <v>#DIV/0!</v>
      </c>
      <c r="I166" s="250" t="e">
        <f t="shared" ca="1" si="103"/>
        <v>#DIV/0!</v>
      </c>
      <c r="J166" s="250" t="e">
        <f t="shared" ca="1" si="103"/>
        <v>#DIV/0!</v>
      </c>
      <c r="K166" s="250" t="e">
        <f t="shared" ca="1" si="103"/>
        <v>#DIV/0!</v>
      </c>
      <c r="L166" s="250" t="e">
        <f t="shared" ca="1" si="103"/>
        <v>#DIV/0!</v>
      </c>
      <c r="M166" s="215"/>
    </row>
    <row r="167" spans="2:13">
      <c r="B167" s="6" t="str">
        <f>B$23</f>
        <v>Common Holders</v>
      </c>
      <c r="C167" s="217" t="str">
        <f>'Cap Table'!$D$61</f>
        <v>$</v>
      </c>
      <c r="D167" s="250" t="e">
        <f t="shared" ca="1" si="103"/>
        <v>#DIV/0!</v>
      </c>
      <c r="E167" s="250" t="e">
        <f t="shared" ca="1" si="103"/>
        <v>#DIV/0!</v>
      </c>
      <c r="F167" s="250" t="e">
        <f t="shared" ca="1" si="103"/>
        <v>#DIV/0!</v>
      </c>
      <c r="G167" s="250" t="e">
        <f t="shared" ca="1" si="103"/>
        <v>#DIV/0!</v>
      </c>
      <c r="H167" s="250" t="e">
        <f t="shared" ca="1" si="103"/>
        <v>#DIV/0!</v>
      </c>
      <c r="I167" s="250" t="e">
        <f t="shared" ca="1" si="103"/>
        <v>#DIV/0!</v>
      </c>
      <c r="J167" s="250" t="e">
        <f t="shared" ca="1" si="103"/>
        <v>#DIV/0!</v>
      </c>
      <c r="K167" s="250" t="e">
        <f t="shared" ca="1" si="103"/>
        <v>#DIV/0!</v>
      </c>
      <c r="L167" s="250" t="e">
        <f t="shared" ca="1" si="103"/>
        <v>#DIV/0!</v>
      </c>
      <c r="M167" s="215"/>
    </row>
    <row r="168" spans="2:13">
      <c r="B168" s="6" t="str">
        <f>B$24</f>
        <v>Options Granted and Exercised</v>
      </c>
      <c r="C168" s="217" t="str">
        <f>'Cap Table'!$D$61</f>
        <v>$</v>
      </c>
      <c r="D168" s="250" t="e">
        <f t="shared" ca="1" si="103"/>
        <v>#DIV/0!</v>
      </c>
      <c r="E168" s="250" t="e">
        <f t="shared" ca="1" si="103"/>
        <v>#DIV/0!</v>
      </c>
      <c r="F168" s="250" t="e">
        <f t="shared" ca="1" si="103"/>
        <v>#DIV/0!</v>
      </c>
      <c r="G168" s="250" t="e">
        <f t="shared" ca="1" si="103"/>
        <v>#DIV/0!</v>
      </c>
      <c r="H168" s="250" t="e">
        <f t="shared" ca="1" si="103"/>
        <v>#DIV/0!</v>
      </c>
      <c r="I168" s="250" t="e">
        <f t="shared" ca="1" si="103"/>
        <v>#DIV/0!</v>
      </c>
      <c r="J168" s="250" t="e">
        <f t="shared" ca="1" si="103"/>
        <v>#DIV/0!</v>
      </c>
      <c r="K168" s="250" t="e">
        <f t="shared" ca="1" si="103"/>
        <v>#DIV/0!</v>
      </c>
      <c r="L168" s="250" t="e">
        <f t="shared" ca="1" si="103"/>
        <v>#DIV/0!</v>
      </c>
      <c r="M168" s="215"/>
    </row>
    <row r="169" spans="2:13">
      <c r="B169" s="6" t="s">
        <v>20</v>
      </c>
      <c r="C169" s="217" t="str">
        <f>'Cap Table'!$D$61</f>
        <v>$</v>
      </c>
      <c r="D169" s="88" t="e">
        <f t="shared" ref="D169:L169" ca="1" si="104">SUM(D161:D168)</f>
        <v>#DIV/0!</v>
      </c>
      <c r="E169" s="88" t="e">
        <f t="shared" ca="1" si="104"/>
        <v>#DIV/0!</v>
      </c>
      <c r="F169" s="88" t="e">
        <f t="shared" ca="1" si="104"/>
        <v>#DIV/0!</v>
      </c>
      <c r="G169" s="88" t="e">
        <f t="shared" ca="1" si="104"/>
        <v>#DIV/0!</v>
      </c>
      <c r="H169" s="88" t="e">
        <f t="shared" ca="1" si="104"/>
        <v>#DIV/0!</v>
      </c>
      <c r="I169" s="88" t="e">
        <f t="shared" ca="1" si="104"/>
        <v>#DIV/0!</v>
      </c>
      <c r="J169" s="88" t="e">
        <f t="shared" ca="1" si="104"/>
        <v>#DIV/0!</v>
      </c>
      <c r="K169" s="88" t="e">
        <f t="shared" ca="1" si="104"/>
        <v>#DIV/0!</v>
      </c>
      <c r="L169" s="88" t="e">
        <f t="shared" ca="1" si="104"/>
        <v>#DIV/0!</v>
      </c>
      <c r="M169" s="215"/>
    </row>
    <row r="170" spans="2:13">
      <c r="B170" s="6"/>
      <c r="C170" s="217"/>
      <c r="M170" s="215"/>
    </row>
    <row r="171" spans="2:13">
      <c r="B171" s="6"/>
      <c r="C171" s="217"/>
      <c r="M171" s="215"/>
    </row>
    <row r="172" spans="2:13">
      <c r="B172" s="47" t="s">
        <v>569</v>
      </c>
      <c r="M172" s="215"/>
    </row>
    <row r="173" spans="2:13">
      <c r="B173" s="34"/>
      <c r="M173" s="215"/>
    </row>
    <row r="174" spans="2:13">
      <c r="B174" s="6" t="str">
        <f>B$17</f>
        <v>E</v>
      </c>
      <c r="C174" s="217" t="s">
        <v>50</v>
      </c>
      <c r="D174" s="255">
        <f ca="1">IFERROR(D161/D$169,0)</f>
        <v>0</v>
      </c>
      <c r="E174" s="255">
        <f t="shared" ref="E174:L174" ca="1" si="105">IFERROR(E161/E$169,0)</f>
        <v>0</v>
      </c>
      <c r="F174" s="255">
        <f t="shared" ca="1" si="105"/>
        <v>0</v>
      </c>
      <c r="G174" s="255">
        <f t="shared" ca="1" si="105"/>
        <v>0</v>
      </c>
      <c r="H174" s="255">
        <f t="shared" ca="1" si="105"/>
        <v>0</v>
      </c>
      <c r="I174" s="255">
        <f t="shared" ca="1" si="105"/>
        <v>0</v>
      </c>
      <c r="J174" s="255">
        <f t="shared" ca="1" si="105"/>
        <v>0</v>
      </c>
      <c r="K174" s="255">
        <f t="shared" ca="1" si="105"/>
        <v>0</v>
      </c>
      <c r="L174" s="255">
        <f t="shared" ca="1" si="105"/>
        <v>0</v>
      </c>
      <c r="M174" s="215"/>
    </row>
    <row r="175" spans="2:13">
      <c r="B175" s="6" t="str">
        <f>B$18</f>
        <v>D</v>
      </c>
      <c r="C175" s="217" t="s">
        <v>50</v>
      </c>
      <c r="D175" s="255">
        <f t="shared" ref="D175:L182" ca="1" si="106">IFERROR(D162/D$169,0)</f>
        <v>0</v>
      </c>
      <c r="E175" s="255">
        <f t="shared" ca="1" si="106"/>
        <v>0</v>
      </c>
      <c r="F175" s="255">
        <f t="shared" ca="1" si="106"/>
        <v>0</v>
      </c>
      <c r="G175" s="255">
        <f t="shared" ca="1" si="106"/>
        <v>0</v>
      </c>
      <c r="H175" s="255">
        <f t="shared" ca="1" si="106"/>
        <v>0</v>
      </c>
      <c r="I175" s="255">
        <f t="shared" ca="1" si="106"/>
        <v>0</v>
      </c>
      <c r="J175" s="255">
        <f t="shared" ca="1" si="106"/>
        <v>0</v>
      </c>
      <c r="K175" s="255">
        <f t="shared" ca="1" si="106"/>
        <v>0</v>
      </c>
      <c r="L175" s="255">
        <f t="shared" ca="1" si="106"/>
        <v>0</v>
      </c>
      <c r="M175" s="215"/>
    </row>
    <row r="176" spans="2:13">
      <c r="B176" s="6" t="str">
        <f>B$19</f>
        <v>C</v>
      </c>
      <c r="C176" s="217" t="s">
        <v>50</v>
      </c>
      <c r="D176" s="255">
        <f t="shared" ca="1" si="106"/>
        <v>0</v>
      </c>
      <c r="E176" s="255">
        <f t="shared" ca="1" si="106"/>
        <v>0</v>
      </c>
      <c r="F176" s="255">
        <f t="shared" ca="1" si="106"/>
        <v>0</v>
      </c>
      <c r="G176" s="255">
        <f t="shared" ca="1" si="106"/>
        <v>0</v>
      </c>
      <c r="H176" s="255">
        <f t="shared" ca="1" si="106"/>
        <v>0</v>
      </c>
      <c r="I176" s="255">
        <f t="shared" ca="1" si="106"/>
        <v>0</v>
      </c>
      <c r="J176" s="255">
        <f t="shared" ca="1" si="106"/>
        <v>0</v>
      </c>
      <c r="K176" s="255">
        <f t="shared" ca="1" si="106"/>
        <v>0</v>
      </c>
      <c r="L176" s="255">
        <f t="shared" ca="1" si="106"/>
        <v>0</v>
      </c>
      <c r="M176" s="215"/>
    </row>
    <row r="177" spans="2:13">
      <c r="B177" s="6" t="str">
        <f>B$20</f>
        <v>B</v>
      </c>
      <c r="C177" s="217" t="s">
        <v>50</v>
      </c>
      <c r="D177" s="255">
        <f t="shared" ca="1" si="106"/>
        <v>0</v>
      </c>
      <c r="E177" s="255">
        <f t="shared" ca="1" si="106"/>
        <v>0</v>
      </c>
      <c r="F177" s="255">
        <f t="shared" ca="1" si="106"/>
        <v>0</v>
      </c>
      <c r="G177" s="255">
        <f t="shared" ca="1" si="106"/>
        <v>0</v>
      </c>
      <c r="H177" s="255">
        <f t="shared" ca="1" si="106"/>
        <v>0</v>
      </c>
      <c r="I177" s="255">
        <f t="shared" ca="1" si="106"/>
        <v>0</v>
      </c>
      <c r="J177" s="255">
        <f t="shared" ca="1" si="106"/>
        <v>0</v>
      </c>
      <c r="K177" s="255">
        <f t="shared" ca="1" si="106"/>
        <v>0</v>
      </c>
      <c r="L177" s="255">
        <f t="shared" ca="1" si="106"/>
        <v>0</v>
      </c>
      <c r="M177" s="215"/>
    </row>
    <row r="178" spans="2:13">
      <c r="B178" s="6" t="str">
        <f>B$21</f>
        <v>A</v>
      </c>
      <c r="C178" s="217" t="s">
        <v>50</v>
      </c>
      <c r="D178" s="255">
        <f t="shared" ca="1" si="106"/>
        <v>0</v>
      </c>
      <c r="E178" s="255">
        <f t="shared" ca="1" si="106"/>
        <v>0</v>
      </c>
      <c r="F178" s="255">
        <f t="shared" ca="1" si="106"/>
        <v>0</v>
      </c>
      <c r="G178" s="255">
        <f t="shared" ca="1" si="106"/>
        <v>0</v>
      </c>
      <c r="H178" s="255">
        <f t="shared" ca="1" si="106"/>
        <v>0</v>
      </c>
      <c r="I178" s="255">
        <f t="shared" ca="1" si="106"/>
        <v>0</v>
      </c>
      <c r="J178" s="255">
        <f t="shared" ca="1" si="106"/>
        <v>0</v>
      </c>
      <c r="K178" s="255">
        <f t="shared" ca="1" si="106"/>
        <v>0</v>
      </c>
      <c r="L178" s="255">
        <f t="shared" ca="1" si="106"/>
        <v>0</v>
      </c>
      <c r="M178" s="215"/>
    </row>
    <row r="179" spans="2:13">
      <c r="B179" s="6" t="str">
        <f>B$22</f>
        <v>Seed</v>
      </c>
      <c r="C179" s="217" t="s">
        <v>50</v>
      </c>
      <c r="D179" s="255">
        <f t="shared" ca="1" si="106"/>
        <v>0</v>
      </c>
      <c r="E179" s="255">
        <f t="shared" ca="1" si="106"/>
        <v>0</v>
      </c>
      <c r="F179" s="255">
        <f t="shared" ca="1" si="106"/>
        <v>0</v>
      </c>
      <c r="G179" s="255">
        <f t="shared" ca="1" si="106"/>
        <v>0</v>
      </c>
      <c r="H179" s="255">
        <f t="shared" ca="1" si="106"/>
        <v>0</v>
      </c>
      <c r="I179" s="255">
        <f t="shared" ca="1" si="106"/>
        <v>0</v>
      </c>
      <c r="J179" s="255">
        <f t="shared" ca="1" si="106"/>
        <v>0</v>
      </c>
      <c r="K179" s="255">
        <f t="shared" ca="1" si="106"/>
        <v>0</v>
      </c>
      <c r="L179" s="255">
        <f t="shared" ca="1" si="106"/>
        <v>0</v>
      </c>
      <c r="M179" s="215"/>
    </row>
    <row r="180" spans="2:13">
      <c r="B180" s="6" t="str">
        <f>B$23</f>
        <v>Common Holders</v>
      </c>
      <c r="C180" s="217" t="s">
        <v>50</v>
      </c>
      <c r="D180" s="255">
        <f t="shared" ca="1" si="106"/>
        <v>0</v>
      </c>
      <c r="E180" s="255">
        <f t="shared" ca="1" si="106"/>
        <v>0</v>
      </c>
      <c r="F180" s="255">
        <f t="shared" ca="1" si="106"/>
        <v>0</v>
      </c>
      <c r="G180" s="255">
        <f t="shared" ca="1" si="106"/>
        <v>0</v>
      </c>
      <c r="H180" s="255">
        <f t="shared" ca="1" si="106"/>
        <v>0</v>
      </c>
      <c r="I180" s="255">
        <f t="shared" ca="1" si="106"/>
        <v>0</v>
      </c>
      <c r="J180" s="255">
        <f t="shared" ca="1" si="106"/>
        <v>0</v>
      </c>
      <c r="K180" s="255">
        <f t="shared" ca="1" si="106"/>
        <v>0</v>
      </c>
      <c r="L180" s="255">
        <f t="shared" ca="1" si="106"/>
        <v>0</v>
      </c>
      <c r="M180" s="215"/>
    </row>
    <row r="181" spans="2:13">
      <c r="B181" s="6" t="str">
        <f>B$24</f>
        <v>Options Granted and Exercised</v>
      </c>
      <c r="C181" s="217" t="s">
        <v>50</v>
      </c>
      <c r="D181" s="255">
        <f t="shared" ca="1" si="106"/>
        <v>0</v>
      </c>
      <c r="E181" s="255">
        <f t="shared" ca="1" si="106"/>
        <v>0</v>
      </c>
      <c r="F181" s="255">
        <f t="shared" ca="1" si="106"/>
        <v>0</v>
      </c>
      <c r="G181" s="255">
        <f t="shared" ca="1" si="106"/>
        <v>0</v>
      </c>
      <c r="H181" s="255">
        <f t="shared" ca="1" si="106"/>
        <v>0</v>
      </c>
      <c r="I181" s="255">
        <f t="shared" ca="1" si="106"/>
        <v>0</v>
      </c>
      <c r="J181" s="255">
        <f t="shared" ca="1" si="106"/>
        <v>0</v>
      </c>
      <c r="K181" s="255">
        <f t="shared" ca="1" si="106"/>
        <v>0</v>
      </c>
      <c r="L181" s="255">
        <f t="shared" ca="1" si="106"/>
        <v>0</v>
      </c>
      <c r="M181" s="215"/>
    </row>
    <row r="182" spans="2:13">
      <c r="B182" s="6" t="s">
        <v>20</v>
      </c>
      <c r="C182" s="217" t="s">
        <v>50</v>
      </c>
      <c r="D182" s="256">
        <f t="shared" ca="1" si="106"/>
        <v>0</v>
      </c>
      <c r="E182" s="256">
        <f t="shared" ca="1" si="106"/>
        <v>0</v>
      </c>
      <c r="F182" s="256">
        <f t="shared" ca="1" si="106"/>
        <v>0</v>
      </c>
      <c r="G182" s="256">
        <f t="shared" ca="1" si="106"/>
        <v>0</v>
      </c>
      <c r="H182" s="256">
        <f t="shared" ca="1" si="106"/>
        <v>0</v>
      </c>
      <c r="I182" s="256">
        <f t="shared" ca="1" si="106"/>
        <v>0</v>
      </c>
      <c r="J182" s="256">
        <f t="shared" ca="1" si="106"/>
        <v>0</v>
      </c>
      <c r="K182" s="256">
        <f t="shared" ca="1" si="106"/>
        <v>0</v>
      </c>
      <c r="L182" s="256">
        <f t="shared" ca="1" si="106"/>
        <v>0</v>
      </c>
      <c r="M182" s="215"/>
    </row>
    <row r="183" spans="2:13">
      <c r="B183" s="6"/>
      <c r="C183" s="217"/>
      <c r="M183" s="215"/>
    </row>
    <row r="184" spans="2:13">
      <c r="M184" s="215"/>
    </row>
    <row r="185" spans="2:13">
      <c r="B185" s="47" t="s">
        <v>570</v>
      </c>
      <c r="M185" s="215" t="s">
        <v>571</v>
      </c>
    </row>
    <row r="186" spans="2:13">
      <c r="M186" s="215"/>
    </row>
    <row r="187" spans="2:13" s="11" customFormat="1">
      <c r="B187" s="68" t="str">
        <f>B$17</f>
        <v>E</v>
      </c>
      <c r="C187" s="93" t="s">
        <v>50</v>
      </c>
      <c r="D187" s="257" t="str">
        <f t="shared" ref="D187:L193" ca="1" si="107">IFERROR((D161-$D17*$D$30-$E17*$E$30-$F17*$F$30-$G17*$G$30-$H17*$H$30-$I17*$I$30)/($D17*$D$30+$E17*$E$30+$F17*$F$30+$G17*$G$30+$H17*$H$30+$I17*$I$30),"na")</f>
        <v>na</v>
      </c>
      <c r="E187" s="257" t="str">
        <f t="shared" ca="1" si="107"/>
        <v>na</v>
      </c>
      <c r="F187" s="257" t="str">
        <f t="shared" ca="1" si="107"/>
        <v>na</v>
      </c>
      <c r="G187" s="257" t="str">
        <f t="shared" ca="1" si="107"/>
        <v>na</v>
      </c>
      <c r="H187" s="257" t="str">
        <f t="shared" ca="1" si="107"/>
        <v>na</v>
      </c>
      <c r="I187" s="257" t="str">
        <f t="shared" ca="1" si="107"/>
        <v>na</v>
      </c>
      <c r="J187" s="257" t="str">
        <f t="shared" ca="1" si="107"/>
        <v>na</v>
      </c>
      <c r="K187" s="257" t="str">
        <f t="shared" ca="1" si="107"/>
        <v>na</v>
      </c>
      <c r="L187" s="257" t="str">
        <f t="shared" ca="1" si="107"/>
        <v>na</v>
      </c>
      <c r="M187" s="248" t="s">
        <v>572</v>
      </c>
    </row>
    <row r="188" spans="2:13" s="11" customFormat="1">
      <c r="B188" s="68" t="str">
        <f>B$18</f>
        <v>D</v>
      </c>
      <c r="C188" s="93" t="s">
        <v>50</v>
      </c>
      <c r="D188" s="257" t="str">
        <f t="shared" ca="1" si="107"/>
        <v>na</v>
      </c>
      <c r="E188" s="257" t="str">
        <f t="shared" ca="1" si="107"/>
        <v>na</v>
      </c>
      <c r="F188" s="257" t="str">
        <f t="shared" ca="1" si="107"/>
        <v>na</v>
      </c>
      <c r="G188" s="257" t="str">
        <f t="shared" ca="1" si="107"/>
        <v>na</v>
      </c>
      <c r="H188" s="257" t="str">
        <f t="shared" ca="1" si="107"/>
        <v>na</v>
      </c>
      <c r="I188" s="257" t="str">
        <f t="shared" ca="1" si="107"/>
        <v>na</v>
      </c>
      <c r="J188" s="257" t="str">
        <f t="shared" ca="1" si="107"/>
        <v>na</v>
      </c>
      <c r="K188" s="257" t="str">
        <f t="shared" ca="1" si="107"/>
        <v>na</v>
      </c>
      <c r="L188" s="257" t="str">
        <f t="shared" ca="1" si="107"/>
        <v>na</v>
      </c>
      <c r="M188" s="248"/>
    </row>
    <row r="189" spans="2:13" s="11" customFormat="1">
      <c r="B189" s="68" t="str">
        <f>B$19</f>
        <v>C</v>
      </c>
      <c r="C189" s="93" t="s">
        <v>50</v>
      </c>
      <c r="D189" s="257" t="str">
        <f t="shared" ca="1" si="107"/>
        <v>na</v>
      </c>
      <c r="E189" s="257" t="str">
        <f t="shared" ca="1" si="107"/>
        <v>na</v>
      </c>
      <c r="F189" s="257" t="str">
        <f t="shared" ca="1" si="107"/>
        <v>na</v>
      </c>
      <c r="G189" s="257" t="str">
        <f t="shared" ca="1" si="107"/>
        <v>na</v>
      </c>
      <c r="H189" s="257" t="str">
        <f t="shared" ca="1" si="107"/>
        <v>na</v>
      </c>
      <c r="I189" s="257" t="str">
        <f t="shared" ca="1" si="107"/>
        <v>na</v>
      </c>
      <c r="J189" s="257" t="str">
        <f t="shared" ca="1" si="107"/>
        <v>na</v>
      </c>
      <c r="K189" s="257" t="str">
        <f t="shared" ca="1" si="107"/>
        <v>na</v>
      </c>
      <c r="L189" s="257" t="str">
        <f t="shared" ca="1" si="107"/>
        <v>na</v>
      </c>
      <c r="M189" s="248"/>
    </row>
    <row r="190" spans="2:13" s="11" customFormat="1">
      <c r="B190" s="68" t="str">
        <f>B$20</f>
        <v>B</v>
      </c>
      <c r="C190" s="93" t="s">
        <v>50</v>
      </c>
      <c r="D190" s="257" t="str">
        <f t="shared" ca="1" si="107"/>
        <v>na</v>
      </c>
      <c r="E190" s="257" t="str">
        <f t="shared" ca="1" si="107"/>
        <v>na</v>
      </c>
      <c r="F190" s="257" t="str">
        <f t="shared" ca="1" si="107"/>
        <v>na</v>
      </c>
      <c r="G190" s="257" t="str">
        <f t="shared" ca="1" si="107"/>
        <v>na</v>
      </c>
      <c r="H190" s="257" t="str">
        <f t="shared" ca="1" si="107"/>
        <v>na</v>
      </c>
      <c r="I190" s="257" t="str">
        <f t="shared" ca="1" si="107"/>
        <v>na</v>
      </c>
      <c r="J190" s="257" t="str">
        <f t="shared" ca="1" si="107"/>
        <v>na</v>
      </c>
      <c r="K190" s="257" t="str">
        <f t="shared" ca="1" si="107"/>
        <v>na</v>
      </c>
      <c r="L190" s="257" t="str">
        <f t="shared" ca="1" si="107"/>
        <v>na</v>
      </c>
      <c r="M190" s="248"/>
    </row>
    <row r="191" spans="2:13" s="11" customFormat="1">
      <c r="B191" s="68" t="str">
        <f>B$21</f>
        <v>A</v>
      </c>
      <c r="C191" s="93" t="s">
        <v>50</v>
      </c>
      <c r="D191" s="257" t="str">
        <f t="shared" ca="1" si="107"/>
        <v>na</v>
      </c>
      <c r="E191" s="257" t="str">
        <f t="shared" ca="1" si="107"/>
        <v>na</v>
      </c>
      <c r="F191" s="257" t="str">
        <f t="shared" ca="1" si="107"/>
        <v>na</v>
      </c>
      <c r="G191" s="257" t="str">
        <f t="shared" ca="1" si="107"/>
        <v>na</v>
      </c>
      <c r="H191" s="257" t="str">
        <f t="shared" ca="1" si="107"/>
        <v>na</v>
      </c>
      <c r="I191" s="257" t="str">
        <f t="shared" ca="1" si="107"/>
        <v>na</v>
      </c>
      <c r="J191" s="257" t="str">
        <f t="shared" ca="1" si="107"/>
        <v>na</v>
      </c>
      <c r="K191" s="257" t="str">
        <f t="shared" ca="1" si="107"/>
        <v>na</v>
      </c>
      <c r="L191" s="257" t="str">
        <f t="shared" ca="1" si="107"/>
        <v>na</v>
      </c>
      <c r="M191" s="248"/>
    </row>
    <row r="192" spans="2:13" s="11" customFormat="1">
      <c r="B192" s="68" t="str">
        <f>B$22</f>
        <v>Seed</v>
      </c>
      <c r="C192" s="93" t="s">
        <v>50</v>
      </c>
      <c r="D192" s="257" t="str">
        <f t="shared" ca="1" si="107"/>
        <v>na</v>
      </c>
      <c r="E192" s="257" t="str">
        <f t="shared" ca="1" si="107"/>
        <v>na</v>
      </c>
      <c r="F192" s="257" t="str">
        <f t="shared" ca="1" si="107"/>
        <v>na</v>
      </c>
      <c r="G192" s="257" t="str">
        <f t="shared" ca="1" si="107"/>
        <v>na</v>
      </c>
      <c r="H192" s="257" t="str">
        <f t="shared" ca="1" si="107"/>
        <v>na</v>
      </c>
      <c r="I192" s="257" t="str">
        <f t="shared" ca="1" si="107"/>
        <v>na</v>
      </c>
      <c r="J192" s="257" t="str">
        <f t="shared" ca="1" si="107"/>
        <v>na</v>
      </c>
      <c r="K192" s="257" t="str">
        <f t="shared" ca="1" si="107"/>
        <v>na</v>
      </c>
      <c r="L192" s="257" t="str">
        <f t="shared" ca="1" si="107"/>
        <v>na</v>
      </c>
      <c r="M192" s="248" t="s">
        <v>573</v>
      </c>
    </row>
    <row r="193" spans="2:18" s="11" customFormat="1">
      <c r="B193" s="68" t="str">
        <f>B$23</f>
        <v>Common Holders</v>
      </c>
      <c r="C193" s="93" t="s">
        <v>50</v>
      </c>
      <c r="D193" s="257" t="str">
        <f t="shared" ca="1" si="107"/>
        <v>na</v>
      </c>
      <c r="E193" s="257" t="str">
        <f t="shared" ca="1" si="107"/>
        <v>na</v>
      </c>
      <c r="F193" s="257" t="str">
        <f t="shared" ca="1" si="107"/>
        <v>na</v>
      </c>
      <c r="G193" s="257" t="str">
        <f t="shared" ca="1" si="107"/>
        <v>na</v>
      </c>
      <c r="H193" s="257" t="str">
        <f t="shared" ca="1" si="107"/>
        <v>na</v>
      </c>
      <c r="I193" s="257" t="str">
        <f t="shared" ca="1" si="107"/>
        <v>na</v>
      </c>
      <c r="J193" s="257" t="str">
        <f t="shared" ca="1" si="107"/>
        <v>na</v>
      </c>
      <c r="K193" s="257" t="str">
        <f t="shared" ca="1" si="107"/>
        <v>na</v>
      </c>
      <c r="L193" s="257" t="str">
        <f t="shared" ca="1" si="107"/>
        <v>na</v>
      </c>
      <c r="M193" s="248" t="s">
        <v>574</v>
      </c>
    </row>
    <row r="194" spans="2:18" s="62" customFormat="1">
      <c r="B194" s="68" t="str">
        <f>B$24</f>
        <v>Options Granted and Exercised</v>
      </c>
      <c r="C194" s="93" t="s">
        <v>50</v>
      </c>
      <c r="D194" s="256">
        <f t="shared" ref="D194:L194" ca="1" si="108">IFERROR((D169-$L31)/$L31,0)</f>
        <v>0</v>
      </c>
      <c r="E194" s="256">
        <f t="shared" ca="1" si="108"/>
        <v>0</v>
      </c>
      <c r="F194" s="256">
        <f t="shared" ca="1" si="108"/>
        <v>0</v>
      </c>
      <c r="G194" s="256">
        <f t="shared" ca="1" si="108"/>
        <v>0</v>
      </c>
      <c r="H194" s="256">
        <f t="shared" ca="1" si="108"/>
        <v>0</v>
      </c>
      <c r="I194" s="256">
        <f t="shared" ca="1" si="108"/>
        <v>0</v>
      </c>
      <c r="J194" s="256">
        <f t="shared" ca="1" si="108"/>
        <v>0</v>
      </c>
      <c r="K194" s="256">
        <f t="shared" ca="1" si="108"/>
        <v>0</v>
      </c>
      <c r="L194" s="256">
        <f t="shared" ca="1" si="108"/>
        <v>0</v>
      </c>
      <c r="N194" s="11"/>
      <c r="O194" s="11"/>
      <c r="P194" s="11"/>
      <c r="Q194" s="11"/>
      <c r="R194" s="11"/>
    </row>
    <row r="197" spans="2:18">
      <c r="B197" s="47" t="s">
        <v>575</v>
      </c>
    </row>
    <row r="199" spans="2:18">
      <c r="B199" s="6" t="str">
        <f>B$17</f>
        <v>E</v>
      </c>
      <c r="C199" s="217" t="s">
        <v>170</v>
      </c>
      <c r="D199" s="216">
        <f ca="1">IFERROR(D161/$D$31,0)</f>
        <v>0</v>
      </c>
      <c r="E199" s="216">
        <f t="shared" ref="E199:L199" ca="1" si="109">IFERROR(E161/$D$31,0)</f>
        <v>0</v>
      </c>
      <c r="F199" s="216">
        <f t="shared" ca="1" si="109"/>
        <v>0</v>
      </c>
      <c r="G199" s="216">
        <f t="shared" ca="1" si="109"/>
        <v>0</v>
      </c>
      <c r="H199" s="216">
        <f t="shared" ca="1" si="109"/>
        <v>0</v>
      </c>
      <c r="I199" s="216">
        <f t="shared" ca="1" si="109"/>
        <v>0</v>
      </c>
      <c r="J199" s="216">
        <f t="shared" ca="1" si="109"/>
        <v>0</v>
      </c>
      <c r="K199" s="216">
        <f t="shared" ca="1" si="109"/>
        <v>0</v>
      </c>
      <c r="L199" s="216">
        <f t="shared" ca="1" si="109"/>
        <v>0</v>
      </c>
    </row>
    <row r="200" spans="2:18">
      <c r="B200" s="6" t="str">
        <f>B$18</f>
        <v>D</v>
      </c>
      <c r="C200" s="217" t="s">
        <v>170</v>
      </c>
      <c r="D200" s="216">
        <f ca="1">IFERROR(D162/$E$31,0)</f>
        <v>0</v>
      </c>
      <c r="E200" s="216">
        <f t="shared" ref="E200:L200" ca="1" si="110">IFERROR(E162/$E$31,0)</f>
        <v>0</v>
      </c>
      <c r="F200" s="216">
        <f t="shared" ca="1" si="110"/>
        <v>0</v>
      </c>
      <c r="G200" s="216">
        <f t="shared" ca="1" si="110"/>
        <v>0</v>
      </c>
      <c r="H200" s="216">
        <f t="shared" ca="1" si="110"/>
        <v>0</v>
      </c>
      <c r="I200" s="216">
        <f t="shared" ca="1" si="110"/>
        <v>0</v>
      </c>
      <c r="J200" s="216">
        <f t="shared" ca="1" si="110"/>
        <v>0</v>
      </c>
      <c r="K200" s="216">
        <f t="shared" ca="1" si="110"/>
        <v>0</v>
      </c>
      <c r="L200" s="216">
        <f t="shared" ca="1" si="110"/>
        <v>0</v>
      </c>
    </row>
    <row r="201" spans="2:18">
      <c r="B201" s="6" t="str">
        <f>B$19</f>
        <v>C</v>
      </c>
      <c r="C201" s="217" t="s">
        <v>170</v>
      </c>
      <c r="D201" s="216">
        <f ca="1">IFERROR(D163/$F$31,0)</f>
        <v>0</v>
      </c>
      <c r="E201" s="216">
        <f t="shared" ref="E201:L201" ca="1" si="111">IFERROR(E163/$F$31,0)</f>
        <v>0</v>
      </c>
      <c r="F201" s="216">
        <f t="shared" ca="1" si="111"/>
        <v>0</v>
      </c>
      <c r="G201" s="216">
        <f t="shared" ca="1" si="111"/>
        <v>0</v>
      </c>
      <c r="H201" s="216">
        <f t="shared" ca="1" si="111"/>
        <v>0</v>
      </c>
      <c r="I201" s="216">
        <f t="shared" ca="1" si="111"/>
        <v>0</v>
      </c>
      <c r="J201" s="216">
        <f t="shared" ca="1" si="111"/>
        <v>0</v>
      </c>
      <c r="K201" s="216">
        <f t="shared" ca="1" si="111"/>
        <v>0</v>
      </c>
      <c r="L201" s="216">
        <f t="shared" ca="1" si="111"/>
        <v>0</v>
      </c>
    </row>
    <row r="202" spans="2:18">
      <c r="B202" s="6" t="str">
        <f>B$20</f>
        <v>B</v>
      </c>
      <c r="C202" s="217" t="s">
        <v>170</v>
      </c>
      <c r="D202" s="216">
        <f ca="1">IFERROR(D164/$G$31,0)</f>
        <v>0</v>
      </c>
      <c r="E202" s="216">
        <f t="shared" ref="E202:L202" ca="1" si="112">IFERROR(E164/$G$31,0)</f>
        <v>0</v>
      </c>
      <c r="F202" s="216">
        <f t="shared" ca="1" si="112"/>
        <v>0</v>
      </c>
      <c r="G202" s="216">
        <f t="shared" ca="1" si="112"/>
        <v>0</v>
      </c>
      <c r="H202" s="216">
        <f t="shared" ca="1" si="112"/>
        <v>0</v>
      </c>
      <c r="I202" s="216">
        <f t="shared" ca="1" si="112"/>
        <v>0</v>
      </c>
      <c r="J202" s="216">
        <f t="shared" ca="1" si="112"/>
        <v>0</v>
      </c>
      <c r="K202" s="216">
        <f t="shared" ca="1" si="112"/>
        <v>0</v>
      </c>
      <c r="L202" s="216">
        <f t="shared" ca="1" si="112"/>
        <v>0</v>
      </c>
    </row>
    <row r="203" spans="2:18">
      <c r="B203" s="6" t="str">
        <f>B$21</f>
        <v>A</v>
      </c>
      <c r="C203" s="217" t="s">
        <v>170</v>
      </c>
      <c r="D203" s="216">
        <f ca="1">IFERROR(D165/$H$31,0)</f>
        <v>0</v>
      </c>
      <c r="E203" s="216">
        <f t="shared" ref="E203:L203" ca="1" si="113">IFERROR(E165/$H$31,0)</f>
        <v>0</v>
      </c>
      <c r="F203" s="216">
        <f t="shared" ca="1" si="113"/>
        <v>0</v>
      </c>
      <c r="G203" s="216">
        <f t="shared" ca="1" si="113"/>
        <v>0</v>
      </c>
      <c r="H203" s="216">
        <f t="shared" ca="1" si="113"/>
        <v>0</v>
      </c>
      <c r="I203" s="216">
        <f t="shared" ca="1" si="113"/>
        <v>0</v>
      </c>
      <c r="J203" s="216">
        <f t="shared" ca="1" si="113"/>
        <v>0</v>
      </c>
      <c r="K203" s="216">
        <f t="shared" ca="1" si="113"/>
        <v>0</v>
      </c>
      <c r="L203" s="216">
        <f t="shared" ca="1" si="113"/>
        <v>0</v>
      </c>
    </row>
    <row r="204" spans="2:18">
      <c r="B204" s="6" t="str">
        <f>B$22</f>
        <v>Seed</v>
      </c>
      <c r="C204" s="217" t="s">
        <v>170</v>
      </c>
      <c r="D204" s="216">
        <f ca="1">IFERROR(D166/$I$31,0)</f>
        <v>0</v>
      </c>
      <c r="E204" s="216">
        <f t="shared" ref="E204:L204" ca="1" si="114">IFERROR(E166/$I$31,0)</f>
        <v>0</v>
      </c>
      <c r="F204" s="216">
        <f t="shared" ca="1" si="114"/>
        <v>0</v>
      </c>
      <c r="G204" s="216">
        <f t="shared" ca="1" si="114"/>
        <v>0</v>
      </c>
      <c r="H204" s="216">
        <f t="shared" ca="1" si="114"/>
        <v>0</v>
      </c>
      <c r="I204" s="216">
        <f t="shared" ca="1" si="114"/>
        <v>0</v>
      </c>
      <c r="J204" s="216">
        <f t="shared" ca="1" si="114"/>
        <v>0</v>
      </c>
      <c r="K204" s="216">
        <f t="shared" ca="1" si="114"/>
        <v>0</v>
      </c>
      <c r="L204" s="216">
        <f t="shared" ca="1" si="114"/>
        <v>0</v>
      </c>
    </row>
    <row r="205" spans="2:18">
      <c r="B205" s="6" t="str">
        <f>B$23</f>
        <v>Common Holders</v>
      </c>
      <c r="C205" s="217" t="s">
        <v>170</v>
      </c>
      <c r="D205" s="216">
        <f ca="1">IFERROR(D167/$J$31,0)</f>
        <v>0</v>
      </c>
      <c r="E205" s="216">
        <f t="shared" ref="E205:L205" ca="1" si="115">IFERROR(E167/$J$31,0)</f>
        <v>0</v>
      </c>
      <c r="F205" s="216">
        <f t="shared" ca="1" si="115"/>
        <v>0</v>
      </c>
      <c r="G205" s="216">
        <f t="shared" ca="1" si="115"/>
        <v>0</v>
      </c>
      <c r="H205" s="216">
        <f t="shared" ca="1" si="115"/>
        <v>0</v>
      </c>
      <c r="I205" s="216">
        <f t="shared" ca="1" si="115"/>
        <v>0</v>
      </c>
      <c r="J205" s="216">
        <f t="shared" ca="1" si="115"/>
        <v>0</v>
      </c>
      <c r="K205" s="216">
        <f t="shared" ca="1" si="115"/>
        <v>0</v>
      </c>
      <c r="L205" s="216">
        <f t="shared" ca="1" si="115"/>
        <v>0</v>
      </c>
    </row>
    <row r="206" spans="2:18">
      <c r="B206" s="6" t="str">
        <f>B$24</f>
        <v>Options Granted and Exercised</v>
      </c>
      <c r="C206" s="217" t="s">
        <v>170</v>
      </c>
      <c r="D206" s="216">
        <f ca="1">IFERROR(D168/$K$31,0)</f>
        <v>0</v>
      </c>
      <c r="E206" s="216">
        <f t="shared" ref="E206:L206" ca="1" si="116">IFERROR(E168/$K$31,0)</f>
        <v>0</v>
      </c>
      <c r="F206" s="216">
        <f t="shared" ca="1" si="116"/>
        <v>0</v>
      </c>
      <c r="G206" s="216">
        <f t="shared" ca="1" si="116"/>
        <v>0</v>
      </c>
      <c r="H206" s="216">
        <f t="shared" ca="1" si="116"/>
        <v>0</v>
      </c>
      <c r="I206" s="216">
        <f t="shared" ca="1" si="116"/>
        <v>0</v>
      </c>
      <c r="J206" s="216">
        <f t="shared" ca="1" si="116"/>
        <v>0</v>
      </c>
      <c r="K206" s="216">
        <f t="shared" ca="1" si="116"/>
        <v>0</v>
      </c>
      <c r="L206" s="216">
        <f t="shared" ca="1" si="116"/>
        <v>0</v>
      </c>
    </row>
    <row r="207" spans="2:18">
      <c r="B207" s="6" t="s">
        <v>20</v>
      </c>
      <c r="C207" s="217" t="s">
        <v>170</v>
      </c>
      <c r="D207" s="258">
        <f ca="1">IFERROR(D169/$L$31,0)</f>
        <v>0</v>
      </c>
      <c r="E207" s="258">
        <f t="shared" ref="E207:L207" ca="1" si="117">IFERROR(E169/$L$31,0)</f>
        <v>0</v>
      </c>
      <c r="F207" s="258">
        <f t="shared" ca="1" si="117"/>
        <v>0</v>
      </c>
      <c r="G207" s="258">
        <f t="shared" ca="1" si="117"/>
        <v>0</v>
      </c>
      <c r="H207" s="258">
        <f t="shared" ca="1" si="117"/>
        <v>0</v>
      </c>
      <c r="I207" s="258">
        <f t="shared" ca="1" si="117"/>
        <v>0</v>
      </c>
      <c r="J207" s="258">
        <f t="shared" ca="1" si="117"/>
        <v>0</v>
      </c>
      <c r="K207" s="258">
        <f t="shared" ca="1" si="117"/>
        <v>0</v>
      </c>
      <c r="L207" s="258">
        <f t="shared" ca="1" si="117"/>
        <v>0</v>
      </c>
    </row>
    <row r="212" spans="13:13">
      <c r="M212" s="259" t="s">
        <v>288</v>
      </c>
    </row>
    <row r="241" spans="13:13">
      <c r="M241" s="259" t="s">
        <v>311</v>
      </c>
    </row>
    <row r="273" spans="2:13">
      <c r="D273" s="260"/>
      <c r="E273" s="261"/>
    </row>
    <row r="274" spans="2:13">
      <c r="B274" s="47" t="s">
        <v>576</v>
      </c>
      <c r="D274" s="261"/>
      <c r="M274" s="259" t="s">
        <v>577</v>
      </c>
    </row>
    <row r="275" spans="2:13">
      <c r="B275" s="34"/>
      <c r="G275" s="6"/>
      <c r="M275" s="61" t="s">
        <v>578</v>
      </c>
    </row>
    <row r="276" spans="2:13">
      <c r="B276" s="6" t="str">
        <f>'Cap Table'!B6</f>
        <v>Co-Founder 1</v>
      </c>
      <c r="C276" s="217" t="str">
        <f>'Cap Table'!$D$61</f>
        <v>$</v>
      </c>
      <c r="D276" s="250" t="e">
        <f ca="1">('Cap Table'!$EH6+'Cap Table'!$EI6)*D$57+D$70*('Cap Table'!$DL6+'Cap Table'!$DM6)+D$83*('Cap Table'!$CP6+'Cap Table'!$CQ6)+D$96*('Cap Table'!$BT6+'Cap Table'!$BU6)+D$109*('Cap Table'!$AX6+'Cap Table'!$AY6)+('Cap Table'!$AB6+'Cap Table'!$AC6)*D$122+('Cap Table'!$I6+'Cap Table'!$J6)*D$133</f>
        <v>#DIV/0!</v>
      </c>
      <c r="E276" s="250" t="e">
        <f ca="1">('Cap Table'!$EH6+'Cap Table'!$EI6)*E$57+E$70*('Cap Table'!$DL6+'Cap Table'!$DM6)+E$83*('Cap Table'!$CP6+'Cap Table'!$CQ6)+E$96*('Cap Table'!$BT6+'Cap Table'!$BU6)+E$109*('Cap Table'!$AX6+'Cap Table'!$AY6)+('Cap Table'!$AB6+'Cap Table'!$AC6)*E$122+('Cap Table'!$I6+'Cap Table'!$J6)*E$133</f>
        <v>#DIV/0!</v>
      </c>
      <c r="F276" s="250" t="e">
        <f ca="1">('Cap Table'!$EH6+'Cap Table'!$EI6)*F$57+F$70*('Cap Table'!$DL6+'Cap Table'!$DM6)+F$83*('Cap Table'!$CP6+'Cap Table'!$CQ6)+F$96*('Cap Table'!$BT6+'Cap Table'!$BU6)+F$109*('Cap Table'!$AX6+'Cap Table'!$AY6)+('Cap Table'!$AB6+'Cap Table'!$AC6)*F$122+('Cap Table'!$I6+'Cap Table'!$J6)*F$133</f>
        <v>#DIV/0!</v>
      </c>
      <c r="G276" s="250" t="e">
        <f ca="1">('Cap Table'!$EH6+'Cap Table'!$EI6)*G$57+G$70*('Cap Table'!$DL6+'Cap Table'!$DM6)+G$83*('Cap Table'!$CP6+'Cap Table'!$CQ6)+G$96*('Cap Table'!$BT6+'Cap Table'!$BU6)+G$109*('Cap Table'!$AX6+'Cap Table'!$AY6)+('Cap Table'!$AB6+'Cap Table'!$AC6)*G$122+('Cap Table'!$I6+'Cap Table'!$J6)*G$133</f>
        <v>#DIV/0!</v>
      </c>
      <c r="H276" s="250" t="e">
        <f ca="1">('Cap Table'!$EH6+'Cap Table'!$EI6)*H$57+H$70*('Cap Table'!$DL6+'Cap Table'!$DM6)+H$83*('Cap Table'!$CP6+'Cap Table'!$CQ6)+H$96*('Cap Table'!$BT6+'Cap Table'!$BU6)+H$109*('Cap Table'!$AX6+'Cap Table'!$AY6)+('Cap Table'!$AB6+'Cap Table'!$AC6)*H$122+('Cap Table'!$I6+'Cap Table'!$J6)*H$133</f>
        <v>#DIV/0!</v>
      </c>
      <c r="I276" s="250" t="e">
        <f ca="1">('Cap Table'!$EH6+'Cap Table'!$EI6)*I$57+I$70*('Cap Table'!$DL6+'Cap Table'!$DM6)+I$83*('Cap Table'!$CP6+'Cap Table'!$CQ6)+I$96*('Cap Table'!$BT6+'Cap Table'!$BU6)+I$109*('Cap Table'!$AX6+'Cap Table'!$AY6)+('Cap Table'!$AB6+'Cap Table'!$AC6)*I$122+('Cap Table'!$I6+'Cap Table'!$J6)*I$133</f>
        <v>#DIV/0!</v>
      </c>
      <c r="J276" s="250" t="e">
        <f ca="1">('Cap Table'!$EH6+'Cap Table'!$EI6)*J$57+J$70*('Cap Table'!$DL6+'Cap Table'!$DM6)+J$83*('Cap Table'!$CP6+'Cap Table'!$CQ6)+J$96*('Cap Table'!$BT6+'Cap Table'!$BU6)+J$109*('Cap Table'!$AX6+'Cap Table'!$AY6)+('Cap Table'!$AB6+'Cap Table'!$AC6)*J$122+('Cap Table'!$I6+'Cap Table'!$J6)*J$133</f>
        <v>#DIV/0!</v>
      </c>
      <c r="K276" s="250" t="e">
        <f ca="1">('Cap Table'!$EH6+'Cap Table'!$EI6)*K$57+K$70*('Cap Table'!$DL6+'Cap Table'!$DM6)+K$83*('Cap Table'!$CP6+'Cap Table'!$CQ6)+K$96*('Cap Table'!$BT6+'Cap Table'!$BU6)+K$109*('Cap Table'!$AX6+'Cap Table'!$AY6)+('Cap Table'!$AB6+'Cap Table'!$AC6)*K$122+('Cap Table'!$I6+'Cap Table'!$J6)*K$133</f>
        <v>#DIV/0!</v>
      </c>
      <c r="L276" s="250" t="e">
        <f ca="1">('Cap Table'!$EH6+'Cap Table'!$EI6)*L$57+L$70*('Cap Table'!$DL6+'Cap Table'!$DM6)+L$83*('Cap Table'!$CP6+'Cap Table'!$CQ6)+L$96*('Cap Table'!$BT6+'Cap Table'!$BU6)+L$109*('Cap Table'!$AX6+'Cap Table'!$AY6)+('Cap Table'!$AB6+'Cap Table'!$AC6)*L$122+('Cap Table'!$I6+'Cap Table'!$J6)*L$133</f>
        <v>#DIV/0!</v>
      </c>
    </row>
    <row r="277" spans="2:13">
      <c r="B277" s="6" t="str">
        <f>'Cap Table'!B7</f>
        <v>Employee</v>
      </c>
      <c r="C277" s="217" t="str">
        <f>'Cap Table'!$D$61</f>
        <v>$</v>
      </c>
      <c r="D277" s="250" t="e">
        <f ca="1">('Cap Table'!$EH7+'Cap Table'!$EI7)*D$57+D$70*('Cap Table'!$DL7+'Cap Table'!$DM7)+D$83*('Cap Table'!$CP7+'Cap Table'!$CQ7)+D$96*('Cap Table'!$BT7+'Cap Table'!$BU7)+D$109*('Cap Table'!$AX7+'Cap Table'!$AY7)+('Cap Table'!$AB7+'Cap Table'!$AC7)*D$122+('Cap Table'!$I7+'Cap Table'!$J7)*D$133</f>
        <v>#DIV/0!</v>
      </c>
      <c r="E277" s="250" t="e">
        <f ca="1">('Cap Table'!$EH7+'Cap Table'!$EI7)*E$57+E$70*('Cap Table'!$DL7+'Cap Table'!$DM7)+E$83*('Cap Table'!$CP7+'Cap Table'!$CQ7)+E$96*('Cap Table'!$BT7+'Cap Table'!$BU7)+E$109*('Cap Table'!$AX7+'Cap Table'!$AY7)+('Cap Table'!$AB7+'Cap Table'!$AC7)*E$122+('Cap Table'!$I7+'Cap Table'!$J7)*E$133</f>
        <v>#DIV/0!</v>
      </c>
      <c r="F277" s="250" t="e">
        <f ca="1">('Cap Table'!$EH7+'Cap Table'!$EI7)*F$57+F$70*('Cap Table'!$DL7+'Cap Table'!$DM7)+F$83*('Cap Table'!$CP7+'Cap Table'!$CQ7)+F$96*('Cap Table'!$BT7+'Cap Table'!$BU7)+F$109*('Cap Table'!$AX7+'Cap Table'!$AY7)+('Cap Table'!$AB7+'Cap Table'!$AC7)*F$122+('Cap Table'!$I7+'Cap Table'!$J7)*F$133</f>
        <v>#DIV/0!</v>
      </c>
      <c r="G277" s="250" t="e">
        <f ca="1">('Cap Table'!$EH7+'Cap Table'!$EI7)*G$57+G$70*('Cap Table'!$DL7+'Cap Table'!$DM7)+G$83*('Cap Table'!$CP7+'Cap Table'!$CQ7)+G$96*('Cap Table'!$BT7+'Cap Table'!$BU7)+G$109*('Cap Table'!$AX7+'Cap Table'!$AY7)+('Cap Table'!$AB7+'Cap Table'!$AC7)*G$122+('Cap Table'!$I7+'Cap Table'!$J7)*G$133</f>
        <v>#DIV/0!</v>
      </c>
      <c r="H277" s="250" t="e">
        <f ca="1">('Cap Table'!$EH7+'Cap Table'!$EI7)*H$57+H$70*('Cap Table'!$DL7+'Cap Table'!$DM7)+H$83*('Cap Table'!$CP7+'Cap Table'!$CQ7)+H$96*('Cap Table'!$BT7+'Cap Table'!$BU7)+H$109*('Cap Table'!$AX7+'Cap Table'!$AY7)+('Cap Table'!$AB7+'Cap Table'!$AC7)*H$122+('Cap Table'!$I7+'Cap Table'!$J7)*H$133</f>
        <v>#DIV/0!</v>
      </c>
      <c r="I277" s="250" t="e">
        <f ca="1">('Cap Table'!$EH7+'Cap Table'!$EI7)*I$57+I$70*('Cap Table'!$DL7+'Cap Table'!$DM7)+I$83*('Cap Table'!$CP7+'Cap Table'!$CQ7)+I$96*('Cap Table'!$BT7+'Cap Table'!$BU7)+I$109*('Cap Table'!$AX7+'Cap Table'!$AY7)+('Cap Table'!$AB7+'Cap Table'!$AC7)*I$122+('Cap Table'!$I7+'Cap Table'!$J7)*I$133</f>
        <v>#DIV/0!</v>
      </c>
      <c r="J277" s="250" t="e">
        <f ca="1">('Cap Table'!$EH7+'Cap Table'!$EI7)*J$57+J$70*('Cap Table'!$DL7+'Cap Table'!$DM7)+J$83*('Cap Table'!$CP7+'Cap Table'!$CQ7)+J$96*('Cap Table'!$BT7+'Cap Table'!$BU7)+J$109*('Cap Table'!$AX7+'Cap Table'!$AY7)+('Cap Table'!$AB7+'Cap Table'!$AC7)*J$122+('Cap Table'!$I7+'Cap Table'!$J7)*J$133</f>
        <v>#DIV/0!</v>
      </c>
      <c r="K277" s="250" t="e">
        <f ca="1">('Cap Table'!$EH7+'Cap Table'!$EI7)*K$57+K$70*('Cap Table'!$DL7+'Cap Table'!$DM7)+K$83*('Cap Table'!$CP7+'Cap Table'!$CQ7)+K$96*('Cap Table'!$BT7+'Cap Table'!$BU7)+K$109*('Cap Table'!$AX7+'Cap Table'!$AY7)+('Cap Table'!$AB7+'Cap Table'!$AC7)*K$122+('Cap Table'!$I7+'Cap Table'!$J7)*K$133</f>
        <v>#DIV/0!</v>
      </c>
      <c r="L277" s="250" t="e">
        <f ca="1">('Cap Table'!$EH7+'Cap Table'!$EI7)*L$57+L$70*('Cap Table'!$DL7+'Cap Table'!$DM7)+L$83*('Cap Table'!$CP7+'Cap Table'!$CQ7)+L$96*('Cap Table'!$BT7+'Cap Table'!$BU7)+L$109*('Cap Table'!$AX7+'Cap Table'!$AY7)+('Cap Table'!$AB7+'Cap Table'!$AC7)*L$122+('Cap Table'!$I7+'Cap Table'!$J7)*L$133</f>
        <v>#DIV/0!</v>
      </c>
    </row>
    <row r="278" spans="2:13">
      <c r="B278" s="6" t="str">
        <f>'Cap Table'!B8</f>
        <v>Seed</v>
      </c>
      <c r="C278" s="217" t="str">
        <f>'Cap Table'!$D$61</f>
        <v>$</v>
      </c>
      <c r="D278" s="250" t="e">
        <f ca="1">('Cap Table'!$EH8+'Cap Table'!$EI8)*D$57+D$70*('Cap Table'!$DL8+'Cap Table'!$DM8)+D$83*('Cap Table'!$CP8+'Cap Table'!$CQ8)+D$96*('Cap Table'!$BT8+'Cap Table'!$BU8)+D$109*('Cap Table'!$AX8+'Cap Table'!$AY8)+('Cap Table'!$AB8+'Cap Table'!$AC8)*D$122+('Cap Table'!$I8+'Cap Table'!$J8)*D$133</f>
        <v>#DIV/0!</v>
      </c>
      <c r="E278" s="250" t="e">
        <f ca="1">('Cap Table'!$EH8+'Cap Table'!$EI8)*E$57+E$70*('Cap Table'!$DL8+'Cap Table'!$DM8)+E$83*('Cap Table'!$CP8+'Cap Table'!$CQ8)+E$96*('Cap Table'!$BT8+'Cap Table'!$BU8)+E$109*('Cap Table'!$AX8+'Cap Table'!$AY8)+('Cap Table'!$AB8+'Cap Table'!$AC8)*E$122+('Cap Table'!$I8+'Cap Table'!$J8)*E$133</f>
        <v>#DIV/0!</v>
      </c>
      <c r="F278" s="250" t="e">
        <f ca="1">('Cap Table'!$EH8+'Cap Table'!$EI8)*F$57+F$70*('Cap Table'!$DL8+'Cap Table'!$DM8)+F$83*('Cap Table'!$CP8+'Cap Table'!$CQ8)+F$96*('Cap Table'!$BT8+'Cap Table'!$BU8)+F$109*('Cap Table'!$AX8+'Cap Table'!$AY8)+('Cap Table'!$AB8+'Cap Table'!$AC8)*F$122+('Cap Table'!$I8+'Cap Table'!$J8)*F$133</f>
        <v>#DIV/0!</v>
      </c>
      <c r="G278" s="250" t="e">
        <f ca="1">('Cap Table'!$EH8+'Cap Table'!$EI8)*G$57+G$70*('Cap Table'!$DL8+'Cap Table'!$DM8)+G$83*('Cap Table'!$CP8+'Cap Table'!$CQ8)+G$96*('Cap Table'!$BT8+'Cap Table'!$BU8)+G$109*('Cap Table'!$AX8+'Cap Table'!$AY8)+('Cap Table'!$AB8+'Cap Table'!$AC8)*G$122+('Cap Table'!$I8+'Cap Table'!$J8)*G$133</f>
        <v>#DIV/0!</v>
      </c>
      <c r="H278" s="250" t="e">
        <f ca="1">('Cap Table'!$EH8+'Cap Table'!$EI8)*H$57+H$70*('Cap Table'!$DL8+'Cap Table'!$DM8)+H$83*('Cap Table'!$CP8+'Cap Table'!$CQ8)+H$96*('Cap Table'!$BT8+'Cap Table'!$BU8)+H$109*('Cap Table'!$AX8+'Cap Table'!$AY8)+('Cap Table'!$AB8+'Cap Table'!$AC8)*H$122+('Cap Table'!$I8+'Cap Table'!$J8)*H$133</f>
        <v>#DIV/0!</v>
      </c>
      <c r="I278" s="250" t="e">
        <f ca="1">('Cap Table'!$EH8+'Cap Table'!$EI8)*I$57+I$70*('Cap Table'!$DL8+'Cap Table'!$DM8)+I$83*('Cap Table'!$CP8+'Cap Table'!$CQ8)+I$96*('Cap Table'!$BT8+'Cap Table'!$BU8)+I$109*('Cap Table'!$AX8+'Cap Table'!$AY8)+('Cap Table'!$AB8+'Cap Table'!$AC8)*I$122+('Cap Table'!$I8+'Cap Table'!$J8)*I$133</f>
        <v>#DIV/0!</v>
      </c>
      <c r="J278" s="250" t="e">
        <f ca="1">('Cap Table'!$EH8+'Cap Table'!$EI8)*J$57+J$70*('Cap Table'!$DL8+'Cap Table'!$DM8)+J$83*('Cap Table'!$CP8+'Cap Table'!$CQ8)+J$96*('Cap Table'!$BT8+'Cap Table'!$BU8)+J$109*('Cap Table'!$AX8+'Cap Table'!$AY8)+('Cap Table'!$AB8+'Cap Table'!$AC8)*J$122+('Cap Table'!$I8+'Cap Table'!$J8)*J$133</f>
        <v>#DIV/0!</v>
      </c>
      <c r="K278" s="250" t="e">
        <f ca="1">('Cap Table'!$EH8+'Cap Table'!$EI8)*K$57+K$70*('Cap Table'!$DL8+'Cap Table'!$DM8)+K$83*('Cap Table'!$CP8+'Cap Table'!$CQ8)+K$96*('Cap Table'!$BT8+'Cap Table'!$BU8)+K$109*('Cap Table'!$AX8+'Cap Table'!$AY8)+('Cap Table'!$AB8+'Cap Table'!$AC8)*K$122+('Cap Table'!$I8+'Cap Table'!$J8)*K$133</f>
        <v>#DIV/0!</v>
      </c>
      <c r="L278" s="250" t="e">
        <f ca="1">('Cap Table'!$EH8+'Cap Table'!$EI8)*L$57+L$70*('Cap Table'!$DL8+'Cap Table'!$DM8)+L$83*('Cap Table'!$CP8+'Cap Table'!$CQ8)+L$96*('Cap Table'!$BT8+'Cap Table'!$BU8)+L$109*('Cap Table'!$AX8+'Cap Table'!$AY8)+('Cap Table'!$AB8+'Cap Table'!$AC8)*L$122+('Cap Table'!$I8+'Cap Table'!$J8)*L$133</f>
        <v>#DIV/0!</v>
      </c>
    </row>
    <row r="279" spans="2:13">
      <c r="B279" s="6" t="str">
        <f>'Cap Table'!B9</f>
        <v>na</v>
      </c>
      <c r="C279" s="217" t="str">
        <f>'Cap Table'!$D$61</f>
        <v>$</v>
      </c>
      <c r="D279" s="250" t="e">
        <f ca="1">('Cap Table'!$EH9+'Cap Table'!$EI9)*D$57+D$70*('Cap Table'!$DL9+'Cap Table'!$DM9)+D$83*('Cap Table'!$CP9+'Cap Table'!$CQ9)+D$96*('Cap Table'!$BT9+'Cap Table'!$BU9)+D$109*('Cap Table'!$AX9+'Cap Table'!$AY9)+('Cap Table'!$AB9+'Cap Table'!$AC9)*D$122+('Cap Table'!$I9+'Cap Table'!$J9)*D$133</f>
        <v>#DIV/0!</v>
      </c>
      <c r="E279" s="250" t="e">
        <f ca="1">('Cap Table'!$EH9+'Cap Table'!$EI9)*E$57+E$70*('Cap Table'!$DL9+'Cap Table'!$DM9)+E$83*('Cap Table'!$CP9+'Cap Table'!$CQ9)+E$96*('Cap Table'!$BT9+'Cap Table'!$BU9)+E$109*('Cap Table'!$AX9+'Cap Table'!$AY9)+('Cap Table'!$AB9+'Cap Table'!$AC9)*E$122+('Cap Table'!$I9+'Cap Table'!$J9)*E$133</f>
        <v>#DIV/0!</v>
      </c>
      <c r="F279" s="250" t="e">
        <f ca="1">('Cap Table'!$EH9+'Cap Table'!$EI9)*F$57+F$70*('Cap Table'!$DL9+'Cap Table'!$DM9)+F$83*('Cap Table'!$CP9+'Cap Table'!$CQ9)+F$96*('Cap Table'!$BT9+'Cap Table'!$BU9)+F$109*('Cap Table'!$AX9+'Cap Table'!$AY9)+('Cap Table'!$AB9+'Cap Table'!$AC9)*F$122+('Cap Table'!$I9+'Cap Table'!$J9)*F$133</f>
        <v>#DIV/0!</v>
      </c>
      <c r="G279" s="250" t="e">
        <f ca="1">('Cap Table'!$EH9+'Cap Table'!$EI9)*G$57+G$70*('Cap Table'!$DL9+'Cap Table'!$DM9)+G$83*('Cap Table'!$CP9+'Cap Table'!$CQ9)+G$96*('Cap Table'!$BT9+'Cap Table'!$BU9)+G$109*('Cap Table'!$AX9+'Cap Table'!$AY9)+('Cap Table'!$AB9+'Cap Table'!$AC9)*G$122+('Cap Table'!$I9+'Cap Table'!$J9)*G$133</f>
        <v>#DIV/0!</v>
      </c>
      <c r="H279" s="250" t="e">
        <f ca="1">('Cap Table'!$EH9+'Cap Table'!$EI9)*H$57+H$70*('Cap Table'!$DL9+'Cap Table'!$DM9)+H$83*('Cap Table'!$CP9+'Cap Table'!$CQ9)+H$96*('Cap Table'!$BT9+'Cap Table'!$BU9)+H$109*('Cap Table'!$AX9+'Cap Table'!$AY9)+('Cap Table'!$AB9+'Cap Table'!$AC9)*H$122+('Cap Table'!$I9+'Cap Table'!$J9)*H$133</f>
        <v>#DIV/0!</v>
      </c>
      <c r="I279" s="250" t="e">
        <f ca="1">('Cap Table'!$EH9+'Cap Table'!$EI9)*I$57+I$70*('Cap Table'!$DL9+'Cap Table'!$DM9)+I$83*('Cap Table'!$CP9+'Cap Table'!$CQ9)+I$96*('Cap Table'!$BT9+'Cap Table'!$BU9)+I$109*('Cap Table'!$AX9+'Cap Table'!$AY9)+('Cap Table'!$AB9+'Cap Table'!$AC9)*I$122+('Cap Table'!$I9+'Cap Table'!$J9)*I$133</f>
        <v>#DIV/0!</v>
      </c>
      <c r="J279" s="250" t="e">
        <f ca="1">('Cap Table'!$EH9+'Cap Table'!$EI9)*J$57+J$70*('Cap Table'!$DL9+'Cap Table'!$DM9)+J$83*('Cap Table'!$CP9+'Cap Table'!$CQ9)+J$96*('Cap Table'!$BT9+'Cap Table'!$BU9)+J$109*('Cap Table'!$AX9+'Cap Table'!$AY9)+('Cap Table'!$AB9+'Cap Table'!$AC9)*J$122+('Cap Table'!$I9+'Cap Table'!$J9)*J$133</f>
        <v>#DIV/0!</v>
      </c>
      <c r="K279" s="250" t="e">
        <f ca="1">('Cap Table'!$EH9+'Cap Table'!$EI9)*K$57+K$70*('Cap Table'!$DL9+'Cap Table'!$DM9)+K$83*('Cap Table'!$CP9+'Cap Table'!$CQ9)+K$96*('Cap Table'!$BT9+'Cap Table'!$BU9)+K$109*('Cap Table'!$AX9+'Cap Table'!$AY9)+('Cap Table'!$AB9+'Cap Table'!$AC9)*K$122+('Cap Table'!$I9+'Cap Table'!$J9)*K$133</f>
        <v>#DIV/0!</v>
      </c>
      <c r="L279" s="250" t="e">
        <f ca="1">('Cap Table'!$EH9+'Cap Table'!$EI9)*L$57+L$70*('Cap Table'!$DL9+'Cap Table'!$DM9)+L$83*('Cap Table'!$CP9+'Cap Table'!$CQ9)+L$96*('Cap Table'!$BT9+'Cap Table'!$BU9)+L$109*('Cap Table'!$AX9+'Cap Table'!$AY9)+('Cap Table'!$AB9+'Cap Table'!$AC9)*L$122+('Cap Table'!$I9+'Cap Table'!$J9)*L$133</f>
        <v>#DIV/0!</v>
      </c>
    </row>
    <row r="280" spans="2:13">
      <c r="B280" s="6" t="str">
        <f>'Cap Table'!B10</f>
        <v>na</v>
      </c>
      <c r="C280" s="217" t="str">
        <f>'Cap Table'!$D$61</f>
        <v>$</v>
      </c>
      <c r="D280" s="250" t="e">
        <f ca="1">('Cap Table'!$EH10+'Cap Table'!$EI10)*D$57+D$70*('Cap Table'!$DL10+'Cap Table'!$DM10)+D$83*('Cap Table'!$CP10+'Cap Table'!$CQ10)+D$96*('Cap Table'!$BT10+'Cap Table'!$BU10)+D$109*('Cap Table'!$AX10+'Cap Table'!$AY10)+('Cap Table'!$AB10+'Cap Table'!$AC10)*D$122+('Cap Table'!$I10+'Cap Table'!$J10)*D$133</f>
        <v>#DIV/0!</v>
      </c>
      <c r="E280" s="250" t="e">
        <f ca="1">('Cap Table'!$EH10+'Cap Table'!$EI10)*E$57+E$70*('Cap Table'!$DL10+'Cap Table'!$DM10)+E$83*('Cap Table'!$CP10+'Cap Table'!$CQ10)+E$96*('Cap Table'!$BT10+'Cap Table'!$BU10)+E$109*('Cap Table'!$AX10+'Cap Table'!$AY10)+('Cap Table'!$AB10+'Cap Table'!$AC10)*E$122+('Cap Table'!$I10+'Cap Table'!$J10)*E$133</f>
        <v>#DIV/0!</v>
      </c>
      <c r="F280" s="250" t="e">
        <f ca="1">('Cap Table'!$EH10+'Cap Table'!$EI10)*F$57+F$70*('Cap Table'!$DL10+'Cap Table'!$DM10)+F$83*('Cap Table'!$CP10+'Cap Table'!$CQ10)+F$96*('Cap Table'!$BT10+'Cap Table'!$BU10)+F$109*('Cap Table'!$AX10+'Cap Table'!$AY10)+('Cap Table'!$AB10+'Cap Table'!$AC10)*F$122+('Cap Table'!$I10+'Cap Table'!$J10)*F$133</f>
        <v>#DIV/0!</v>
      </c>
      <c r="G280" s="250" t="e">
        <f ca="1">('Cap Table'!$EH10+'Cap Table'!$EI10)*G$57+G$70*('Cap Table'!$DL10+'Cap Table'!$DM10)+G$83*('Cap Table'!$CP10+'Cap Table'!$CQ10)+G$96*('Cap Table'!$BT10+'Cap Table'!$BU10)+G$109*('Cap Table'!$AX10+'Cap Table'!$AY10)+('Cap Table'!$AB10+'Cap Table'!$AC10)*G$122+('Cap Table'!$I10+'Cap Table'!$J10)*G$133</f>
        <v>#DIV/0!</v>
      </c>
      <c r="H280" s="250" t="e">
        <f ca="1">('Cap Table'!$EH10+'Cap Table'!$EI10)*H$57+H$70*('Cap Table'!$DL10+'Cap Table'!$DM10)+H$83*('Cap Table'!$CP10+'Cap Table'!$CQ10)+H$96*('Cap Table'!$BT10+'Cap Table'!$BU10)+H$109*('Cap Table'!$AX10+'Cap Table'!$AY10)+('Cap Table'!$AB10+'Cap Table'!$AC10)*H$122+('Cap Table'!$I10+'Cap Table'!$J10)*H$133</f>
        <v>#DIV/0!</v>
      </c>
      <c r="I280" s="250" t="e">
        <f ca="1">('Cap Table'!$EH10+'Cap Table'!$EI10)*I$57+I$70*('Cap Table'!$DL10+'Cap Table'!$DM10)+I$83*('Cap Table'!$CP10+'Cap Table'!$CQ10)+I$96*('Cap Table'!$BT10+'Cap Table'!$BU10)+I$109*('Cap Table'!$AX10+'Cap Table'!$AY10)+('Cap Table'!$AB10+'Cap Table'!$AC10)*I$122+('Cap Table'!$I10+'Cap Table'!$J10)*I$133</f>
        <v>#DIV/0!</v>
      </c>
      <c r="J280" s="250" t="e">
        <f ca="1">('Cap Table'!$EH10+'Cap Table'!$EI10)*J$57+J$70*('Cap Table'!$DL10+'Cap Table'!$DM10)+J$83*('Cap Table'!$CP10+'Cap Table'!$CQ10)+J$96*('Cap Table'!$BT10+'Cap Table'!$BU10)+J$109*('Cap Table'!$AX10+'Cap Table'!$AY10)+('Cap Table'!$AB10+'Cap Table'!$AC10)*J$122+('Cap Table'!$I10+'Cap Table'!$J10)*J$133</f>
        <v>#DIV/0!</v>
      </c>
      <c r="K280" s="250" t="e">
        <f ca="1">('Cap Table'!$EH10+'Cap Table'!$EI10)*K$57+K$70*('Cap Table'!$DL10+'Cap Table'!$DM10)+K$83*('Cap Table'!$CP10+'Cap Table'!$CQ10)+K$96*('Cap Table'!$BT10+'Cap Table'!$BU10)+K$109*('Cap Table'!$AX10+'Cap Table'!$AY10)+('Cap Table'!$AB10+'Cap Table'!$AC10)*K$122+('Cap Table'!$I10+'Cap Table'!$J10)*K$133</f>
        <v>#DIV/0!</v>
      </c>
      <c r="L280" s="250" t="e">
        <f ca="1">('Cap Table'!$EH10+'Cap Table'!$EI10)*L$57+L$70*('Cap Table'!$DL10+'Cap Table'!$DM10)+L$83*('Cap Table'!$CP10+'Cap Table'!$CQ10)+L$96*('Cap Table'!$BT10+'Cap Table'!$BU10)+L$109*('Cap Table'!$AX10+'Cap Table'!$AY10)+('Cap Table'!$AB10+'Cap Table'!$AC10)*L$122+('Cap Table'!$I10+'Cap Table'!$J10)*L$133</f>
        <v>#DIV/0!</v>
      </c>
    </row>
    <row r="281" spans="2:13">
      <c r="B281" s="6" t="str">
        <f>'Cap Table'!B11</f>
        <v>na</v>
      </c>
      <c r="C281" s="217" t="str">
        <f>'Cap Table'!$D$61</f>
        <v>$</v>
      </c>
      <c r="D281" s="250" t="e">
        <f ca="1">('Cap Table'!$EH11+'Cap Table'!$EI11)*D$57+D$70*('Cap Table'!$DL11+'Cap Table'!$DM11)+D$83*('Cap Table'!$CP11+'Cap Table'!$CQ11)+D$96*('Cap Table'!$BT11+'Cap Table'!$BU11)+D$109*('Cap Table'!$AX11+'Cap Table'!$AY11)+('Cap Table'!$AB11+'Cap Table'!$AC11)*D$122+('Cap Table'!$I11+'Cap Table'!$J11)*D$133</f>
        <v>#DIV/0!</v>
      </c>
      <c r="E281" s="250" t="e">
        <f ca="1">('Cap Table'!$EH11+'Cap Table'!$EI11)*E$57+E$70*('Cap Table'!$DL11+'Cap Table'!$DM11)+E$83*('Cap Table'!$CP11+'Cap Table'!$CQ11)+E$96*('Cap Table'!$BT11+'Cap Table'!$BU11)+E$109*('Cap Table'!$AX11+'Cap Table'!$AY11)+('Cap Table'!$AB11+'Cap Table'!$AC11)*E$122+('Cap Table'!$I11+'Cap Table'!$J11)*E$133</f>
        <v>#DIV/0!</v>
      </c>
      <c r="F281" s="250" t="e">
        <f ca="1">('Cap Table'!$EH11+'Cap Table'!$EI11)*F$57+F$70*('Cap Table'!$DL11+'Cap Table'!$DM11)+F$83*('Cap Table'!$CP11+'Cap Table'!$CQ11)+F$96*('Cap Table'!$BT11+'Cap Table'!$BU11)+F$109*('Cap Table'!$AX11+'Cap Table'!$AY11)+('Cap Table'!$AB11+'Cap Table'!$AC11)*F$122+('Cap Table'!$I11+'Cap Table'!$J11)*F$133</f>
        <v>#DIV/0!</v>
      </c>
      <c r="G281" s="250" t="e">
        <f ca="1">('Cap Table'!$EH11+'Cap Table'!$EI11)*G$57+G$70*('Cap Table'!$DL11+'Cap Table'!$DM11)+G$83*('Cap Table'!$CP11+'Cap Table'!$CQ11)+G$96*('Cap Table'!$BT11+'Cap Table'!$BU11)+G$109*('Cap Table'!$AX11+'Cap Table'!$AY11)+('Cap Table'!$AB11+'Cap Table'!$AC11)*G$122+('Cap Table'!$I11+'Cap Table'!$J11)*G$133</f>
        <v>#DIV/0!</v>
      </c>
      <c r="H281" s="250" t="e">
        <f ca="1">('Cap Table'!$EH11+'Cap Table'!$EI11)*H$57+H$70*('Cap Table'!$DL11+'Cap Table'!$DM11)+H$83*('Cap Table'!$CP11+'Cap Table'!$CQ11)+H$96*('Cap Table'!$BT11+'Cap Table'!$BU11)+H$109*('Cap Table'!$AX11+'Cap Table'!$AY11)+('Cap Table'!$AB11+'Cap Table'!$AC11)*H$122+('Cap Table'!$I11+'Cap Table'!$J11)*H$133</f>
        <v>#DIV/0!</v>
      </c>
      <c r="I281" s="250" t="e">
        <f ca="1">('Cap Table'!$EH11+'Cap Table'!$EI11)*I$57+I$70*('Cap Table'!$DL11+'Cap Table'!$DM11)+I$83*('Cap Table'!$CP11+'Cap Table'!$CQ11)+I$96*('Cap Table'!$BT11+'Cap Table'!$BU11)+I$109*('Cap Table'!$AX11+'Cap Table'!$AY11)+('Cap Table'!$AB11+'Cap Table'!$AC11)*I$122+('Cap Table'!$I11+'Cap Table'!$J11)*I$133</f>
        <v>#DIV/0!</v>
      </c>
      <c r="J281" s="250" t="e">
        <f ca="1">('Cap Table'!$EH11+'Cap Table'!$EI11)*J$57+J$70*('Cap Table'!$DL11+'Cap Table'!$DM11)+J$83*('Cap Table'!$CP11+'Cap Table'!$CQ11)+J$96*('Cap Table'!$BT11+'Cap Table'!$BU11)+J$109*('Cap Table'!$AX11+'Cap Table'!$AY11)+('Cap Table'!$AB11+'Cap Table'!$AC11)*J$122+('Cap Table'!$I11+'Cap Table'!$J11)*J$133</f>
        <v>#DIV/0!</v>
      </c>
      <c r="K281" s="250" t="e">
        <f ca="1">('Cap Table'!$EH11+'Cap Table'!$EI11)*K$57+K$70*('Cap Table'!$DL11+'Cap Table'!$DM11)+K$83*('Cap Table'!$CP11+'Cap Table'!$CQ11)+K$96*('Cap Table'!$BT11+'Cap Table'!$BU11)+K$109*('Cap Table'!$AX11+'Cap Table'!$AY11)+('Cap Table'!$AB11+'Cap Table'!$AC11)*K$122+('Cap Table'!$I11+'Cap Table'!$J11)*K$133</f>
        <v>#DIV/0!</v>
      </c>
      <c r="L281" s="250" t="e">
        <f ca="1">('Cap Table'!$EH11+'Cap Table'!$EI11)*L$57+L$70*('Cap Table'!$DL11+'Cap Table'!$DM11)+L$83*('Cap Table'!$CP11+'Cap Table'!$CQ11)+L$96*('Cap Table'!$BT11+'Cap Table'!$BU11)+L$109*('Cap Table'!$AX11+'Cap Table'!$AY11)+('Cap Table'!$AB11+'Cap Table'!$AC11)*L$122+('Cap Table'!$I11+'Cap Table'!$J11)*L$133</f>
        <v>#DIV/0!</v>
      </c>
    </row>
    <row r="282" spans="2:13">
      <c r="B282" s="6" t="str">
        <f>'Cap Table'!B12</f>
        <v>na</v>
      </c>
      <c r="C282" s="217" t="str">
        <f>'Cap Table'!$D$61</f>
        <v>$</v>
      </c>
      <c r="D282" s="250" t="e">
        <f ca="1">('Cap Table'!$EH12+'Cap Table'!$EI12)*D$57+D$70*('Cap Table'!$DL12+'Cap Table'!$DM12)+D$83*('Cap Table'!$CP12+'Cap Table'!$CQ12)+D$96*('Cap Table'!$BT12+'Cap Table'!$BU12)+D$109*('Cap Table'!$AX12+'Cap Table'!$AY12)+('Cap Table'!$AB12+'Cap Table'!$AC12)*D$122+('Cap Table'!$I12+'Cap Table'!$J12)*D$133</f>
        <v>#DIV/0!</v>
      </c>
      <c r="E282" s="250" t="e">
        <f ca="1">('Cap Table'!$EH12+'Cap Table'!$EI12)*E$57+E$70*('Cap Table'!$DL12+'Cap Table'!$DM12)+E$83*('Cap Table'!$CP12+'Cap Table'!$CQ12)+E$96*('Cap Table'!$BT12+'Cap Table'!$BU12)+E$109*('Cap Table'!$AX12+'Cap Table'!$AY12)+('Cap Table'!$AB12+'Cap Table'!$AC12)*E$122+('Cap Table'!$I12+'Cap Table'!$J12)*E$133</f>
        <v>#DIV/0!</v>
      </c>
      <c r="F282" s="250" t="e">
        <f ca="1">('Cap Table'!$EH12+'Cap Table'!$EI12)*F$57+F$70*('Cap Table'!$DL12+'Cap Table'!$DM12)+F$83*('Cap Table'!$CP12+'Cap Table'!$CQ12)+F$96*('Cap Table'!$BT12+'Cap Table'!$BU12)+F$109*('Cap Table'!$AX12+'Cap Table'!$AY12)+('Cap Table'!$AB12+'Cap Table'!$AC12)*F$122+('Cap Table'!$I12+'Cap Table'!$J12)*F$133</f>
        <v>#DIV/0!</v>
      </c>
      <c r="G282" s="250" t="e">
        <f ca="1">('Cap Table'!$EH12+'Cap Table'!$EI12)*G$57+G$70*('Cap Table'!$DL12+'Cap Table'!$DM12)+G$83*('Cap Table'!$CP12+'Cap Table'!$CQ12)+G$96*('Cap Table'!$BT12+'Cap Table'!$BU12)+G$109*('Cap Table'!$AX12+'Cap Table'!$AY12)+('Cap Table'!$AB12+'Cap Table'!$AC12)*G$122+('Cap Table'!$I12+'Cap Table'!$J12)*G$133</f>
        <v>#DIV/0!</v>
      </c>
      <c r="H282" s="250" t="e">
        <f ca="1">('Cap Table'!$EH12+'Cap Table'!$EI12)*H$57+H$70*('Cap Table'!$DL12+'Cap Table'!$DM12)+H$83*('Cap Table'!$CP12+'Cap Table'!$CQ12)+H$96*('Cap Table'!$BT12+'Cap Table'!$BU12)+H$109*('Cap Table'!$AX12+'Cap Table'!$AY12)+('Cap Table'!$AB12+'Cap Table'!$AC12)*H$122+('Cap Table'!$I12+'Cap Table'!$J12)*H$133</f>
        <v>#DIV/0!</v>
      </c>
      <c r="I282" s="250" t="e">
        <f ca="1">('Cap Table'!$EH12+'Cap Table'!$EI12)*I$57+I$70*('Cap Table'!$DL12+'Cap Table'!$DM12)+I$83*('Cap Table'!$CP12+'Cap Table'!$CQ12)+I$96*('Cap Table'!$BT12+'Cap Table'!$BU12)+I$109*('Cap Table'!$AX12+'Cap Table'!$AY12)+('Cap Table'!$AB12+'Cap Table'!$AC12)*I$122+('Cap Table'!$I12+'Cap Table'!$J12)*I$133</f>
        <v>#DIV/0!</v>
      </c>
      <c r="J282" s="250" t="e">
        <f ca="1">('Cap Table'!$EH12+'Cap Table'!$EI12)*J$57+J$70*('Cap Table'!$DL12+'Cap Table'!$DM12)+J$83*('Cap Table'!$CP12+'Cap Table'!$CQ12)+J$96*('Cap Table'!$BT12+'Cap Table'!$BU12)+J$109*('Cap Table'!$AX12+'Cap Table'!$AY12)+('Cap Table'!$AB12+'Cap Table'!$AC12)*J$122+('Cap Table'!$I12+'Cap Table'!$J12)*J$133</f>
        <v>#DIV/0!</v>
      </c>
      <c r="K282" s="250" t="e">
        <f ca="1">('Cap Table'!$EH12+'Cap Table'!$EI12)*K$57+K$70*('Cap Table'!$DL12+'Cap Table'!$DM12)+K$83*('Cap Table'!$CP12+'Cap Table'!$CQ12)+K$96*('Cap Table'!$BT12+'Cap Table'!$BU12)+K$109*('Cap Table'!$AX12+'Cap Table'!$AY12)+('Cap Table'!$AB12+'Cap Table'!$AC12)*K$122+('Cap Table'!$I12+'Cap Table'!$J12)*K$133</f>
        <v>#DIV/0!</v>
      </c>
      <c r="L282" s="250" t="e">
        <f ca="1">('Cap Table'!$EH12+'Cap Table'!$EI12)*L$57+L$70*('Cap Table'!$DL12+'Cap Table'!$DM12)+L$83*('Cap Table'!$CP12+'Cap Table'!$CQ12)+L$96*('Cap Table'!$BT12+'Cap Table'!$BU12)+L$109*('Cap Table'!$AX12+'Cap Table'!$AY12)+('Cap Table'!$AB12+'Cap Table'!$AC12)*L$122+('Cap Table'!$I12+'Cap Table'!$J12)*L$133</f>
        <v>#DIV/0!</v>
      </c>
    </row>
    <row r="283" spans="2:13">
      <c r="B283" s="6" t="str">
        <f>'Cap Table'!B13</f>
        <v>na</v>
      </c>
      <c r="C283" s="217" t="str">
        <f>'Cap Table'!$D$61</f>
        <v>$</v>
      </c>
      <c r="D283" s="250" t="e">
        <f ca="1">('Cap Table'!$EH13+'Cap Table'!$EI13)*D$57+D$70*('Cap Table'!$DL13+'Cap Table'!$DM13)+D$83*('Cap Table'!$CP13+'Cap Table'!$CQ13)+D$96*('Cap Table'!$BT13+'Cap Table'!$BU13)+D$109*('Cap Table'!$AX13+'Cap Table'!$AY13)+('Cap Table'!$AB13+'Cap Table'!$AC13)*D$122+('Cap Table'!$I13+'Cap Table'!$J13)*D$133</f>
        <v>#DIV/0!</v>
      </c>
      <c r="E283" s="250" t="e">
        <f ca="1">('Cap Table'!$EH13+'Cap Table'!$EI13)*E$57+E$70*('Cap Table'!$DL13+'Cap Table'!$DM13)+E$83*('Cap Table'!$CP13+'Cap Table'!$CQ13)+E$96*('Cap Table'!$BT13+'Cap Table'!$BU13)+E$109*('Cap Table'!$AX13+'Cap Table'!$AY13)+('Cap Table'!$AB13+'Cap Table'!$AC13)*E$122+('Cap Table'!$I13+'Cap Table'!$J13)*E$133</f>
        <v>#DIV/0!</v>
      </c>
      <c r="F283" s="250" t="e">
        <f ca="1">('Cap Table'!$EH13+'Cap Table'!$EI13)*F$57+F$70*('Cap Table'!$DL13+'Cap Table'!$DM13)+F$83*('Cap Table'!$CP13+'Cap Table'!$CQ13)+F$96*('Cap Table'!$BT13+'Cap Table'!$BU13)+F$109*('Cap Table'!$AX13+'Cap Table'!$AY13)+('Cap Table'!$AB13+'Cap Table'!$AC13)*F$122+('Cap Table'!$I13+'Cap Table'!$J13)*F$133</f>
        <v>#DIV/0!</v>
      </c>
      <c r="G283" s="250" t="e">
        <f ca="1">('Cap Table'!$EH13+'Cap Table'!$EI13)*G$57+G$70*('Cap Table'!$DL13+'Cap Table'!$DM13)+G$83*('Cap Table'!$CP13+'Cap Table'!$CQ13)+G$96*('Cap Table'!$BT13+'Cap Table'!$BU13)+G$109*('Cap Table'!$AX13+'Cap Table'!$AY13)+('Cap Table'!$AB13+'Cap Table'!$AC13)*G$122+('Cap Table'!$I13+'Cap Table'!$J13)*G$133</f>
        <v>#DIV/0!</v>
      </c>
      <c r="H283" s="250" t="e">
        <f ca="1">('Cap Table'!$EH13+'Cap Table'!$EI13)*H$57+H$70*('Cap Table'!$DL13+'Cap Table'!$DM13)+H$83*('Cap Table'!$CP13+'Cap Table'!$CQ13)+H$96*('Cap Table'!$BT13+'Cap Table'!$BU13)+H$109*('Cap Table'!$AX13+'Cap Table'!$AY13)+('Cap Table'!$AB13+'Cap Table'!$AC13)*H$122+('Cap Table'!$I13+'Cap Table'!$J13)*H$133</f>
        <v>#DIV/0!</v>
      </c>
      <c r="I283" s="250" t="e">
        <f ca="1">('Cap Table'!$EH13+'Cap Table'!$EI13)*I$57+I$70*('Cap Table'!$DL13+'Cap Table'!$DM13)+I$83*('Cap Table'!$CP13+'Cap Table'!$CQ13)+I$96*('Cap Table'!$BT13+'Cap Table'!$BU13)+I$109*('Cap Table'!$AX13+'Cap Table'!$AY13)+('Cap Table'!$AB13+'Cap Table'!$AC13)*I$122+('Cap Table'!$I13+'Cap Table'!$J13)*I$133</f>
        <v>#DIV/0!</v>
      </c>
      <c r="J283" s="250" t="e">
        <f ca="1">('Cap Table'!$EH13+'Cap Table'!$EI13)*J$57+J$70*('Cap Table'!$DL13+'Cap Table'!$DM13)+J$83*('Cap Table'!$CP13+'Cap Table'!$CQ13)+J$96*('Cap Table'!$BT13+'Cap Table'!$BU13)+J$109*('Cap Table'!$AX13+'Cap Table'!$AY13)+('Cap Table'!$AB13+'Cap Table'!$AC13)*J$122+('Cap Table'!$I13+'Cap Table'!$J13)*J$133</f>
        <v>#DIV/0!</v>
      </c>
      <c r="K283" s="250" t="e">
        <f ca="1">('Cap Table'!$EH13+'Cap Table'!$EI13)*K$57+K$70*('Cap Table'!$DL13+'Cap Table'!$DM13)+K$83*('Cap Table'!$CP13+'Cap Table'!$CQ13)+K$96*('Cap Table'!$BT13+'Cap Table'!$BU13)+K$109*('Cap Table'!$AX13+'Cap Table'!$AY13)+('Cap Table'!$AB13+'Cap Table'!$AC13)*K$122+('Cap Table'!$I13+'Cap Table'!$J13)*K$133</f>
        <v>#DIV/0!</v>
      </c>
      <c r="L283" s="250" t="e">
        <f ca="1">('Cap Table'!$EH13+'Cap Table'!$EI13)*L$57+L$70*('Cap Table'!$DL13+'Cap Table'!$DM13)+L$83*('Cap Table'!$CP13+'Cap Table'!$CQ13)+L$96*('Cap Table'!$BT13+'Cap Table'!$BU13)+L$109*('Cap Table'!$AX13+'Cap Table'!$AY13)+('Cap Table'!$AB13+'Cap Table'!$AC13)*L$122+('Cap Table'!$I13+'Cap Table'!$J13)*L$133</f>
        <v>#DIV/0!</v>
      </c>
    </row>
    <row r="284" spans="2:13">
      <c r="B284" s="6" t="str">
        <f>'Cap Table'!B14</f>
        <v>na</v>
      </c>
      <c r="C284" s="217" t="str">
        <f>'Cap Table'!$D$61</f>
        <v>$</v>
      </c>
      <c r="D284" s="250" t="e">
        <f ca="1">('Cap Table'!$EH14+'Cap Table'!$EI14)*D$57+D$70*('Cap Table'!$DL14+'Cap Table'!$DM14)+D$83*('Cap Table'!$CP14+'Cap Table'!$CQ14)+D$96*('Cap Table'!$BT14+'Cap Table'!$BU14)+D$109*('Cap Table'!$AX14+'Cap Table'!$AY14)+('Cap Table'!$AB14+'Cap Table'!$AC14)*D$122+('Cap Table'!$I14+'Cap Table'!$J14)*D$133</f>
        <v>#DIV/0!</v>
      </c>
      <c r="E284" s="250" t="e">
        <f ca="1">('Cap Table'!$EH14+'Cap Table'!$EI14)*E$57+E$70*('Cap Table'!$DL14+'Cap Table'!$DM14)+E$83*('Cap Table'!$CP14+'Cap Table'!$CQ14)+E$96*('Cap Table'!$BT14+'Cap Table'!$BU14)+E$109*('Cap Table'!$AX14+'Cap Table'!$AY14)+('Cap Table'!$AB14+'Cap Table'!$AC14)*E$122+('Cap Table'!$I14+'Cap Table'!$J14)*E$133</f>
        <v>#DIV/0!</v>
      </c>
      <c r="F284" s="250" t="e">
        <f ca="1">('Cap Table'!$EH14+'Cap Table'!$EI14)*F$57+F$70*('Cap Table'!$DL14+'Cap Table'!$DM14)+F$83*('Cap Table'!$CP14+'Cap Table'!$CQ14)+F$96*('Cap Table'!$BT14+'Cap Table'!$BU14)+F$109*('Cap Table'!$AX14+'Cap Table'!$AY14)+('Cap Table'!$AB14+'Cap Table'!$AC14)*F$122+('Cap Table'!$I14+'Cap Table'!$J14)*F$133</f>
        <v>#DIV/0!</v>
      </c>
      <c r="G284" s="250" t="e">
        <f ca="1">('Cap Table'!$EH14+'Cap Table'!$EI14)*G$57+G$70*('Cap Table'!$DL14+'Cap Table'!$DM14)+G$83*('Cap Table'!$CP14+'Cap Table'!$CQ14)+G$96*('Cap Table'!$BT14+'Cap Table'!$BU14)+G$109*('Cap Table'!$AX14+'Cap Table'!$AY14)+('Cap Table'!$AB14+'Cap Table'!$AC14)*G$122+('Cap Table'!$I14+'Cap Table'!$J14)*G$133</f>
        <v>#DIV/0!</v>
      </c>
      <c r="H284" s="250" t="e">
        <f ca="1">('Cap Table'!$EH14+'Cap Table'!$EI14)*H$57+H$70*('Cap Table'!$DL14+'Cap Table'!$DM14)+H$83*('Cap Table'!$CP14+'Cap Table'!$CQ14)+H$96*('Cap Table'!$BT14+'Cap Table'!$BU14)+H$109*('Cap Table'!$AX14+'Cap Table'!$AY14)+('Cap Table'!$AB14+'Cap Table'!$AC14)*H$122+('Cap Table'!$I14+'Cap Table'!$J14)*H$133</f>
        <v>#DIV/0!</v>
      </c>
      <c r="I284" s="250" t="e">
        <f ca="1">('Cap Table'!$EH14+'Cap Table'!$EI14)*I$57+I$70*('Cap Table'!$DL14+'Cap Table'!$DM14)+I$83*('Cap Table'!$CP14+'Cap Table'!$CQ14)+I$96*('Cap Table'!$BT14+'Cap Table'!$BU14)+I$109*('Cap Table'!$AX14+'Cap Table'!$AY14)+('Cap Table'!$AB14+'Cap Table'!$AC14)*I$122+('Cap Table'!$I14+'Cap Table'!$J14)*I$133</f>
        <v>#DIV/0!</v>
      </c>
      <c r="J284" s="250" t="e">
        <f ca="1">('Cap Table'!$EH14+'Cap Table'!$EI14)*J$57+J$70*('Cap Table'!$DL14+'Cap Table'!$DM14)+J$83*('Cap Table'!$CP14+'Cap Table'!$CQ14)+J$96*('Cap Table'!$BT14+'Cap Table'!$BU14)+J$109*('Cap Table'!$AX14+'Cap Table'!$AY14)+('Cap Table'!$AB14+'Cap Table'!$AC14)*J$122+('Cap Table'!$I14+'Cap Table'!$J14)*J$133</f>
        <v>#DIV/0!</v>
      </c>
      <c r="K284" s="250" t="e">
        <f ca="1">('Cap Table'!$EH14+'Cap Table'!$EI14)*K$57+K$70*('Cap Table'!$DL14+'Cap Table'!$DM14)+K$83*('Cap Table'!$CP14+'Cap Table'!$CQ14)+K$96*('Cap Table'!$BT14+'Cap Table'!$BU14)+K$109*('Cap Table'!$AX14+'Cap Table'!$AY14)+('Cap Table'!$AB14+'Cap Table'!$AC14)*K$122+('Cap Table'!$I14+'Cap Table'!$J14)*K$133</f>
        <v>#DIV/0!</v>
      </c>
      <c r="L284" s="250" t="e">
        <f ca="1">('Cap Table'!$EH14+'Cap Table'!$EI14)*L$57+L$70*('Cap Table'!$DL14+'Cap Table'!$DM14)+L$83*('Cap Table'!$CP14+'Cap Table'!$CQ14)+L$96*('Cap Table'!$BT14+'Cap Table'!$BU14)+L$109*('Cap Table'!$AX14+'Cap Table'!$AY14)+('Cap Table'!$AB14+'Cap Table'!$AC14)*L$122+('Cap Table'!$I14+'Cap Table'!$J14)*L$133</f>
        <v>#DIV/0!</v>
      </c>
    </row>
    <row r="285" spans="2:13">
      <c r="B285" s="6" t="str">
        <f>'Cap Table'!B15</f>
        <v>na</v>
      </c>
      <c r="C285" s="217" t="str">
        <f>'Cap Table'!$D$61</f>
        <v>$</v>
      </c>
      <c r="D285" s="250" t="e">
        <f ca="1">('Cap Table'!$EH15+'Cap Table'!$EI15)*D$57+D$70*('Cap Table'!$DL15+'Cap Table'!$DM15)+D$83*('Cap Table'!$CP15+'Cap Table'!$CQ15)+D$96*('Cap Table'!$BT15+'Cap Table'!$BU15)+D$109*('Cap Table'!$AX15+'Cap Table'!$AY15)+('Cap Table'!$AB15+'Cap Table'!$AC15)*D$122+('Cap Table'!$I15+'Cap Table'!$J15)*D$133</f>
        <v>#DIV/0!</v>
      </c>
      <c r="E285" s="250" t="e">
        <f ca="1">('Cap Table'!$EH15+'Cap Table'!$EI15)*E$57+E$70*('Cap Table'!$DL15+'Cap Table'!$DM15)+E$83*('Cap Table'!$CP15+'Cap Table'!$CQ15)+E$96*('Cap Table'!$BT15+'Cap Table'!$BU15)+E$109*('Cap Table'!$AX15+'Cap Table'!$AY15)+('Cap Table'!$AB15+'Cap Table'!$AC15)*E$122+('Cap Table'!$I15+'Cap Table'!$J15)*E$133</f>
        <v>#DIV/0!</v>
      </c>
      <c r="F285" s="250" t="e">
        <f ca="1">('Cap Table'!$EH15+'Cap Table'!$EI15)*F$57+F$70*('Cap Table'!$DL15+'Cap Table'!$DM15)+F$83*('Cap Table'!$CP15+'Cap Table'!$CQ15)+F$96*('Cap Table'!$BT15+'Cap Table'!$BU15)+F$109*('Cap Table'!$AX15+'Cap Table'!$AY15)+('Cap Table'!$AB15+'Cap Table'!$AC15)*F$122+('Cap Table'!$I15+'Cap Table'!$J15)*F$133</f>
        <v>#DIV/0!</v>
      </c>
      <c r="G285" s="250" t="e">
        <f ca="1">('Cap Table'!$EH15+'Cap Table'!$EI15)*G$57+G$70*('Cap Table'!$DL15+'Cap Table'!$DM15)+G$83*('Cap Table'!$CP15+'Cap Table'!$CQ15)+G$96*('Cap Table'!$BT15+'Cap Table'!$BU15)+G$109*('Cap Table'!$AX15+'Cap Table'!$AY15)+('Cap Table'!$AB15+'Cap Table'!$AC15)*G$122+('Cap Table'!$I15+'Cap Table'!$J15)*G$133</f>
        <v>#DIV/0!</v>
      </c>
      <c r="H285" s="250" t="e">
        <f ca="1">('Cap Table'!$EH15+'Cap Table'!$EI15)*H$57+H$70*('Cap Table'!$DL15+'Cap Table'!$DM15)+H$83*('Cap Table'!$CP15+'Cap Table'!$CQ15)+H$96*('Cap Table'!$BT15+'Cap Table'!$BU15)+H$109*('Cap Table'!$AX15+'Cap Table'!$AY15)+('Cap Table'!$AB15+'Cap Table'!$AC15)*H$122+('Cap Table'!$I15+'Cap Table'!$J15)*H$133</f>
        <v>#DIV/0!</v>
      </c>
      <c r="I285" s="250" t="e">
        <f ca="1">('Cap Table'!$EH15+'Cap Table'!$EI15)*I$57+I$70*('Cap Table'!$DL15+'Cap Table'!$DM15)+I$83*('Cap Table'!$CP15+'Cap Table'!$CQ15)+I$96*('Cap Table'!$BT15+'Cap Table'!$BU15)+I$109*('Cap Table'!$AX15+'Cap Table'!$AY15)+('Cap Table'!$AB15+'Cap Table'!$AC15)*I$122+('Cap Table'!$I15+'Cap Table'!$J15)*I$133</f>
        <v>#DIV/0!</v>
      </c>
      <c r="J285" s="250" t="e">
        <f ca="1">('Cap Table'!$EH15+'Cap Table'!$EI15)*J$57+J$70*('Cap Table'!$DL15+'Cap Table'!$DM15)+J$83*('Cap Table'!$CP15+'Cap Table'!$CQ15)+J$96*('Cap Table'!$BT15+'Cap Table'!$BU15)+J$109*('Cap Table'!$AX15+'Cap Table'!$AY15)+('Cap Table'!$AB15+'Cap Table'!$AC15)*J$122+('Cap Table'!$I15+'Cap Table'!$J15)*J$133</f>
        <v>#DIV/0!</v>
      </c>
      <c r="K285" s="250" t="e">
        <f ca="1">('Cap Table'!$EH15+'Cap Table'!$EI15)*K$57+K$70*('Cap Table'!$DL15+'Cap Table'!$DM15)+K$83*('Cap Table'!$CP15+'Cap Table'!$CQ15)+K$96*('Cap Table'!$BT15+'Cap Table'!$BU15)+K$109*('Cap Table'!$AX15+'Cap Table'!$AY15)+('Cap Table'!$AB15+'Cap Table'!$AC15)*K$122+('Cap Table'!$I15+'Cap Table'!$J15)*K$133</f>
        <v>#DIV/0!</v>
      </c>
      <c r="L285" s="250" t="e">
        <f ca="1">('Cap Table'!$EH15+'Cap Table'!$EI15)*L$57+L$70*('Cap Table'!$DL15+'Cap Table'!$DM15)+L$83*('Cap Table'!$CP15+'Cap Table'!$CQ15)+L$96*('Cap Table'!$BT15+'Cap Table'!$BU15)+L$109*('Cap Table'!$AX15+'Cap Table'!$AY15)+('Cap Table'!$AB15+'Cap Table'!$AC15)*L$122+('Cap Table'!$I15+'Cap Table'!$J15)*L$133</f>
        <v>#DIV/0!</v>
      </c>
    </row>
    <row r="286" spans="2:13">
      <c r="B286" s="6" t="str">
        <f>'Cap Table'!B16</f>
        <v>na</v>
      </c>
      <c r="C286" s="217" t="str">
        <f>'Cap Table'!$D$61</f>
        <v>$</v>
      </c>
      <c r="D286" s="250" t="e">
        <f ca="1">('Cap Table'!$EH16+'Cap Table'!$EI16)*D$57+D$70*('Cap Table'!$DL16+'Cap Table'!$DM16)+D$83*('Cap Table'!$CP16+'Cap Table'!$CQ16)+D$96*('Cap Table'!$BT16+'Cap Table'!$BU16)+D$109*('Cap Table'!$AX16+'Cap Table'!$AY16)+('Cap Table'!$AB16+'Cap Table'!$AC16)*D$122+('Cap Table'!$I16+'Cap Table'!$J16)*D$133</f>
        <v>#DIV/0!</v>
      </c>
      <c r="E286" s="250" t="e">
        <f ca="1">('Cap Table'!$EH16+'Cap Table'!$EI16)*E$57+E$70*('Cap Table'!$DL16+'Cap Table'!$DM16)+E$83*('Cap Table'!$CP16+'Cap Table'!$CQ16)+E$96*('Cap Table'!$BT16+'Cap Table'!$BU16)+E$109*('Cap Table'!$AX16+'Cap Table'!$AY16)+('Cap Table'!$AB16+'Cap Table'!$AC16)*E$122+('Cap Table'!$I16+'Cap Table'!$J16)*E$133</f>
        <v>#DIV/0!</v>
      </c>
      <c r="F286" s="250" t="e">
        <f ca="1">('Cap Table'!$EH16+'Cap Table'!$EI16)*F$57+F$70*('Cap Table'!$DL16+'Cap Table'!$DM16)+F$83*('Cap Table'!$CP16+'Cap Table'!$CQ16)+F$96*('Cap Table'!$BT16+'Cap Table'!$BU16)+F$109*('Cap Table'!$AX16+'Cap Table'!$AY16)+('Cap Table'!$AB16+'Cap Table'!$AC16)*F$122+('Cap Table'!$I16+'Cap Table'!$J16)*F$133</f>
        <v>#DIV/0!</v>
      </c>
      <c r="G286" s="250" t="e">
        <f ca="1">('Cap Table'!$EH16+'Cap Table'!$EI16)*G$57+G$70*('Cap Table'!$DL16+'Cap Table'!$DM16)+G$83*('Cap Table'!$CP16+'Cap Table'!$CQ16)+G$96*('Cap Table'!$BT16+'Cap Table'!$BU16)+G$109*('Cap Table'!$AX16+'Cap Table'!$AY16)+('Cap Table'!$AB16+'Cap Table'!$AC16)*G$122+('Cap Table'!$I16+'Cap Table'!$J16)*G$133</f>
        <v>#DIV/0!</v>
      </c>
      <c r="H286" s="250" t="e">
        <f ca="1">('Cap Table'!$EH16+'Cap Table'!$EI16)*H$57+H$70*('Cap Table'!$DL16+'Cap Table'!$DM16)+H$83*('Cap Table'!$CP16+'Cap Table'!$CQ16)+H$96*('Cap Table'!$BT16+'Cap Table'!$BU16)+H$109*('Cap Table'!$AX16+'Cap Table'!$AY16)+('Cap Table'!$AB16+'Cap Table'!$AC16)*H$122+('Cap Table'!$I16+'Cap Table'!$J16)*H$133</f>
        <v>#DIV/0!</v>
      </c>
      <c r="I286" s="250" t="e">
        <f ca="1">('Cap Table'!$EH16+'Cap Table'!$EI16)*I$57+I$70*('Cap Table'!$DL16+'Cap Table'!$DM16)+I$83*('Cap Table'!$CP16+'Cap Table'!$CQ16)+I$96*('Cap Table'!$BT16+'Cap Table'!$BU16)+I$109*('Cap Table'!$AX16+'Cap Table'!$AY16)+('Cap Table'!$AB16+'Cap Table'!$AC16)*I$122+('Cap Table'!$I16+'Cap Table'!$J16)*I$133</f>
        <v>#DIV/0!</v>
      </c>
      <c r="J286" s="250" t="e">
        <f ca="1">('Cap Table'!$EH16+'Cap Table'!$EI16)*J$57+J$70*('Cap Table'!$DL16+'Cap Table'!$DM16)+J$83*('Cap Table'!$CP16+'Cap Table'!$CQ16)+J$96*('Cap Table'!$BT16+'Cap Table'!$BU16)+J$109*('Cap Table'!$AX16+'Cap Table'!$AY16)+('Cap Table'!$AB16+'Cap Table'!$AC16)*J$122+('Cap Table'!$I16+'Cap Table'!$J16)*J$133</f>
        <v>#DIV/0!</v>
      </c>
      <c r="K286" s="250" t="e">
        <f ca="1">('Cap Table'!$EH16+'Cap Table'!$EI16)*K$57+K$70*('Cap Table'!$DL16+'Cap Table'!$DM16)+K$83*('Cap Table'!$CP16+'Cap Table'!$CQ16)+K$96*('Cap Table'!$BT16+'Cap Table'!$BU16)+K$109*('Cap Table'!$AX16+'Cap Table'!$AY16)+('Cap Table'!$AB16+'Cap Table'!$AC16)*K$122+('Cap Table'!$I16+'Cap Table'!$J16)*K$133</f>
        <v>#DIV/0!</v>
      </c>
      <c r="L286" s="250" t="e">
        <f ca="1">('Cap Table'!$EH16+'Cap Table'!$EI16)*L$57+L$70*('Cap Table'!$DL16+'Cap Table'!$DM16)+L$83*('Cap Table'!$CP16+'Cap Table'!$CQ16)+L$96*('Cap Table'!$BT16+'Cap Table'!$BU16)+L$109*('Cap Table'!$AX16+'Cap Table'!$AY16)+('Cap Table'!$AB16+'Cap Table'!$AC16)*L$122+('Cap Table'!$I16+'Cap Table'!$J16)*L$133</f>
        <v>#DIV/0!</v>
      </c>
    </row>
    <row r="287" spans="2:13">
      <c r="B287" s="6" t="str">
        <f>'Cap Table'!B17</f>
        <v>na</v>
      </c>
      <c r="C287" s="217" t="str">
        <f>'Cap Table'!$D$61</f>
        <v>$</v>
      </c>
      <c r="D287" s="250" t="e">
        <f ca="1">('Cap Table'!$EH17+'Cap Table'!$EI17)*D$57+D$70*('Cap Table'!$DL17+'Cap Table'!$DM17)+D$83*('Cap Table'!$CP17+'Cap Table'!$CQ17)+D$96*('Cap Table'!$BT17+'Cap Table'!$BU17)+D$109*('Cap Table'!$AX17+'Cap Table'!$AY17)+('Cap Table'!$AB17+'Cap Table'!$AC17)*D$122+('Cap Table'!$I17+'Cap Table'!$J17)*D$133</f>
        <v>#DIV/0!</v>
      </c>
      <c r="E287" s="250" t="e">
        <f ca="1">('Cap Table'!$EH17+'Cap Table'!$EI17)*E$57+E$70*('Cap Table'!$DL17+'Cap Table'!$DM17)+E$83*('Cap Table'!$CP17+'Cap Table'!$CQ17)+E$96*('Cap Table'!$BT17+'Cap Table'!$BU17)+E$109*('Cap Table'!$AX17+'Cap Table'!$AY17)+('Cap Table'!$AB17+'Cap Table'!$AC17)*E$122+('Cap Table'!$I17+'Cap Table'!$J17)*E$133</f>
        <v>#DIV/0!</v>
      </c>
      <c r="F287" s="250" t="e">
        <f ca="1">('Cap Table'!$EH17+'Cap Table'!$EI17)*F$57+F$70*('Cap Table'!$DL17+'Cap Table'!$DM17)+F$83*('Cap Table'!$CP17+'Cap Table'!$CQ17)+F$96*('Cap Table'!$BT17+'Cap Table'!$BU17)+F$109*('Cap Table'!$AX17+'Cap Table'!$AY17)+('Cap Table'!$AB17+'Cap Table'!$AC17)*F$122+('Cap Table'!$I17+'Cap Table'!$J17)*F$133</f>
        <v>#DIV/0!</v>
      </c>
      <c r="G287" s="250" t="e">
        <f ca="1">('Cap Table'!$EH17+'Cap Table'!$EI17)*G$57+G$70*('Cap Table'!$DL17+'Cap Table'!$DM17)+G$83*('Cap Table'!$CP17+'Cap Table'!$CQ17)+G$96*('Cap Table'!$BT17+'Cap Table'!$BU17)+G$109*('Cap Table'!$AX17+'Cap Table'!$AY17)+('Cap Table'!$AB17+'Cap Table'!$AC17)*G$122+('Cap Table'!$I17+'Cap Table'!$J17)*G$133</f>
        <v>#DIV/0!</v>
      </c>
      <c r="H287" s="250" t="e">
        <f ca="1">('Cap Table'!$EH17+'Cap Table'!$EI17)*H$57+H$70*('Cap Table'!$DL17+'Cap Table'!$DM17)+H$83*('Cap Table'!$CP17+'Cap Table'!$CQ17)+H$96*('Cap Table'!$BT17+'Cap Table'!$BU17)+H$109*('Cap Table'!$AX17+'Cap Table'!$AY17)+('Cap Table'!$AB17+'Cap Table'!$AC17)*H$122+('Cap Table'!$I17+'Cap Table'!$J17)*H$133</f>
        <v>#DIV/0!</v>
      </c>
      <c r="I287" s="250" t="e">
        <f ca="1">('Cap Table'!$EH17+'Cap Table'!$EI17)*I$57+I$70*('Cap Table'!$DL17+'Cap Table'!$DM17)+I$83*('Cap Table'!$CP17+'Cap Table'!$CQ17)+I$96*('Cap Table'!$BT17+'Cap Table'!$BU17)+I$109*('Cap Table'!$AX17+'Cap Table'!$AY17)+('Cap Table'!$AB17+'Cap Table'!$AC17)*I$122+('Cap Table'!$I17+'Cap Table'!$J17)*I$133</f>
        <v>#DIV/0!</v>
      </c>
      <c r="J287" s="250" t="e">
        <f ca="1">('Cap Table'!$EH17+'Cap Table'!$EI17)*J$57+J$70*('Cap Table'!$DL17+'Cap Table'!$DM17)+J$83*('Cap Table'!$CP17+'Cap Table'!$CQ17)+J$96*('Cap Table'!$BT17+'Cap Table'!$BU17)+J$109*('Cap Table'!$AX17+'Cap Table'!$AY17)+('Cap Table'!$AB17+'Cap Table'!$AC17)*J$122+('Cap Table'!$I17+'Cap Table'!$J17)*J$133</f>
        <v>#DIV/0!</v>
      </c>
      <c r="K287" s="250" t="e">
        <f ca="1">('Cap Table'!$EH17+'Cap Table'!$EI17)*K$57+K$70*('Cap Table'!$DL17+'Cap Table'!$DM17)+K$83*('Cap Table'!$CP17+'Cap Table'!$CQ17)+K$96*('Cap Table'!$BT17+'Cap Table'!$BU17)+K$109*('Cap Table'!$AX17+'Cap Table'!$AY17)+('Cap Table'!$AB17+'Cap Table'!$AC17)*K$122+('Cap Table'!$I17+'Cap Table'!$J17)*K$133</f>
        <v>#DIV/0!</v>
      </c>
      <c r="L287" s="250" t="e">
        <f ca="1">('Cap Table'!$EH17+'Cap Table'!$EI17)*L$57+L$70*('Cap Table'!$DL17+'Cap Table'!$DM17)+L$83*('Cap Table'!$CP17+'Cap Table'!$CQ17)+L$96*('Cap Table'!$BT17+'Cap Table'!$BU17)+L$109*('Cap Table'!$AX17+'Cap Table'!$AY17)+('Cap Table'!$AB17+'Cap Table'!$AC17)*L$122+('Cap Table'!$I17+'Cap Table'!$J17)*L$133</f>
        <v>#DIV/0!</v>
      </c>
    </row>
    <row r="288" spans="2:13">
      <c r="B288" s="6" t="str">
        <f>'Cap Table'!B18</f>
        <v>na</v>
      </c>
      <c r="C288" s="217" t="str">
        <f>'Cap Table'!$D$61</f>
        <v>$</v>
      </c>
      <c r="D288" s="250" t="e">
        <f ca="1">('Cap Table'!$EH18+'Cap Table'!$EI18)*D$57+D$70*('Cap Table'!$DL18+'Cap Table'!$DM18)+D$83*('Cap Table'!$CP18+'Cap Table'!$CQ18)+D$96*('Cap Table'!$BT18+'Cap Table'!$BU18)+D$109*('Cap Table'!$AX18+'Cap Table'!$AY18)+('Cap Table'!$AB18+'Cap Table'!$AC18)*D$122+('Cap Table'!$I18+'Cap Table'!$J18)*D$133</f>
        <v>#DIV/0!</v>
      </c>
      <c r="E288" s="250" t="e">
        <f ca="1">('Cap Table'!$EH18+'Cap Table'!$EI18)*E$57+E$70*('Cap Table'!$DL18+'Cap Table'!$DM18)+E$83*('Cap Table'!$CP18+'Cap Table'!$CQ18)+E$96*('Cap Table'!$BT18+'Cap Table'!$BU18)+E$109*('Cap Table'!$AX18+'Cap Table'!$AY18)+('Cap Table'!$AB18+'Cap Table'!$AC18)*E$122+('Cap Table'!$I18+'Cap Table'!$J18)*E$133</f>
        <v>#DIV/0!</v>
      </c>
      <c r="F288" s="250" t="e">
        <f ca="1">('Cap Table'!$EH18+'Cap Table'!$EI18)*F$57+F$70*('Cap Table'!$DL18+'Cap Table'!$DM18)+F$83*('Cap Table'!$CP18+'Cap Table'!$CQ18)+F$96*('Cap Table'!$BT18+'Cap Table'!$BU18)+F$109*('Cap Table'!$AX18+'Cap Table'!$AY18)+('Cap Table'!$AB18+'Cap Table'!$AC18)*F$122+('Cap Table'!$I18+'Cap Table'!$J18)*F$133</f>
        <v>#DIV/0!</v>
      </c>
      <c r="G288" s="250" t="e">
        <f ca="1">('Cap Table'!$EH18+'Cap Table'!$EI18)*G$57+G$70*('Cap Table'!$DL18+'Cap Table'!$DM18)+G$83*('Cap Table'!$CP18+'Cap Table'!$CQ18)+G$96*('Cap Table'!$BT18+'Cap Table'!$BU18)+G$109*('Cap Table'!$AX18+'Cap Table'!$AY18)+('Cap Table'!$AB18+'Cap Table'!$AC18)*G$122+('Cap Table'!$I18+'Cap Table'!$J18)*G$133</f>
        <v>#DIV/0!</v>
      </c>
      <c r="H288" s="250" t="e">
        <f ca="1">('Cap Table'!$EH18+'Cap Table'!$EI18)*H$57+H$70*('Cap Table'!$DL18+'Cap Table'!$DM18)+H$83*('Cap Table'!$CP18+'Cap Table'!$CQ18)+H$96*('Cap Table'!$BT18+'Cap Table'!$BU18)+H$109*('Cap Table'!$AX18+'Cap Table'!$AY18)+('Cap Table'!$AB18+'Cap Table'!$AC18)*H$122+('Cap Table'!$I18+'Cap Table'!$J18)*H$133</f>
        <v>#DIV/0!</v>
      </c>
      <c r="I288" s="250" t="e">
        <f ca="1">('Cap Table'!$EH18+'Cap Table'!$EI18)*I$57+I$70*('Cap Table'!$DL18+'Cap Table'!$DM18)+I$83*('Cap Table'!$CP18+'Cap Table'!$CQ18)+I$96*('Cap Table'!$BT18+'Cap Table'!$BU18)+I$109*('Cap Table'!$AX18+'Cap Table'!$AY18)+('Cap Table'!$AB18+'Cap Table'!$AC18)*I$122+('Cap Table'!$I18+'Cap Table'!$J18)*I$133</f>
        <v>#DIV/0!</v>
      </c>
      <c r="J288" s="250" t="e">
        <f ca="1">('Cap Table'!$EH18+'Cap Table'!$EI18)*J$57+J$70*('Cap Table'!$DL18+'Cap Table'!$DM18)+J$83*('Cap Table'!$CP18+'Cap Table'!$CQ18)+J$96*('Cap Table'!$BT18+'Cap Table'!$BU18)+J$109*('Cap Table'!$AX18+'Cap Table'!$AY18)+('Cap Table'!$AB18+'Cap Table'!$AC18)*J$122+('Cap Table'!$I18+'Cap Table'!$J18)*J$133</f>
        <v>#DIV/0!</v>
      </c>
      <c r="K288" s="250" t="e">
        <f ca="1">('Cap Table'!$EH18+'Cap Table'!$EI18)*K$57+K$70*('Cap Table'!$DL18+'Cap Table'!$DM18)+K$83*('Cap Table'!$CP18+'Cap Table'!$CQ18)+K$96*('Cap Table'!$BT18+'Cap Table'!$BU18)+K$109*('Cap Table'!$AX18+'Cap Table'!$AY18)+('Cap Table'!$AB18+'Cap Table'!$AC18)*K$122+('Cap Table'!$I18+'Cap Table'!$J18)*K$133</f>
        <v>#DIV/0!</v>
      </c>
      <c r="L288" s="250" t="e">
        <f ca="1">('Cap Table'!$EH18+'Cap Table'!$EI18)*L$57+L$70*('Cap Table'!$DL18+'Cap Table'!$DM18)+L$83*('Cap Table'!$CP18+'Cap Table'!$CQ18)+L$96*('Cap Table'!$BT18+'Cap Table'!$BU18)+L$109*('Cap Table'!$AX18+'Cap Table'!$AY18)+('Cap Table'!$AB18+'Cap Table'!$AC18)*L$122+('Cap Table'!$I18+'Cap Table'!$J18)*L$133</f>
        <v>#DIV/0!</v>
      </c>
    </row>
    <row r="289" spans="2:12">
      <c r="B289" s="6" t="str">
        <f>'Cap Table'!B19</f>
        <v>na</v>
      </c>
      <c r="C289" s="217" t="str">
        <f>'Cap Table'!$D$61</f>
        <v>$</v>
      </c>
      <c r="D289" s="250" t="e">
        <f ca="1">('Cap Table'!$EH19+'Cap Table'!$EI19)*D$57+D$70*('Cap Table'!$DL19+'Cap Table'!$DM19)+D$83*('Cap Table'!$CP19+'Cap Table'!$CQ19)+D$96*('Cap Table'!$BT19+'Cap Table'!$BU19)+D$109*('Cap Table'!$AX19+'Cap Table'!$AY19)+('Cap Table'!$AB19+'Cap Table'!$AC19)*D$122+('Cap Table'!$I19+'Cap Table'!$J19)*D$133</f>
        <v>#DIV/0!</v>
      </c>
      <c r="E289" s="250" t="e">
        <f ca="1">('Cap Table'!$EH19+'Cap Table'!$EI19)*E$57+E$70*('Cap Table'!$DL19+'Cap Table'!$DM19)+E$83*('Cap Table'!$CP19+'Cap Table'!$CQ19)+E$96*('Cap Table'!$BT19+'Cap Table'!$BU19)+E$109*('Cap Table'!$AX19+'Cap Table'!$AY19)+('Cap Table'!$AB19+'Cap Table'!$AC19)*E$122+('Cap Table'!$I19+'Cap Table'!$J19)*E$133</f>
        <v>#DIV/0!</v>
      </c>
      <c r="F289" s="250" t="e">
        <f ca="1">('Cap Table'!$EH19+'Cap Table'!$EI19)*F$57+F$70*('Cap Table'!$DL19+'Cap Table'!$DM19)+F$83*('Cap Table'!$CP19+'Cap Table'!$CQ19)+F$96*('Cap Table'!$BT19+'Cap Table'!$BU19)+F$109*('Cap Table'!$AX19+'Cap Table'!$AY19)+('Cap Table'!$AB19+'Cap Table'!$AC19)*F$122+('Cap Table'!$I19+'Cap Table'!$J19)*F$133</f>
        <v>#DIV/0!</v>
      </c>
      <c r="G289" s="250" t="e">
        <f ca="1">('Cap Table'!$EH19+'Cap Table'!$EI19)*G$57+G$70*('Cap Table'!$DL19+'Cap Table'!$DM19)+G$83*('Cap Table'!$CP19+'Cap Table'!$CQ19)+G$96*('Cap Table'!$BT19+'Cap Table'!$BU19)+G$109*('Cap Table'!$AX19+'Cap Table'!$AY19)+('Cap Table'!$AB19+'Cap Table'!$AC19)*G$122+('Cap Table'!$I19+'Cap Table'!$J19)*G$133</f>
        <v>#DIV/0!</v>
      </c>
      <c r="H289" s="250" t="e">
        <f ca="1">('Cap Table'!$EH19+'Cap Table'!$EI19)*H$57+H$70*('Cap Table'!$DL19+'Cap Table'!$DM19)+H$83*('Cap Table'!$CP19+'Cap Table'!$CQ19)+H$96*('Cap Table'!$BT19+'Cap Table'!$BU19)+H$109*('Cap Table'!$AX19+'Cap Table'!$AY19)+('Cap Table'!$AB19+'Cap Table'!$AC19)*H$122+('Cap Table'!$I19+'Cap Table'!$J19)*H$133</f>
        <v>#DIV/0!</v>
      </c>
      <c r="I289" s="250" t="e">
        <f ca="1">('Cap Table'!$EH19+'Cap Table'!$EI19)*I$57+I$70*('Cap Table'!$DL19+'Cap Table'!$DM19)+I$83*('Cap Table'!$CP19+'Cap Table'!$CQ19)+I$96*('Cap Table'!$BT19+'Cap Table'!$BU19)+I$109*('Cap Table'!$AX19+'Cap Table'!$AY19)+('Cap Table'!$AB19+'Cap Table'!$AC19)*I$122+('Cap Table'!$I19+'Cap Table'!$J19)*I$133</f>
        <v>#DIV/0!</v>
      </c>
      <c r="J289" s="250" t="e">
        <f ca="1">('Cap Table'!$EH19+'Cap Table'!$EI19)*J$57+J$70*('Cap Table'!$DL19+'Cap Table'!$DM19)+J$83*('Cap Table'!$CP19+'Cap Table'!$CQ19)+J$96*('Cap Table'!$BT19+'Cap Table'!$BU19)+J$109*('Cap Table'!$AX19+'Cap Table'!$AY19)+('Cap Table'!$AB19+'Cap Table'!$AC19)*J$122+('Cap Table'!$I19+'Cap Table'!$J19)*J$133</f>
        <v>#DIV/0!</v>
      </c>
      <c r="K289" s="250" t="e">
        <f ca="1">('Cap Table'!$EH19+'Cap Table'!$EI19)*K$57+K$70*('Cap Table'!$DL19+'Cap Table'!$DM19)+K$83*('Cap Table'!$CP19+'Cap Table'!$CQ19)+K$96*('Cap Table'!$BT19+'Cap Table'!$BU19)+K$109*('Cap Table'!$AX19+'Cap Table'!$AY19)+('Cap Table'!$AB19+'Cap Table'!$AC19)*K$122+('Cap Table'!$I19+'Cap Table'!$J19)*K$133</f>
        <v>#DIV/0!</v>
      </c>
      <c r="L289" s="250" t="e">
        <f ca="1">('Cap Table'!$EH19+'Cap Table'!$EI19)*L$57+L$70*('Cap Table'!$DL19+'Cap Table'!$DM19)+L$83*('Cap Table'!$CP19+'Cap Table'!$CQ19)+L$96*('Cap Table'!$BT19+'Cap Table'!$BU19)+L$109*('Cap Table'!$AX19+'Cap Table'!$AY19)+('Cap Table'!$AB19+'Cap Table'!$AC19)*L$122+('Cap Table'!$I19+'Cap Table'!$J19)*L$133</f>
        <v>#DIV/0!</v>
      </c>
    </row>
    <row r="290" spans="2:12">
      <c r="B290" s="6" t="str">
        <f>'Cap Table'!B20</f>
        <v>na</v>
      </c>
      <c r="C290" s="217" t="str">
        <f>'Cap Table'!$D$61</f>
        <v>$</v>
      </c>
      <c r="D290" s="250" t="e">
        <f ca="1">('Cap Table'!$EH20+'Cap Table'!$EI20)*D$57+D$70*('Cap Table'!$DL20+'Cap Table'!$DM20)+D$83*('Cap Table'!$CP20+'Cap Table'!$CQ20)+D$96*('Cap Table'!$BT20+'Cap Table'!$BU20)+D$109*('Cap Table'!$AX20+'Cap Table'!$AY20)+('Cap Table'!$AB20+'Cap Table'!$AC20)*D$122+('Cap Table'!$I20+'Cap Table'!$J20)*D$133</f>
        <v>#DIV/0!</v>
      </c>
      <c r="E290" s="250" t="e">
        <f ca="1">('Cap Table'!$EH20+'Cap Table'!$EI20)*E$57+E$70*('Cap Table'!$DL20+'Cap Table'!$DM20)+E$83*('Cap Table'!$CP20+'Cap Table'!$CQ20)+E$96*('Cap Table'!$BT20+'Cap Table'!$BU20)+E$109*('Cap Table'!$AX20+'Cap Table'!$AY20)+('Cap Table'!$AB20+'Cap Table'!$AC20)*E$122+('Cap Table'!$I20+'Cap Table'!$J20)*E$133</f>
        <v>#DIV/0!</v>
      </c>
      <c r="F290" s="250" t="e">
        <f ca="1">('Cap Table'!$EH20+'Cap Table'!$EI20)*F$57+F$70*('Cap Table'!$DL20+'Cap Table'!$DM20)+F$83*('Cap Table'!$CP20+'Cap Table'!$CQ20)+F$96*('Cap Table'!$BT20+'Cap Table'!$BU20)+F$109*('Cap Table'!$AX20+'Cap Table'!$AY20)+('Cap Table'!$AB20+'Cap Table'!$AC20)*F$122+('Cap Table'!$I20+'Cap Table'!$J20)*F$133</f>
        <v>#DIV/0!</v>
      </c>
      <c r="G290" s="250" t="e">
        <f ca="1">('Cap Table'!$EH20+'Cap Table'!$EI20)*G$57+G$70*('Cap Table'!$DL20+'Cap Table'!$DM20)+G$83*('Cap Table'!$CP20+'Cap Table'!$CQ20)+G$96*('Cap Table'!$BT20+'Cap Table'!$BU20)+G$109*('Cap Table'!$AX20+'Cap Table'!$AY20)+('Cap Table'!$AB20+'Cap Table'!$AC20)*G$122+('Cap Table'!$I20+'Cap Table'!$J20)*G$133</f>
        <v>#DIV/0!</v>
      </c>
      <c r="H290" s="250" t="e">
        <f ca="1">('Cap Table'!$EH20+'Cap Table'!$EI20)*H$57+H$70*('Cap Table'!$DL20+'Cap Table'!$DM20)+H$83*('Cap Table'!$CP20+'Cap Table'!$CQ20)+H$96*('Cap Table'!$BT20+'Cap Table'!$BU20)+H$109*('Cap Table'!$AX20+'Cap Table'!$AY20)+('Cap Table'!$AB20+'Cap Table'!$AC20)*H$122+('Cap Table'!$I20+'Cap Table'!$J20)*H$133</f>
        <v>#DIV/0!</v>
      </c>
      <c r="I290" s="250" t="e">
        <f ca="1">('Cap Table'!$EH20+'Cap Table'!$EI20)*I$57+I$70*('Cap Table'!$DL20+'Cap Table'!$DM20)+I$83*('Cap Table'!$CP20+'Cap Table'!$CQ20)+I$96*('Cap Table'!$BT20+'Cap Table'!$BU20)+I$109*('Cap Table'!$AX20+'Cap Table'!$AY20)+('Cap Table'!$AB20+'Cap Table'!$AC20)*I$122+('Cap Table'!$I20+'Cap Table'!$J20)*I$133</f>
        <v>#DIV/0!</v>
      </c>
      <c r="J290" s="250" t="e">
        <f ca="1">('Cap Table'!$EH20+'Cap Table'!$EI20)*J$57+J$70*('Cap Table'!$DL20+'Cap Table'!$DM20)+J$83*('Cap Table'!$CP20+'Cap Table'!$CQ20)+J$96*('Cap Table'!$BT20+'Cap Table'!$BU20)+J$109*('Cap Table'!$AX20+'Cap Table'!$AY20)+('Cap Table'!$AB20+'Cap Table'!$AC20)*J$122+('Cap Table'!$I20+'Cap Table'!$J20)*J$133</f>
        <v>#DIV/0!</v>
      </c>
      <c r="K290" s="250" t="e">
        <f ca="1">('Cap Table'!$EH20+'Cap Table'!$EI20)*K$57+K$70*('Cap Table'!$DL20+'Cap Table'!$DM20)+K$83*('Cap Table'!$CP20+'Cap Table'!$CQ20)+K$96*('Cap Table'!$BT20+'Cap Table'!$BU20)+K$109*('Cap Table'!$AX20+'Cap Table'!$AY20)+('Cap Table'!$AB20+'Cap Table'!$AC20)*K$122+('Cap Table'!$I20+'Cap Table'!$J20)*K$133</f>
        <v>#DIV/0!</v>
      </c>
      <c r="L290" s="250" t="e">
        <f ca="1">('Cap Table'!$EH20+'Cap Table'!$EI20)*L$57+L$70*('Cap Table'!$DL20+'Cap Table'!$DM20)+L$83*('Cap Table'!$CP20+'Cap Table'!$CQ20)+L$96*('Cap Table'!$BT20+'Cap Table'!$BU20)+L$109*('Cap Table'!$AX20+'Cap Table'!$AY20)+('Cap Table'!$AB20+'Cap Table'!$AC20)*L$122+('Cap Table'!$I20+'Cap Table'!$J20)*L$133</f>
        <v>#DIV/0!</v>
      </c>
    </row>
    <row r="291" spans="2:12">
      <c r="B291" s="6" t="str">
        <f>'Cap Table'!B21</f>
        <v>na</v>
      </c>
      <c r="C291" s="217" t="str">
        <f>'Cap Table'!$D$61</f>
        <v>$</v>
      </c>
      <c r="D291" s="250" t="e">
        <f ca="1">('Cap Table'!$EH21+'Cap Table'!$EI21)*D$57+D$70*('Cap Table'!$DL21+'Cap Table'!$DM21)+D$83*('Cap Table'!$CP21+'Cap Table'!$CQ21)+D$96*('Cap Table'!$BT21+'Cap Table'!$BU21)+D$109*('Cap Table'!$AX21+'Cap Table'!$AY21)+('Cap Table'!$AB21+'Cap Table'!$AC21)*D$122+('Cap Table'!$I21+'Cap Table'!$J21)*D$133</f>
        <v>#DIV/0!</v>
      </c>
      <c r="E291" s="250" t="e">
        <f ca="1">('Cap Table'!$EH21+'Cap Table'!$EI21)*E$57+E$70*('Cap Table'!$DL21+'Cap Table'!$DM21)+E$83*('Cap Table'!$CP21+'Cap Table'!$CQ21)+E$96*('Cap Table'!$BT21+'Cap Table'!$BU21)+E$109*('Cap Table'!$AX21+'Cap Table'!$AY21)+('Cap Table'!$AB21+'Cap Table'!$AC21)*E$122+('Cap Table'!$I21+'Cap Table'!$J21)*E$133</f>
        <v>#DIV/0!</v>
      </c>
      <c r="F291" s="250" t="e">
        <f ca="1">('Cap Table'!$EH21+'Cap Table'!$EI21)*F$57+F$70*('Cap Table'!$DL21+'Cap Table'!$DM21)+F$83*('Cap Table'!$CP21+'Cap Table'!$CQ21)+F$96*('Cap Table'!$BT21+'Cap Table'!$BU21)+F$109*('Cap Table'!$AX21+'Cap Table'!$AY21)+('Cap Table'!$AB21+'Cap Table'!$AC21)*F$122+('Cap Table'!$I21+'Cap Table'!$J21)*F$133</f>
        <v>#DIV/0!</v>
      </c>
      <c r="G291" s="250" t="e">
        <f ca="1">('Cap Table'!$EH21+'Cap Table'!$EI21)*G$57+G$70*('Cap Table'!$DL21+'Cap Table'!$DM21)+G$83*('Cap Table'!$CP21+'Cap Table'!$CQ21)+G$96*('Cap Table'!$BT21+'Cap Table'!$BU21)+G$109*('Cap Table'!$AX21+'Cap Table'!$AY21)+('Cap Table'!$AB21+'Cap Table'!$AC21)*G$122+('Cap Table'!$I21+'Cap Table'!$J21)*G$133</f>
        <v>#DIV/0!</v>
      </c>
      <c r="H291" s="250" t="e">
        <f ca="1">('Cap Table'!$EH21+'Cap Table'!$EI21)*H$57+H$70*('Cap Table'!$DL21+'Cap Table'!$DM21)+H$83*('Cap Table'!$CP21+'Cap Table'!$CQ21)+H$96*('Cap Table'!$BT21+'Cap Table'!$BU21)+H$109*('Cap Table'!$AX21+'Cap Table'!$AY21)+('Cap Table'!$AB21+'Cap Table'!$AC21)*H$122+('Cap Table'!$I21+'Cap Table'!$J21)*H$133</f>
        <v>#DIV/0!</v>
      </c>
      <c r="I291" s="250" t="e">
        <f ca="1">('Cap Table'!$EH21+'Cap Table'!$EI21)*I$57+I$70*('Cap Table'!$DL21+'Cap Table'!$DM21)+I$83*('Cap Table'!$CP21+'Cap Table'!$CQ21)+I$96*('Cap Table'!$BT21+'Cap Table'!$BU21)+I$109*('Cap Table'!$AX21+'Cap Table'!$AY21)+('Cap Table'!$AB21+'Cap Table'!$AC21)*I$122+('Cap Table'!$I21+'Cap Table'!$J21)*I$133</f>
        <v>#DIV/0!</v>
      </c>
      <c r="J291" s="250" t="e">
        <f ca="1">('Cap Table'!$EH21+'Cap Table'!$EI21)*J$57+J$70*('Cap Table'!$DL21+'Cap Table'!$DM21)+J$83*('Cap Table'!$CP21+'Cap Table'!$CQ21)+J$96*('Cap Table'!$BT21+'Cap Table'!$BU21)+J$109*('Cap Table'!$AX21+'Cap Table'!$AY21)+('Cap Table'!$AB21+'Cap Table'!$AC21)*J$122+('Cap Table'!$I21+'Cap Table'!$J21)*J$133</f>
        <v>#DIV/0!</v>
      </c>
      <c r="K291" s="250" t="e">
        <f ca="1">('Cap Table'!$EH21+'Cap Table'!$EI21)*K$57+K$70*('Cap Table'!$DL21+'Cap Table'!$DM21)+K$83*('Cap Table'!$CP21+'Cap Table'!$CQ21)+K$96*('Cap Table'!$BT21+'Cap Table'!$BU21)+K$109*('Cap Table'!$AX21+'Cap Table'!$AY21)+('Cap Table'!$AB21+'Cap Table'!$AC21)*K$122+('Cap Table'!$I21+'Cap Table'!$J21)*K$133</f>
        <v>#DIV/0!</v>
      </c>
      <c r="L291" s="250" t="e">
        <f ca="1">('Cap Table'!$EH21+'Cap Table'!$EI21)*L$57+L$70*('Cap Table'!$DL21+'Cap Table'!$DM21)+L$83*('Cap Table'!$CP21+'Cap Table'!$CQ21)+L$96*('Cap Table'!$BT21+'Cap Table'!$BU21)+L$109*('Cap Table'!$AX21+'Cap Table'!$AY21)+('Cap Table'!$AB21+'Cap Table'!$AC21)*L$122+('Cap Table'!$I21+'Cap Table'!$J21)*L$133</f>
        <v>#DIV/0!</v>
      </c>
    </row>
    <row r="292" spans="2:12">
      <c r="B292" s="6" t="str">
        <f>'Cap Table'!B22</f>
        <v>na</v>
      </c>
      <c r="C292" s="217" t="str">
        <f>'Cap Table'!$D$61</f>
        <v>$</v>
      </c>
      <c r="D292" s="250" t="e">
        <f ca="1">('Cap Table'!$EH22+'Cap Table'!$EI22)*D$57+D$70*('Cap Table'!$DL22+'Cap Table'!$DM22)+D$83*('Cap Table'!$CP22+'Cap Table'!$CQ22)+D$96*('Cap Table'!$BT22+'Cap Table'!$BU22)+D$109*('Cap Table'!$AX22+'Cap Table'!$AY22)+('Cap Table'!$AB22+'Cap Table'!$AC22)*D$122+('Cap Table'!$I22+'Cap Table'!$J22)*D$133</f>
        <v>#DIV/0!</v>
      </c>
      <c r="E292" s="250" t="e">
        <f ca="1">('Cap Table'!$EH22+'Cap Table'!$EI22)*E$57+E$70*('Cap Table'!$DL22+'Cap Table'!$DM22)+E$83*('Cap Table'!$CP22+'Cap Table'!$CQ22)+E$96*('Cap Table'!$BT22+'Cap Table'!$BU22)+E$109*('Cap Table'!$AX22+'Cap Table'!$AY22)+('Cap Table'!$AB22+'Cap Table'!$AC22)*E$122+('Cap Table'!$I22+'Cap Table'!$J22)*E$133</f>
        <v>#DIV/0!</v>
      </c>
      <c r="F292" s="250" t="e">
        <f ca="1">('Cap Table'!$EH22+'Cap Table'!$EI22)*F$57+F$70*('Cap Table'!$DL22+'Cap Table'!$DM22)+F$83*('Cap Table'!$CP22+'Cap Table'!$CQ22)+F$96*('Cap Table'!$BT22+'Cap Table'!$BU22)+F$109*('Cap Table'!$AX22+'Cap Table'!$AY22)+('Cap Table'!$AB22+'Cap Table'!$AC22)*F$122+('Cap Table'!$I22+'Cap Table'!$J22)*F$133</f>
        <v>#DIV/0!</v>
      </c>
      <c r="G292" s="250" t="e">
        <f ca="1">('Cap Table'!$EH22+'Cap Table'!$EI22)*G$57+G$70*('Cap Table'!$DL22+'Cap Table'!$DM22)+G$83*('Cap Table'!$CP22+'Cap Table'!$CQ22)+G$96*('Cap Table'!$BT22+'Cap Table'!$BU22)+G$109*('Cap Table'!$AX22+'Cap Table'!$AY22)+('Cap Table'!$AB22+'Cap Table'!$AC22)*G$122+('Cap Table'!$I22+'Cap Table'!$J22)*G$133</f>
        <v>#DIV/0!</v>
      </c>
      <c r="H292" s="250" t="e">
        <f ca="1">('Cap Table'!$EH22+'Cap Table'!$EI22)*H$57+H$70*('Cap Table'!$DL22+'Cap Table'!$DM22)+H$83*('Cap Table'!$CP22+'Cap Table'!$CQ22)+H$96*('Cap Table'!$BT22+'Cap Table'!$BU22)+H$109*('Cap Table'!$AX22+'Cap Table'!$AY22)+('Cap Table'!$AB22+'Cap Table'!$AC22)*H$122+('Cap Table'!$I22+'Cap Table'!$J22)*H$133</f>
        <v>#DIV/0!</v>
      </c>
      <c r="I292" s="250" t="e">
        <f ca="1">('Cap Table'!$EH22+'Cap Table'!$EI22)*I$57+I$70*('Cap Table'!$DL22+'Cap Table'!$DM22)+I$83*('Cap Table'!$CP22+'Cap Table'!$CQ22)+I$96*('Cap Table'!$BT22+'Cap Table'!$BU22)+I$109*('Cap Table'!$AX22+'Cap Table'!$AY22)+('Cap Table'!$AB22+'Cap Table'!$AC22)*I$122+('Cap Table'!$I22+'Cap Table'!$J22)*I$133</f>
        <v>#DIV/0!</v>
      </c>
      <c r="J292" s="250" t="e">
        <f ca="1">('Cap Table'!$EH22+'Cap Table'!$EI22)*J$57+J$70*('Cap Table'!$DL22+'Cap Table'!$DM22)+J$83*('Cap Table'!$CP22+'Cap Table'!$CQ22)+J$96*('Cap Table'!$BT22+'Cap Table'!$BU22)+J$109*('Cap Table'!$AX22+'Cap Table'!$AY22)+('Cap Table'!$AB22+'Cap Table'!$AC22)*J$122+('Cap Table'!$I22+'Cap Table'!$J22)*J$133</f>
        <v>#DIV/0!</v>
      </c>
      <c r="K292" s="250" t="e">
        <f ca="1">('Cap Table'!$EH22+'Cap Table'!$EI22)*K$57+K$70*('Cap Table'!$DL22+'Cap Table'!$DM22)+K$83*('Cap Table'!$CP22+'Cap Table'!$CQ22)+K$96*('Cap Table'!$BT22+'Cap Table'!$BU22)+K$109*('Cap Table'!$AX22+'Cap Table'!$AY22)+('Cap Table'!$AB22+'Cap Table'!$AC22)*K$122+('Cap Table'!$I22+'Cap Table'!$J22)*K$133</f>
        <v>#DIV/0!</v>
      </c>
      <c r="L292" s="250" t="e">
        <f ca="1">('Cap Table'!$EH22+'Cap Table'!$EI22)*L$57+L$70*('Cap Table'!$DL22+'Cap Table'!$DM22)+L$83*('Cap Table'!$CP22+'Cap Table'!$CQ22)+L$96*('Cap Table'!$BT22+'Cap Table'!$BU22)+L$109*('Cap Table'!$AX22+'Cap Table'!$AY22)+('Cap Table'!$AB22+'Cap Table'!$AC22)*L$122+('Cap Table'!$I22+'Cap Table'!$J22)*L$133</f>
        <v>#DIV/0!</v>
      </c>
    </row>
    <row r="293" spans="2:12">
      <c r="B293" s="6" t="str">
        <f>'Cap Table'!B23</f>
        <v>na</v>
      </c>
      <c r="C293" s="217" t="str">
        <f>'Cap Table'!$D$61</f>
        <v>$</v>
      </c>
      <c r="D293" s="250" t="e">
        <f ca="1">('Cap Table'!$EH23+'Cap Table'!$EI23)*D$57+D$70*('Cap Table'!$DL23+'Cap Table'!$DM23)+D$83*('Cap Table'!$CP23+'Cap Table'!$CQ23)+D$96*('Cap Table'!$BT23+'Cap Table'!$BU23)+D$109*('Cap Table'!$AX23+'Cap Table'!$AY23)+('Cap Table'!$AB23+'Cap Table'!$AC23)*D$122+('Cap Table'!$I23+'Cap Table'!$J23)*D$133</f>
        <v>#DIV/0!</v>
      </c>
      <c r="E293" s="250" t="e">
        <f ca="1">('Cap Table'!$EH23+'Cap Table'!$EI23)*E$57+E$70*('Cap Table'!$DL23+'Cap Table'!$DM23)+E$83*('Cap Table'!$CP23+'Cap Table'!$CQ23)+E$96*('Cap Table'!$BT23+'Cap Table'!$BU23)+E$109*('Cap Table'!$AX23+'Cap Table'!$AY23)+('Cap Table'!$AB23+'Cap Table'!$AC23)*E$122+('Cap Table'!$I23+'Cap Table'!$J23)*E$133</f>
        <v>#DIV/0!</v>
      </c>
      <c r="F293" s="250" t="e">
        <f ca="1">('Cap Table'!$EH23+'Cap Table'!$EI23)*F$57+F$70*('Cap Table'!$DL23+'Cap Table'!$DM23)+F$83*('Cap Table'!$CP23+'Cap Table'!$CQ23)+F$96*('Cap Table'!$BT23+'Cap Table'!$BU23)+F$109*('Cap Table'!$AX23+'Cap Table'!$AY23)+('Cap Table'!$AB23+'Cap Table'!$AC23)*F$122+('Cap Table'!$I23+'Cap Table'!$J23)*F$133</f>
        <v>#DIV/0!</v>
      </c>
      <c r="G293" s="250" t="e">
        <f ca="1">('Cap Table'!$EH23+'Cap Table'!$EI23)*G$57+G$70*('Cap Table'!$DL23+'Cap Table'!$DM23)+G$83*('Cap Table'!$CP23+'Cap Table'!$CQ23)+G$96*('Cap Table'!$BT23+'Cap Table'!$BU23)+G$109*('Cap Table'!$AX23+'Cap Table'!$AY23)+('Cap Table'!$AB23+'Cap Table'!$AC23)*G$122+('Cap Table'!$I23+'Cap Table'!$J23)*G$133</f>
        <v>#DIV/0!</v>
      </c>
      <c r="H293" s="250" t="e">
        <f ca="1">('Cap Table'!$EH23+'Cap Table'!$EI23)*H$57+H$70*('Cap Table'!$DL23+'Cap Table'!$DM23)+H$83*('Cap Table'!$CP23+'Cap Table'!$CQ23)+H$96*('Cap Table'!$BT23+'Cap Table'!$BU23)+H$109*('Cap Table'!$AX23+'Cap Table'!$AY23)+('Cap Table'!$AB23+'Cap Table'!$AC23)*H$122+('Cap Table'!$I23+'Cap Table'!$J23)*H$133</f>
        <v>#DIV/0!</v>
      </c>
      <c r="I293" s="250" t="e">
        <f ca="1">('Cap Table'!$EH23+'Cap Table'!$EI23)*I$57+I$70*('Cap Table'!$DL23+'Cap Table'!$DM23)+I$83*('Cap Table'!$CP23+'Cap Table'!$CQ23)+I$96*('Cap Table'!$BT23+'Cap Table'!$BU23)+I$109*('Cap Table'!$AX23+'Cap Table'!$AY23)+('Cap Table'!$AB23+'Cap Table'!$AC23)*I$122+('Cap Table'!$I23+'Cap Table'!$J23)*I$133</f>
        <v>#DIV/0!</v>
      </c>
      <c r="J293" s="250" t="e">
        <f ca="1">('Cap Table'!$EH23+'Cap Table'!$EI23)*J$57+J$70*('Cap Table'!$DL23+'Cap Table'!$DM23)+J$83*('Cap Table'!$CP23+'Cap Table'!$CQ23)+J$96*('Cap Table'!$BT23+'Cap Table'!$BU23)+J$109*('Cap Table'!$AX23+'Cap Table'!$AY23)+('Cap Table'!$AB23+'Cap Table'!$AC23)*J$122+('Cap Table'!$I23+'Cap Table'!$J23)*J$133</f>
        <v>#DIV/0!</v>
      </c>
      <c r="K293" s="250" t="e">
        <f ca="1">('Cap Table'!$EH23+'Cap Table'!$EI23)*K$57+K$70*('Cap Table'!$DL23+'Cap Table'!$DM23)+K$83*('Cap Table'!$CP23+'Cap Table'!$CQ23)+K$96*('Cap Table'!$BT23+'Cap Table'!$BU23)+K$109*('Cap Table'!$AX23+'Cap Table'!$AY23)+('Cap Table'!$AB23+'Cap Table'!$AC23)*K$122+('Cap Table'!$I23+'Cap Table'!$J23)*K$133</f>
        <v>#DIV/0!</v>
      </c>
      <c r="L293" s="250" t="e">
        <f ca="1">('Cap Table'!$EH23+'Cap Table'!$EI23)*L$57+L$70*('Cap Table'!$DL23+'Cap Table'!$DM23)+L$83*('Cap Table'!$CP23+'Cap Table'!$CQ23)+L$96*('Cap Table'!$BT23+'Cap Table'!$BU23)+L$109*('Cap Table'!$AX23+'Cap Table'!$AY23)+('Cap Table'!$AB23+'Cap Table'!$AC23)*L$122+('Cap Table'!$I23+'Cap Table'!$J23)*L$133</f>
        <v>#DIV/0!</v>
      </c>
    </row>
    <row r="294" spans="2:12">
      <c r="B294" s="6" t="str">
        <f>'Cap Table'!B24</f>
        <v>na</v>
      </c>
      <c r="C294" s="217" t="str">
        <f>'Cap Table'!$D$61</f>
        <v>$</v>
      </c>
      <c r="D294" s="250" t="e">
        <f ca="1">('Cap Table'!$EH24+'Cap Table'!$EI24)*D$57+D$70*('Cap Table'!$DL24+'Cap Table'!$DM24)+D$83*('Cap Table'!$CP24+'Cap Table'!$CQ24)+D$96*('Cap Table'!$BT24+'Cap Table'!$BU24)+D$109*('Cap Table'!$AX24+'Cap Table'!$AY24)+('Cap Table'!$AB24+'Cap Table'!$AC24)*D$122+('Cap Table'!$I24+'Cap Table'!$J24)*D$133</f>
        <v>#DIV/0!</v>
      </c>
      <c r="E294" s="250" t="e">
        <f ca="1">('Cap Table'!$EH24+'Cap Table'!$EI24)*E$57+E$70*('Cap Table'!$DL24+'Cap Table'!$DM24)+E$83*('Cap Table'!$CP24+'Cap Table'!$CQ24)+E$96*('Cap Table'!$BT24+'Cap Table'!$BU24)+E$109*('Cap Table'!$AX24+'Cap Table'!$AY24)+('Cap Table'!$AB24+'Cap Table'!$AC24)*E$122+('Cap Table'!$I24+'Cap Table'!$J24)*E$133</f>
        <v>#DIV/0!</v>
      </c>
      <c r="F294" s="250" t="e">
        <f ca="1">('Cap Table'!$EH24+'Cap Table'!$EI24)*F$57+F$70*('Cap Table'!$DL24+'Cap Table'!$DM24)+F$83*('Cap Table'!$CP24+'Cap Table'!$CQ24)+F$96*('Cap Table'!$BT24+'Cap Table'!$BU24)+F$109*('Cap Table'!$AX24+'Cap Table'!$AY24)+('Cap Table'!$AB24+'Cap Table'!$AC24)*F$122+('Cap Table'!$I24+'Cap Table'!$J24)*F$133</f>
        <v>#DIV/0!</v>
      </c>
      <c r="G294" s="250" t="e">
        <f ca="1">('Cap Table'!$EH24+'Cap Table'!$EI24)*G$57+G$70*('Cap Table'!$DL24+'Cap Table'!$DM24)+G$83*('Cap Table'!$CP24+'Cap Table'!$CQ24)+G$96*('Cap Table'!$BT24+'Cap Table'!$BU24)+G$109*('Cap Table'!$AX24+'Cap Table'!$AY24)+('Cap Table'!$AB24+'Cap Table'!$AC24)*G$122+('Cap Table'!$I24+'Cap Table'!$J24)*G$133</f>
        <v>#DIV/0!</v>
      </c>
      <c r="H294" s="250" t="e">
        <f ca="1">('Cap Table'!$EH24+'Cap Table'!$EI24)*H$57+H$70*('Cap Table'!$DL24+'Cap Table'!$DM24)+H$83*('Cap Table'!$CP24+'Cap Table'!$CQ24)+H$96*('Cap Table'!$BT24+'Cap Table'!$BU24)+H$109*('Cap Table'!$AX24+'Cap Table'!$AY24)+('Cap Table'!$AB24+'Cap Table'!$AC24)*H$122+('Cap Table'!$I24+'Cap Table'!$J24)*H$133</f>
        <v>#DIV/0!</v>
      </c>
      <c r="I294" s="250" t="e">
        <f ca="1">('Cap Table'!$EH24+'Cap Table'!$EI24)*I$57+I$70*('Cap Table'!$DL24+'Cap Table'!$DM24)+I$83*('Cap Table'!$CP24+'Cap Table'!$CQ24)+I$96*('Cap Table'!$BT24+'Cap Table'!$BU24)+I$109*('Cap Table'!$AX24+'Cap Table'!$AY24)+('Cap Table'!$AB24+'Cap Table'!$AC24)*I$122+('Cap Table'!$I24+'Cap Table'!$J24)*I$133</f>
        <v>#DIV/0!</v>
      </c>
      <c r="J294" s="250" t="e">
        <f ca="1">('Cap Table'!$EH24+'Cap Table'!$EI24)*J$57+J$70*('Cap Table'!$DL24+'Cap Table'!$DM24)+J$83*('Cap Table'!$CP24+'Cap Table'!$CQ24)+J$96*('Cap Table'!$BT24+'Cap Table'!$BU24)+J$109*('Cap Table'!$AX24+'Cap Table'!$AY24)+('Cap Table'!$AB24+'Cap Table'!$AC24)*J$122+('Cap Table'!$I24+'Cap Table'!$J24)*J$133</f>
        <v>#DIV/0!</v>
      </c>
      <c r="K294" s="250" t="e">
        <f ca="1">('Cap Table'!$EH24+'Cap Table'!$EI24)*K$57+K$70*('Cap Table'!$DL24+'Cap Table'!$DM24)+K$83*('Cap Table'!$CP24+'Cap Table'!$CQ24)+K$96*('Cap Table'!$BT24+'Cap Table'!$BU24)+K$109*('Cap Table'!$AX24+'Cap Table'!$AY24)+('Cap Table'!$AB24+'Cap Table'!$AC24)*K$122+('Cap Table'!$I24+'Cap Table'!$J24)*K$133</f>
        <v>#DIV/0!</v>
      </c>
      <c r="L294" s="250" t="e">
        <f ca="1">('Cap Table'!$EH24+'Cap Table'!$EI24)*L$57+L$70*('Cap Table'!$DL24+'Cap Table'!$DM24)+L$83*('Cap Table'!$CP24+'Cap Table'!$CQ24)+L$96*('Cap Table'!$BT24+'Cap Table'!$BU24)+L$109*('Cap Table'!$AX24+'Cap Table'!$AY24)+('Cap Table'!$AB24+'Cap Table'!$AC24)*L$122+('Cap Table'!$I24+'Cap Table'!$J24)*L$133</f>
        <v>#DIV/0!</v>
      </c>
    </row>
    <row r="295" spans="2:12">
      <c r="B295" s="6" t="str">
        <f>'Cap Table'!B25</f>
        <v>na</v>
      </c>
      <c r="C295" s="217" t="str">
        <f>'Cap Table'!$D$61</f>
        <v>$</v>
      </c>
      <c r="D295" s="250" t="e">
        <f ca="1">('Cap Table'!$EH25+'Cap Table'!$EI25)*D$57+D$70*('Cap Table'!$DL25+'Cap Table'!$DM25)+D$83*('Cap Table'!$CP25+'Cap Table'!$CQ25)+D$96*('Cap Table'!$BT25+'Cap Table'!$BU25)+D$109*('Cap Table'!$AX25+'Cap Table'!$AY25)+('Cap Table'!$AB25+'Cap Table'!$AC25)*D$122+('Cap Table'!$I25+'Cap Table'!$J25)*D$133</f>
        <v>#DIV/0!</v>
      </c>
      <c r="E295" s="250" t="e">
        <f ca="1">('Cap Table'!$EH25+'Cap Table'!$EI25)*E$57+E$70*('Cap Table'!$DL25+'Cap Table'!$DM25)+E$83*('Cap Table'!$CP25+'Cap Table'!$CQ25)+E$96*('Cap Table'!$BT25+'Cap Table'!$BU25)+E$109*('Cap Table'!$AX25+'Cap Table'!$AY25)+('Cap Table'!$AB25+'Cap Table'!$AC25)*E$122+('Cap Table'!$I25+'Cap Table'!$J25)*E$133</f>
        <v>#DIV/0!</v>
      </c>
      <c r="F295" s="250" t="e">
        <f ca="1">('Cap Table'!$EH25+'Cap Table'!$EI25)*F$57+F$70*('Cap Table'!$DL25+'Cap Table'!$DM25)+F$83*('Cap Table'!$CP25+'Cap Table'!$CQ25)+F$96*('Cap Table'!$BT25+'Cap Table'!$BU25)+F$109*('Cap Table'!$AX25+'Cap Table'!$AY25)+('Cap Table'!$AB25+'Cap Table'!$AC25)*F$122+('Cap Table'!$I25+'Cap Table'!$J25)*F$133</f>
        <v>#DIV/0!</v>
      </c>
      <c r="G295" s="250" t="e">
        <f ca="1">('Cap Table'!$EH25+'Cap Table'!$EI25)*G$57+G$70*('Cap Table'!$DL25+'Cap Table'!$DM25)+G$83*('Cap Table'!$CP25+'Cap Table'!$CQ25)+G$96*('Cap Table'!$BT25+'Cap Table'!$BU25)+G$109*('Cap Table'!$AX25+'Cap Table'!$AY25)+('Cap Table'!$AB25+'Cap Table'!$AC25)*G$122+('Cap Table'!$I25+'Cap Table'!$J25)*G$133</f>
        <v>#DIV/0!</v>
      </c>
      <c r="H295" s="250" t="e">
        <f ca="1">('Cap Table'!$EH25+'Cap Table'!$EI25)*H$57+H$70*('Cap Table'!$DL25+'Cap Table'!$DM25)+H$83*('Cap Table'!$CP25+'Cap Table'!$CQ25)+H$96*('Cap Table'!$BT25+'Cap Table'!$BU25)+H$109*('Cap Table'!$AX25+'Cap Table'!$AY25)+('Cap Table'!$AB25+'Cap Table'!$AC25)*H$122+('Cap Table'!$I25+'Cap Table'!$J25)*H$133</f>
        <v>#DIV/0!</v>
      </c>
      <c r="I295" s="250" t="e">
        <f ca="1">('Cap Table'!$EH25+'Cap Table'!$EI25)*I$57+I$70*('Cap Table'!$DL25+'Cap Table'!$DM25)+I$83*('Cap Table'!$CP25+'Cap Table'!$CQ25)+I$96*('Cap Table'!$BT25+'Cap Table'!$BU25)+I$109*('Cap Table'!$AX25+'Cap Table'!$AY25)+('Cap Table'!$AB25+'Cap Table'!$AC25)*I$122+('Cap Table'!$I25+'Cap Table'!$J25)*I$133</f>
        <v>#DIV/0!</v>
      </c>
      <c r="J295" s="250" t="e">
        <f ca="1">('Cap Table'!$EH25+'Cap Table'!$EI25)*J$57+J$70*('Cap Table'!$DL25+'Cap Table'!$DM25)+J$83*('Cap Table'!$CP25+'Cap Table'!$CQ25)+J$96*('Cap Table'!$BT25+'Cap Table'!$BU25)+J$109*('Cap Table'!$AX25+'Cap Table'!$AY25)+('Cap Table'!$AB25+'Cap Table'!$AC25)*J$122+('Cap Table'!$I25+'Cap Table'!$J25)*J$133</f>
        <v>#DIV/0!</v>
      </c>
      <c r="K295" s="250" t="e">
        <f ca="1">('Cap Table'!$EH25+'Cap Table'!$EI25)*K$57+K$70*('Cap Table'!$DL25+'Cap Table'!$DM25)+K$83*('Cap Table'!$CP25+'Cap Table'!$CQ25)+K$96*('Cap Table'!$BT25+'Cap Table'!$BU25)+K$109*('Cap Table'!$AX25+'Cap Table'!$AY25)+('Cap Table'!$AB25+'Cap Table'!$AC25)*K$122+('Cap Table'!$I25+'Cap Table'!$J25)*K$133</f>
        <v>#DIV/0!</v>
      </c>
      <c r="L295" s="250" t="e">
        <f ca="1">('Cap Table'!$EH25+'Cap Table'!$EI25)*L$57+L$70*('Cap Table'!$DL25+'Cap Table'!$DM25)+L$83*('Cap Table'!$CP25+'Cap Table'!$CQ25)+L$96*('Cap Table'!$BT25+'Cap Table'!$BU25)+L$109*('Cap Table'!$AX25+'Cap Table'!$AY25)+('Cap Table'!$AB25+'Cap Table'!$AC25)*L$122+('Cap Table'!$I25+'Cap Table'!$J25)*L$133</f>
        <v>#DIV/0!</v>
      </c>
    </row>
    <row r="296" spans="2:12">
      <c r="B296" s="6" t="str">
        <f>'Cap Table'!B26</f>
        <v>na</v>
      </c>
      <c r="C296" s="217" t="str">
        <f>'Cap Table'!$D$61</f>
        <v>$</v>
      </c>
      <c r="D296" s="250" t="e">
        <f ca="1">('Cap Table'!$EH26+'Cap Table'!$EI26)*D$57+D$70*('Cap Table'!$DL26+'Cap Table'!$DM26)+D$83*('Cap Table'!$CP26+'Cap Table'!$CQ26)+D$96*('Cap Table'!$BT26+'Cap Table'!$BU26)+D$109*('Cap Table'!$AX26+'Cap Table'!$AY26)+('Cap Table'!$AB26+'Cap Table'!$AC26)*D$122+('Cap Table'!$I26+'Cap Table'!$J26)*D$133</f>
        <v>#DIV/0!</v>
      </c>
      <c r="E296" s="250" t="e">
        <f ca="1">('Cap Table'!$EH26+'Cap Table'!$EI26)*E$57+E$70*('Cap Table'!$DL26+'Cap Table'!$DM26)+E$83*('Cap Table'!$CP26+'Cap Table'!$CQ26)+E$96*('Cap Table'!$BT26+'Cap Table'!$BU26)+E$109*('Cap Table'!$AX26+'Cap Table'!$AY26)+('Cap Table'!$AB26+'Cap Table'!$AC26)*E$122+('Cap Table'!$I26+'Cap Table'!$J26)*E$133</f>
        <v>#DIV/0!</v>
      </c>
      <c r="F296" s="250" t="e">
        <f ca="1">('Cap Table'!$EH26+'Cap Table'!$EI26)*F$57+F$70*('Cap Table'!$DL26+'Cap Table'!$DM26)+F$83*('Cap Table'!$CP26+'Cap Table'!$CQ26)+F$96*('Cap Table'!$BT26+'Cap Table'!$BU26)+F$109*('Cap Table'!$AX26+'Cap Table'!$AY26)+('Cap Table'!$AB26+'Cap Table'!$AC26)*F$122+('Cap Table'!$I26+'Cap Table'!$J26)*F$133</f>
        <v>#DIV/0!</v>
      </c>
      <c r="G296" s="250" t="e">
        <f ca="1">('Cap Table'!$EH26+'Cap Table'!$EI26)*G$57+G$70*('Cap Table'!$DL26+'Cap Table'!$DM26)+G$83*('Cap Table'!$CP26+'Cap Table'!$CQ26)+G$96*('Cap Table'!$BT26+'Cap Table'!$BU26)+G$109*('Cap Table'!$AX26+'Cap Table'!$AY26)+('Cap Table'!$AB26+'Cap Table'!$AC26)*G$122+('Cap Table'!$I26+'Cap Table'!$J26)*G$133</f>
        <v>#DIV/0!</v>
      </c>
      <c r="H296" s="250" t="e">
        <f ca="1">('Cap Table'!$EH26+'Cap Table'!$EI26)*H$57+H$70*('Cap Table'!$DL26+'Cap Table'!$DM26)+H$83*('Cap Table'!$CP26+'Cap Table'!$CQ26)+H$96*('Cap Table'!$BT26+'Cap Table'!$BU26)+H$109*('Cap Table'!$AX26+'Cap Table'!$AY26)+('Cap Table'!$AB26+'Cap Table'!$AC26)*H$122+('Cap Table'!$I26+'Cap Table'!$J26)*H$133</f>
        <v>#DIV/0!</v>
      </c>
      <c r="I296" s="250" t="e">
        <f ca="1">('Cap Table'!$EH26+'Cap Table'!$EI26)*I$57+I$70*('Cap Table'!$DL26+'Cap Table'!$DM26)+I$83*('Cap Table'!$CP26+'Cap Table'!$CQ26)+I$96*('Cap Table'!$BT26+'Cap Table'!$BU26)+I$109*('Cap Table'!$AX26+'Cap Table'!$AY26)+('Cap Table'!$AB26+'Cap Table'!$AC26)*I$122+('Cap Table'!$I26+'Cap Table'!$J26)*I$133</f>
        <v>#DIV/0!</v>
      </c>
      <c r="J296" s="250" t="e">
        <f ca="1">('Cap Table'!$EH26+'Cap Table'!$EI26)*J$57+J$70*('Cap Table'!$DL26+'Cap Table'!$DM26)+J$83*('Cap Table'!$CP26+'Cap Table'!$CQ26)+J$96*('Cap Table'!$BT26+'Cap Table'!$BU26)+J$109*('Cap Table'!$AX26+'Cap Table'!$AY26)+('Cap Table'!$AB26+'Cap Table'!$AC26)*J$122+('Cap Table'!$I26+'Cap Table'!$J26)*J$133</f>
        <v>#DIV/0!</v>
      </c>
      <c r="K296" s="250" t="e">
        <f ca="1">('Cap Table'!$EH26+'Cap Table'!$EI26)*K$57+K$70*('Cap Table'!$DL26+'Cap Table'!$DM26)+K$83*('Cap Table'!$CP26+'Cap Table'!$CQ26)+K$96*('Cap Table'!$BT26+'Cap Table'!$BU26)+K$109*('Cap Table'!$AX26+'Cap Table'!$AY26)+('Cap Table'!$AB26+'Cap Table'!$AC26)*K$122+('Cap Table'!$I26+'Cap Table'!$J26)*K$133</f>
        <v>#DIV/0!</v>
      </c>
      <c r="L296" s="250" t="e">
        <f ca="1">('Cap Table'!$EH26+'Cap Table'!$EI26)*L$57+L$70*('Cap Table'!$DL26+'Cap Table'!$DM26)+L$83*('Cap Table'!$CP26+'Cap Table'!$CQ26)+L$96*('Cap Table'!$BT26+'Cap Table'!$BU26)+L$109*('Cap Table'!$AX26+'Cap Table'!$AY26)+('Cap Table'!$AB26+'Cap Table'!$AC26)*L$122+('Cap Table'!$I26+'Cap Table'!$J26)*L$133</f>
        <v>#DIV/0!</v>
      </c>
    </row>
    <row r="297" spans="2:12">
      <c r="B297" s="6" t="str">
        <f>'Cap Table'!B27</f>
        <v>Options - Granted</v>
      </c>
      <c r="C297" s="217" t="str">
        <f>'Cap Table'!$D$61</f>
        <v>$</v>
      </c>
      <c r="D297" s="250" t="e">
        <f ca="1">'Cap Table'!$EL27*D$133</f>
        <v>#DIV/0!</v>
      </c>
      <c r="E297" s="250" t="e">
        <f ca="1">'Cap Table'!$EL27*E$133</f>
        <v>#DIV/0!</v>
      </c>
      <c r="F297" s="250" t="e">
        <f ca="1">'Cap Table'!$EL27*F$133</f>
        <v>#DIV/0!</v>
      </c>
      <c r="G297" s="250" t="e">
        <f ca="1">'Cap Table'!$EL27*G$133</f>
        <v>#DIV/0!</v>
      </c>
      <c r="H297" s="250" t="e">
        <f ca="1">'Cap Table'!$EL27*H$133</f>
        <v>#DIV/0!</v>
      </c>
      <c r="I297" s="250" t="e">
        <f ca="1">'Cap Table'!$EL27*I$133</f>
        <v>#DIV/0!</v>
      </c>
      <c r="J297" s="250" t="e">
        <f ca="1">'Cap Table'!$EL27*J$133</f>
        <v>#DIV/0!</v>
      </c>
      <c r="K297" s="250" t="e">
        <f ca="1">'Cap Table'!$EL27*K$133</f>
        <v>#DIV/0!</v>
      </c>
      <c r="L297" s="250" t="e">
        <f ca="1">'Cap Table'!$EL27*L$133</f>
        <v>#DIV/0!</v>
      </c>
    </row>
    <row r="298" spans="2:12">
      <c r="B298" s="6" t="str">
        <f>'Cap Table'!B28</f>
        <v>Option Pool - Available, Ungranted</v>
      </c>
      <c r="C298" s="217" t="str">
        <f>'Cap Table'!$D$61</f>
        <v>$</v>
      </c>
      <c r="D298" s="250">
        <v>0</v>
      </c>
      <c r="E298" s="250">
        <v>0</v>
      </c>
      <c r="F298" s="250">
        <v>0</v>
      </c>
      <c r="G298" s="250">
        <v>0</v>
      </c>
      <c r="H298" s="250">
        <v>0</v>
      </c>
      <c r="I298" s="250">
        <v>0</v>
      </c>
      <c r="J298" s="250">
        <v>0</v>
      </c>
      <c r="K298" s="250">
        <v>0</v>
      </c>
      <c r="L298" s="250">
        <v>0</v>
      </c>
    </row>
    <row r="299" spans="2:12">
      <c r="B299" s="6" t="s">
        <v>20</v>
      </c>
      <c r="C299" s="217" t="str">
        <f>'Cap Table'!$D$61</f>
        <v>$</v>
      </c>
      <c r="D299" s="88" t="e">
        <f t="shared" ref="D299:L299" ca="1" si="118">SUM(D276:D298)</f>
        <v>#DIV/0!</v>
      </c>
      <c r="E299" s="88" t="e">
        <f t="shared" ca="1" si="118"/>
        <v>#DIV/0!</v>
      </c>
      <c r="F299" s="88" t="e">
        <f t="shared" ca="1" si="118"/>
        <v>#DIV/0!</v>
      </c>
      <c r="G299" s="88" t="e">
        <f t="shared" ca="1" si="118"/>
        <v>#DIV/0!</v>
      </c>
      <c r="H299" s="88" t="e">
        <f t="shared" ca="1" si="118"/>
        <v>#DIV/0!</v>
      </c>
      <c r="I299" s="88" t="e">
        <f t="shared" ca="1" si="118"/>
        <v>#DIV/0!</v>
      </c>
      <c r="J299" s="88" t="e">
        <f t="shared" ca="1" si="118"/>
        <v>#DIV/0!</v>
      </c>
      <c r="K299" s="88" t="e">
        <f t="shared" ca="1" si="118"/>
        <v>#DIV/0!</v>
      </c>
      <c r="L299" s="88" t="e">
        <f t="shared" ca="1" si="118"/>
        <v>#DIV/0!</v>
      </c>
    </row>
    <row r="300" spans="2:12">
      <c r="D300" s="6" t="e">
        <f t="shared" ref="D300:L300" ca="1" si="119">D299-D41</f>
        <v>#DIV/0!</v>
      </c>
      <c r="E300" s="6" t="e">
        <f t="shared" ca="1" si="119"/>
        <v>#DIV/0!</v>
      </c>
      <c r="F300" s="6" t="e">
        <f t="shared" ca="1" si="119"/>
        <v>#DIV/0!</v>
      </c>
      <c r="G300" s="6" t="e">
        <f t="shared" ca="1" si="119"/>
        <v>#DIV/0!</v>
      </c>
      <c r="H300" s="6" t="e">
        <f t="shared" ca="1" si="119"/>
        <v>#DIV/0!</v>
      </c>
      <c r="I300" s="6" t="e">
        <f t="shared" ca="1" si="119"/>
        <v>#DIV/0!</v>
      </c>
      <c r="J300" s="6" t="e">
        <f t="shared" ca="1" si="119"/>
        <v>#DIV/0!</v>
      </c>
      <c r="K300" s="6" t="e">
        <f t="shared" ca="1" si="119"/>
        <v>#DIV/0!</v>
      </c>
      <c r="L300" s="6" t="e">
        <f t="shared" ca="1" si="119"/>
        <v>#DIV/0!</v>
      </c>
    </row>
  </sheetData>
  <dataValidations count="2">
    <dataValidation type="list" allowBlank="1" showInputMessage="1" showErrorMessage="1" sqref="D35:I35" xr:uid="{00000000-0002-0000-0500-000000000000}">
      <formula1>"Non Participating Preferred,Full Participating Preferred,Participating Preferred with a Cap"</formula1>
    </dataValidation>
    <dataValidation type="list" allowBlank="1" showInputMessage="1" showErrorMessage="1" sqref="D11" xr:uid="{00000000-0002-0000-0500-000001000000}">
      <formula1>"no,yes"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46"/>
  <sheetViews>
    <sheetView showGridLines="0" workbookViewId="0">
      <pane xSplit="2" topLeftCell="C1" activePane="topRight" state="frozen"/>
      <selection activeCell="B47" sqref="B47"/>
      <selection pane="topRight" activeCell="B47" sqref="B47"/>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2.83203125" style="2" customWidth="1"/>
    <col min="7" max="11" width="18.6640625" style="2" customWidth="1"/>
    <col min="12" max="15" width="10.83203125" style="2"/>
    <col min="16" max="16" width="12.6640625" style="2" customWidth="1"/>
    <col min="17" max="16384" width="10.83203125" style="2"/>
  </cols>
  <sheetData>
    <row r="2" spans="2:12">
      <c r="B2" s="19" t="s">
        <v>53</v>
      </c>
    </row>
    <row r="3" spans="2:12">
      <c r="B3" s="34" t="s">
        <v>58</v>
      </c>
    </row>
    <row r="6" spans="2:12" ht="36">
      <c r="B6" s="28" t="s">
        <v>55</v>
      </c>
      <c r="C6" s="27" t="s">
        <v>413</v>
      </c>
      <c r="D6" s="27" t="s">
        <v>39</v>
      </c>
      <c r="F6" s="27" t="s">
        <v>61</v>
      </c>
      <c r="G6" s="27" t="s">
        <v>62</v>
      </c>
      <c r="H6" s="27" t="s">
        <v>117</v>
      </c>
      <c r="I6" s="27" t="s">
        <v>413</v>
      </c>
      <c r="J6" s="27" t="s">
        <v>39</v>
      </c>
      <c r="K6" s="27" t="s">
        <v>63</v>
      </c>
    </row>
    <row r="8" spans="2:12">
      <c r="B8" s="13" t="s">
        <v>57</v>
      </c>
      <c r="C8" s="14">
        <f>D8*C$17</f>
        <v>6000000</v>
      </c>
      <c r="D8" s="29">
        <v>0.6</v>
      </c>
      <c r="E8" s="10" t="s">
        <v>78</v>
      </c>
      <c r="F8" s="13">
        <v>0</v>
      </c>
      <c r="G8" s="37">
        <f>G$24</f>
        <v>0.3</v>
      </c>
      <c r="H8" s="10">
        <f>IFERROR(F8/G8,0)</f>
        <v>0</v>
      </c>
      <c r="I8" s="6">
        <f>H8+C8</f>
        <v>6000000</v>
      </c>
      <c r="J8" s="35">
        <f>IFERROR(I8/I$17,0)</f>
        <v>0.48</v>
      </c>
      <c r="K8" s="4">
        <f>I8*G$24</f>
        <v>1800000</v>
      </c>
      <c r="L8" s="10" t="s">
        <v>80</v>
      </c>
    </row>
    <row r="9" spans="2:12">
      <c r="B9" s="13" t="s">
        <v>57</v>
      </c>
      <c r="C9" s="14">
        <f>D9*C$17</f>
        <v>3000000</v>
      </c>
      <c r="D9" s="29">
        <v>0.3</v>
      </c>
      <c r="F9" s="13">
        <v>0</v>
      </c>
      <c r="G9" s="37">
        <f>G$24</f>
        <v>0.3</v>
      </c>
      <c r="H9" s="10">
        <f>IFERROR(F9/G9,0)</f>
        <v>0</v>
      </c>
      <c r="I9" s="6">
        <f>H9+C9</f>
        <v>3000000</v>
      </c>
      <c r="J9" s="35">
        <f>IFERROR(I9/I$17,0)</f>
        <v>0.24</v>
      </c>
      <c r="K9" s="4">
        <f>I9*G$24</f>
        <v>900000</v>
      </c>
    </row>
    <row r="10" spans="2:12">
      <c r="B10" s="13" t="s">
        <v>59</v>
      </c>
      <c r="C10" s="14">
        <f>D10*C$17</f>
        <v>500000</v>
      </c>
      <c r="D10" s="29">
        <v>0.05</v>
      </c>
      <c r="F10" s="13">
        <v>0</v>
      </c>
      <c r="G10" s="37">
        <f>G$24</f>
        <v>0.3</v>
      </c>
      <c r="H10" s="10">
        <f>IFERROR(F10/G10,0)</f>
        <v>0</v>
      </c>
      <c r="I10" s="6">
        <f t="shared" ref="I10:I15" si="0">H10+C10</f>
        <v>500000</v>
      </c>
      <c r="J10" s="35">
        <f>IFERROR(I10/I$17,0)</f>
        <v>0.04</v>
      </c>
      <c r="K10" s="4">
        <f>I10*G$24</f>
        <v>150000</v>
      </c>
    </row>
    <row r="11" spans="2:12">
      <c r="B11" s="13" t="s">
        <v>59</v>
      </c>
      <c r="C11" s="14">
        <f>D11*C$17</f>
        <v>300000</v>
      </c>
      <c r="D11" s="29">
        <v>0.03</v>
      </c>
      <c r="F11" s="13">
        <v>0</v>
      </c>
      <c r="G11" s="37">
        <f>G$24</f>
        <v>0.3</v>
      </c>
      <c r="H11" s="10">
        <f>IFERROR(F11/G11,0)</f>
        <v>0</v>
      </c>
      <c r="I11" s="6">
        <f t="shared" si="0"/>
        <v>300000</v>
      </c>
      <c r="J11" s="35">
        <f>IFERROR(I11/I$17,0)</f>
        <v>2.4E-2</v>
      </c>
      <c r="K11" s="4">
        <f>I11*G$24</f>
        <v>90000</v>
      </c>
    </row>
    <row r="12" spans="2:12">
      <c r="B12" s="13" t="s">
        <v>59</v>
      </c>
      <c r="C12" s="14">
        <f>D12*C$17</f>
        <v>200000</v>
      </c>
      <c r="D12" s="29">
        <v>0.02</v>
      </c>
      <c r="F12" s="13">
        <v>0</v>
      </c>
      <c r="G12" s="37">
        <f>G$24</f>
        <v>0.3</v>
      </c>
      <c r="H12" s="10">
        <f>IFERROR(F12/G12,0)</f>
        <v>0</v>
      </c>
      <c r="I12" s="6">
        <f t="shared" si="0"/>
        <v>200000</v>
      </c>
      <c r="J12" s="35">
        <f>IFERROR(I12/I$17,0)</f>
        <v>1.6E-2</v>
      </c>
      <c r="K12" s="4">
        <f>I12*G$24</f>
        <v>60000</v>
      </c>
    </row>
    <row r="13" spans="2:12">
      <c r="D13" s="36"/>
    </row>
    <row r="14" spans="2:12">
      <c r="B14" s="13" t="s">
        <v>60</v>
      </c>
      <c r="C14" s="14">
        <f>D14*C$17</f>
        <v>0</v>
      </c>
      <c r="D14" s="29">
        <v>0</v>
      </c>
      <c r="E14" s="10" t="s">
        <v>87</v>
      </c>
      <c r="F14" s="13">
        <v>500000</v>
      </c>
      <c r="G14" s="37">
        <f>G$24</f>
        <v>0.3</v>
      </c>
      <c r="H14" s="4">
        <f>IFERROR(F14/G14,0)</f>
        <v>1666666.6666666667</v>
      </c>
      <c r="I14" s="6">
        <f t="shared" si="0"/>
        <v>1666666.6666666667</v>
      </c>
      <c r="J14" s="35">
        <f>IFERROR(I14/I$17,0)</f>
        <v>0.13333333333333333</v>
      </c>
      <c r="K14" s="4">
        <f>I14*G$24</f>
        <v>500000</v>
      </c>
    </row>
    <row r="15" spans="2:12">
      <c r="B15" s="13" t="s">
        <v>64</v>
      </c>
      <c r="C15" s="14">
        <f>D15*C$17</f>
        <v>0</v>
      </c>
      <c r="D15" s="29">
        <v>0</v>
      </c>
      <c r="F15" s="13">
        <v>250000</v>
      </c>
      <c r="G15" s="37">
        <f>G$24</f>
        <v>0.3</v>
      </c>
      <c r="H15" s="4">
        <f>IFERROR(F15/G15,0)</f>
        <v>833333.33333333337</v>
      </c>
      <c r="I15" s="6">
        <f t="shared" si="0"/>
        <v>833333.33333333337</v>
      </c>
      <c r="J15" s="35">
        <f>IFERROR(I15/I$17,0)</f>
        <v>6.6666666666666666E-2</v>
      </c>
      <c r="K15" s="4">
        <f>I15*G$24</f>
        <v>250000</v>
      </c>
    </row>
    <row r="16" spans="2:12">
      <c r="D16" s="36"/>
    </row>
    <row r="17" spans="2:12">
      <c r="B17" s="38" t="s">
        <v>20</v>
      </c>
      <c r="C17" s="12">
        <v>10000000</v>
      </c>
      <c r="D17" s="39">
        <f>SUM(D8:D12,D14:D15)</f>
        <v>1</v>
      </c>
      <c r="E17" s="10" t="s">
        <v>82</v>
      </c>
      <c r="F17" s="8">
        <f>SUM(F8:F12,F14:F15)</f>
        <v>750000</v>
      </c>
      <c r="G17" s="38"/>
      <c r="H17" s="8">
        <f>SUM(H8:H12,H14:H15)</f>
        <v>2500000</v>
      </c>
      <c r="I17" s="8">
        <f>SUM(I8:I12,I14:I15)</f>
        <v>12500000</v>
      </c>
      <c r="J17" s="39">
        <f>SUM(J8:J12,J14:J15)</f>
        <v>1</v>
      </c>
      <c r="K17" s="8">
        <f>SUM(K8:K12,K14:K15)</f>
        <v>3750000</v>
      </c>
      <c r="L17" s="10" t="s">
        <v>83</v>
      </c>
    </row>
    <row r="20" spans="2:12">
      <c r="F20" s="34" t="s">
        <v>65</v>
      </c>
    </row>
    <row r="21" spans="2:12">
      <c r="F21" s="2" t="s">
        <v>67</v>
      </c>
      <c r="G21" s="6">
        <f>F17</f>
        <v>750000</v>
      </c>
    </row>
    <row r="22" spans="2:12">
      <c r="F22" s="2" t="s">
        <v>66</v>
      </c>
      <c r="G22" s="13">
        <v>3000000</v>
      </c>
      <c r="H22" s="10" t="s">
        <v>79</v>
      </c>
    </row>
    <row r="23" spans="2:12">
      <c r="F23" s="2" t="s">
        <v>103</v>
      </c>
      <c r="G23" s="6">
        <f>G22+G21</f>
        <v>3750000</v>
      </c>
      <c r="H23" s="10" t="s">
        <v>79</v>
      </c>
    </row>
    <row r="24" spans="2:12">
      <c r="F24" s="2" t="s">
        <v>62</v>
      </c>
      <c r="G24" s="37">
        <f>G22/C17</f>
        <v>0.3</v>
      </c>
      <c r="H24" s="10" t="s">
        <v>81</v>
      </c>
    </row>
    <row r="25" spans="2:12">
      <c r="F25" s="2" t="s">
        <v>94</v>
      </c>
      <c r="G25" s="5">
        <f>G21/G23</f>
        <v>0.2</v>
      </c>
    </row>
    <row r="27" spans="2:12">
      <c r="B27" s="33" t="s">
        <v>54</v>
      </c>
    </row>
    <row r="29" spans="2:12">
      <c r="B29" s="2" t="s">
        <v>73</v>
      </c>
    </row>
    <row r="30" spans="2:12">
      <c r="B30" s="2" t="s">
        <v>74</v>
      </c>
    </row>
    <row r="31" spans="2:12">
      <c r="B31" s="2" t="s">
        <v>75</v>
      </c>
    </row>
    <row r="32" spans="2:12">
      <c r="B32" s="2" t="s">
        <v>76</v>
      </c>
    </row>
    <row r="33" spans="2:2">
      <c r="B33" s="2" t="s">
        <v>84</v>
      </c>
    </row>
    <row r="34" spans="2:2">
      <c r="B34" s="2" t="s">
        <v>85</v>
      </c>
    </row>
    <row r="36" spans="2:2">
      <c r="B36" s="33" t="s">
        <v>77</v>
      </c>
    </row>
    <row r="38" spans="2:2">
      <c r="B38" s="2" t="s">
        <v>86</v>
      </c>
    </row>
    <row r="39" spans="2:2">
      <c r="B39" s="2" t="s">
        <v>56</v>
      </c>
    </row>
    <row r="41" spans="2:2">
      <c r="B41" s="33" t="s">
        <v>68</v>
      </c>
    </row>
    <row r="43" spans="2:2">
      <c r="B43" s="2" t="s">
        <v>69</v>
      </c>
    </row>
    <row r="44" spans="2:2">
      <c r="B44" s="2" t="s">
        <v>70</v>
      </c>
    </row>
    <row r="45" spans="2:2">
      <c r="B45" s="2" t="s">
        <v>71</v>
      </c>
    </row>
    <row r="46" spans="2:2">
      <c r="B46" s="2" t="s">
        <v>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R32"/>
  <sheetViews>
    <sheetView showGridLines="0" workbookViewId="0">
      <pane xSplit="2" topLeftCell="I1" activePane="topRight" state="frozen"/>
      <selection activeCell="B47" sqref="B47"/>
      <selection pane="topRight" activeCell="B47" sqref="B47"/>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8" style="2" customWidth="1"/>
    <col min="6" max="6" width="20.6640625" style="2" customWidth="1"/>
    <col min="7" max="11" width="18.6640625" style="2" customWidth="1"/>
    <col min="12" max="12" width="7.6640625" style="2" customWidth="1"/>
    <col min="13" max="13" width="21.5" style="2" customWidth="1"/>
    <col min="14" max="18" width="16.6640625" style="2" customWidth="1"/>
    <col min="19" max="16384" width="10.83203125" style="2"/>
  </cols>
  <sheetData>
    <row r="2" spans="2:18">
      <c r="B2" s="19" t="s">
        <v>95</v>
      </c>
    </row>
    <row r="3" spans="2:18">
      <c r="B3" s="34" t="s">
        <v>58</v>
      </c>
    </row>
    <row r="6" spans="2:18" ht="36">
      <c r="B6" s="28" t="s">
        <v>55</v>
      </c>
      <c r="C6" s="27" t="s">
        <v>178</v>
      </c>
      <c r="D6" s="27" t="s">
        <v>39</v>
      </c>
      <c r="F6" s="27" t="s">
        <v>61</v>
      </c>
      <c r="G6" s="27" t="s">
        <v>62</v>
      </c>
      <c r="H6" s="27" t="s">
        <v>117</v>
      </c>
      <c r="I6" s="27" t="s">
        <v>413</v>
      </c>
      <c r="J6" s="27" t="s">
        <v>39</v>
      </c>
      <c r="K6" s="27" t="s">
        <v>63</v>
      </c>
      <c r="M6" s="27" t="s">
        <v>61</v>
      </c>
      <c r="N6" s="27" t="s">
        <v>62</v>
      </c>
      <c r="O6" s="27" t="s">
        <v>117</v>
      </c>
      <c r="P6" s="27" t="s">
        <v>413</v>
      </c>
      <c r="Q6" s="27" t="s">
        <v>39</v>
      </c>
      <c r="R6" s="27" t="s">
        <v>63</v>
      </c>
    </row>
    <row r="8" spans="2:18">
      <c r="B8" s="13" t="s">
        <v>57</v>
      </c>
      <c r="C8" s="14">
        <f>D8*C$18</f>
        <v>6000000</v>
      </c>
      <c r="D8" s="29">
        <v>0.6</v>
      </c>
      <c r="F8" s="13">
        <v>0</v>
      </c>
      <c r="G8" s="37">
        <f>G$25</f>
        <v>0.3</v>
      </c>
      <c r="H8" s="10">
        <f>IFERROR(F8/G8,0)</f>
        <v>0</v>
      </c>
      <c r="I8" s="6">
        <f>H8+C8</f>
        <v>6000000</v>
      </c>
      <c r="J8" s="35">
        <f>IFERROR(I8/I$18,0)</f>
        <v>0.48</v>
      </c>
      <c r="K8" s="4">
        <f>I8*G$25</f>
        <v>1800000</v>
      </c>
      <c r="M8" s="13">
        <v>0</v>
      </c>
      <c r="N8" s="37">
        <f>N$25</f>
        <v>0.96</v>
      </c>
      <c r="O8" s="10">
        <f>IFERROR(M8/N8,0)</f>
        <v>0</v>
      </c>
      <c r="P8" s="6">
        <f>O8+I8</f>
        <v>6000000</v>
      </c>
      <c r="Q8" s="35">
        <f>IFERROR(P8/P$18,0)</f>
        <v>0.37269161988873106</v>
      </c>
      <c r="R8" s="4">
        <f>P8*N$25</f>
        <v>5760000</v>
      </c>
    </row>
    <row r="9" spans="2:18">
      <c r="B9" s="13" t="s">
        <v>57</v>
      </c>
      <c r="C9" s="14">
        <f>D9*C$18</f>
        <v>3000000</v>
      </c>
      <c r="D9" s="29">
        <v>0.3</v>
      </c>
      <c r="F9" s="13">
        <v>0</v>
      </c>
      <c r="G9" s="37">
        <f>G$25</f>
        <v>0.3</v>
      </c>
      <c r="H9" s="10">
        <f>IFERROR(F9/G9,0)</f>
        <v>0</v>
      </c>
      <c r="I9" s="6">
        <f>H9+C9</f>
        <v>3000000</v>
      </c>
      <c r="J9" s="35">
        <f>IFERROR(I9/I$18,0)</f>
        <v>0.24</v>
      </c>
      <c r="K9" s="4">
        <f>I9*G$25</f>
        <v>900000</v>
      </c>
      <c r="M9" s="13">
        <v>0</v>
      </c>
      <c r="N9" s="37">
        <f>N$25</f>
        <v>0.96</v>
      </c>
      <c r="O9" s="10">
        <f>IFERROR(M9/N9,0)</f>
        <v>0</v>
      </c>
      <c r="P9" s="6">
        <f>O9+I9</f>
        <v>3000000</v>
      </c>
      <c r="Q9" s="35">
        <f>IFERROR(P9/P$18,0)</f>
        <v>0.18634580994436553</v>
      </c>
      <c r="R9" s="4">
        <f>P9*N$25</f>
        <v>2880000</v>
      </c>
    </row>
    <row r="10" spans="2:18">
      <c r="B10" s="13" t="s">
        <v>59</v>
      </c>
      <c r="C10" s="14">
        <f>D10*C$18</f>
        <v>500000</v>
      </c>
      <c r="D10" s="29">
        <v>0.05</v>
      </c>
      <c r="F10" s="13">
        <v>0</v>
      </c>
      <c r="G10" s="37">
        <f>G$25</f>
        <v>0.3</v>
      </c>
      <c r="H10" s="10">
        <f>IFERROR(F10/G10,0)</f>
        <v>0</v>
      </c>
      <c r="I10" s="6">
        <f t="shared" ref="I10:I15" si="0">H10+C10</f>
        <v>500000</v>
      </c>
      <c r="J10" s="35">
        <f>IFERROR(I10/I$18,0)</f>
        <v>0.04</v>
      </c>
      <c r="K10" s="4">
        <f>I10*G$25</f>
        <v>150000</v>
      </c>
      <c r="M10" s="13">
        <v>0</v>
      </c>
      <c r="N10" s="37">
        <f>N$25</f>
        <v>0.96</v>
      </c>
      <c r="O10" s="10">
        <f>IFERROR(M10/N10,0)</f>
        <v>0</v>
      </c>
      <c r="P10" s="6">
        <f>O10+I10</f>
        <v>500000</v>
      </c>
      <c r="Q10" s="35">
        <f>IFERROR(P10/P$18,0)</f>
        <v>3.1057634990727587E-2</v>
      </c>
      <c r="R10" s="4">
        <f>P10*N$25</f>
        <v>480000</v>
      </c>
    </row>
    <row r="11" spans="2:18">
      <c r="B11" s="13" t="s">
        <v>59</v>
      </c>
      <c r="C11" s="14">
        <f>D11*C$18</f>
        <v>300000</v>
      </c>
      <c r="D11" s="29">
        <v>0.03</v>
      </c>
      <c r="F11" s="13">
        <v>0</v>
      </c>
      <c r="G11" s="37">
        <f>G$25</f>
        <v>0.3</v>
      </c>
      <c r="H11" s="10">
        <f>IFERROR(F11/G11,0)</f>
        <v>0</v>
      </c>
      <c r="I11" s="6">
        <f t="shared" si="0"/>
        <v>300000</v>
      </c>
      <c r="J11" s="35">
        <f>IFERROR(I11/I$18,0)</f>
        <v>2.4E-2</v>
      </c>
      <c r="K11" s="4">
        <f>I11*G$25</f>
        <v>90000</v>
      </c>
      <c r="M11" s="13">
        <v>0</v>
      </c>
      <c r="N11" s="37">
        <f>N$25</f>
        <v>0.96</v>
      </c>
      <c r="O11" s="10">
        <f>IFERROR(M11/N11,0)</f>
        <v>0</v>
      </c>
      <c r="P11" s="6">
        <f>O11+I11</f>
        <v>300000</v>
      </c>
      <c r="Q11" s="35">
        <f>IFERROR(P11/P$18,0)</f>
        <v>1.8634580994436552E-2</v>
      </c>
      <c r="R11" s="4">
        <f>P11*N$25</f>
        <v>288000</v>
      </c>
    </row>
    <row r="12" spans="2:18">
      <c r="B12" s="13" t="s">
        <v>59</v>
      </c>
      <c r="C12" s="14">
        <f>D12*C$18</f>
        <v>200000</v>
      </c>
      <c r="D12" s="29">
        <v>0.02</v>
      </c>
      <c r="F12" s="13">
        <v>0</v>
      </c>
      <c r="G12" s="37">
        <f>G$25</f>
        <v>0.3</v>
      </c>
      <c r="H12" s="10">
        <f>IFERROR(F12/G12,0)</f>
        <v>0</v>
      </c>
      <c r="I12" s="6">
        <f t="shared" si="0"/>
        <v>200000</v>
      </c>
      <c r="J12" s="35">
        <f>IFERROR(I12/I$18,0)</f>
        <v>1.6E-2</v>
      </c>
      <c r="K12" s="4">
        <f>I12*G$25</f>
        <v>60000</v>
      </c>
      <c r="M12" s="13">
        <v>0</v>
      </c>
      <c r="N12" s="37">
        <f>N$25</f>
        <v>0.96</v>
      </c>
      <c r="O12" s="10">
        <f>IFERROR(M12/N12,0)</f>
        <v>0</v>
      </c>
      <c r="P12" s="6">
        <f>O12+I12</f>
        <v>200000</v>
      </c>
      <c r="Q12" s="35">
        <f>IFERROR(P12/P$18,0)</f>
        <v>1.2423053996291036E-2</v>
      </c>
      <c r="R12" s="4">
        <f>P12*N$25</f>
        <v>192000</v>
      </c>
    </row>
    <row r="13" spans="2:18">
      <c r="D13" s="36"/>
    </row>
    <row r="14" spans="2:18">
      <c r="B14" s="13" t="s">
        <v>60</v>
      </c>
      <c r="C14" s="14">
        <f>D14*C$18</f>
        <v>0</v>
      </c>
      <c r="D14" s="29">
        <v>0</v>
      </c>
      <c r="F14" s="13">
        <v>500000</v>
      </c>
      <c r="G14" s="37">
        <f>G$25</f>
        <v>0.3</v>
      </c>
      <c r="H14" s="4">
        <f>IFERROR(F14/G14,0)</f>
        <v>1666666.6666666667</v>
      </c>
      <c r="I14" s="6">
        <f t="shared" si="0"/>
        <v>1666666.6666666667</v>
      </c>
      <c r="J14" s="35">
        <f>IFERROR(I14/I$18,0)</f>
        <v>0.13333333333333333</v>
      </c>
      <c r="K14" s="4">
        <f>I14*G$25</f>
        <v>500000</v>
      </c>
      <c r="M14" s="13">
        <v>455136.8815850392</v>
      </c>
      <c r="N14" s="37">
        <f>N$25</f>
        <v>0.96</v>
      </c>
      <c r="O14" s="4">
        <f>IFERROR(M14/N14,0)</f>
        <v>474100.91831774916</v>
      </c>
      <c r="P14" s="6">
        <f>O14+I14</f>
        <v>2140767.5849844161</v>
      </c>
      <c r="Q14" s="35">
        <f>IFERROR(P14/P$18,0)</f>
        <v>0.13297435650885481</v>
      </c>
      <c r="R14" s="4">
        <f>P14*N$25</f>
        <v>2055136.8815850394</v>
      </c>
    </row>
    <row r="15" spans="2:18">
      <c r="B15" s="13" t="s">
        <v>64</v>
      </c>
      <c r="C15" s="14">
        <f>D15*C$18</f>
        <v>0</v>
      </c>
      <c r="D15" s="29">
        <v>0</v>
      </c>
      <c r="F15" s="13">
        <v>250000</v>
      </c>
      <c r="G15" s="37">
        <f>G$25</f>
        <v>0.3</v>
      </c>
      <c r="H15" s="4">
        <f>IFERROR(F15/G15,0)</f>
        <v>833333.33333333337</v>
      </c>
      <c r="I15" s="6">
        <f t="shared" si="0"/>
        <v>833333.33333333337</v>
      </c>
      <c r="J15" s="35">
        <f>IFERROR(I15/I$18,0)</f>
        <v>6.6666666666666666E-2</v>
      </c>
      <c r="K15" s="4">
        <f>I15*G$25</f>
        <v>250000</v>
      </c>
      <c r="M15" s="13">
        <v>0</v>
      </c>
      <c r="N15" s="37">
        <f>N$25</f>
        <v>0.96</v>
      </c>
      <c r="O15" s="4">
        <f>IFERROR(M15/N15,0)</f>
        <v>0</v>
      </c>
      <c r="P15" s="6">
        <f>O15+I15</f>
        <v>833333.33333333337</v>
      </c>
      <c r="Q15" s="35">
        <f>IFERROR(P15/P$18,0)</f>
        <v>5.1762724984545982E-2</v>
      </c>
      <c r="R15" s="4">
        <f>P15*N$25</f>
        <v>800000</v>
      </c>
    </row>
    <row r="16" spans="2:18">
      <c r="B16" s="13" t="s">
        <v>91</v>
      </c>
      <c r="C16" s="14">
        <f>D16*C$18</f>
        <v>0</v>
      </c>
      <c r="D16" s="29">
        <v>0</v>
      </c>
      <c r="F16" s="13">
        <v>0</v>
      </c>
      <c r="G16" s="37">
        <f>G$25</f>
        <v>0.3</v>
      </c>
      <c r="H16" s="4">
        <f>IFERROR(F16/G16,0)</f>
        <v>0</v>
      </c>
      <c r="I16" s="6">
        <f t="shared" ref="I16" si="1">H16+C16</f>
        <v>0</v>
      </c>
      <c r="J16" s="35">
        <f>IFERROR(I16/I$18,0)</f>
        <v>0</v>
      </c>
      <c r="K16" s="4">
        <f>I16*G$25</f>
        <v>0</v>
      </c>
      <c r="M16" s="13">
        <v>3000000</v>
      </c>
      <c r="N16" s="37">
        <f>N$25</f>
        <v>0.96</v>
      </c>
      <c r="O16" s="4">
        <f>IFERROR(M16/N16,0)</f>
        <v>3125000</v>
      </c>
      <c r="P16" s="6">
        <f>O16+I16</f>
        <v>3125000</v>
      </c>
      <c r="Q16" s="35">
        <f>IFERROR(P16/P$18,0)</f>
        <v>0.19411021869204742</v>
      </c>
      <c r="R16" s="4">
        <f>P16*N$25</f>
        <v>3000000</v>
      </c>
    </row>
    <row r="17" spans="2:18">
      <c r="D17" s="36"/>
    </row>
    <row r="18" spans="2:18">
      <c r="B18" s="38" t="s">
        <v>20</v>
      </c>
      <c r="C18" s="12">
        <v>10000000</v>
      </c>
      <c r="D18" s="39">
        <f>SUM(D8:D12,D14:D16)</f>
        <v>1</v>
      </c>
      <c r="F18" s="8">
        <f>SUM(F8:F12,F14:F16)</f>
        <v>750000</v>
      </c>
      <c r="G18" s="38"/>
      <c r="H18" s="8">
        <f>SUM(H8:H12,H14:H16)</f>
        <v>2500000</v>
      </c>
      <c r="I18" s="8">
        <f>SUM(I8:I12,I14:I16)</f>
        <v>12500000</v>
      </c>
      <c r="J18" s="39">
        <f>SUM(J8:J12,J14:J16)</f>
        <v>1</v>
      </c>
      <c r="K18" s="8">
        <f>SUM(K8:K12,K14:K16)</f>
        <v>3750000</v>
      </c>
      <c r="M18" s="8">
        <f>SUM(M8:M12,M14:M16)</f>
        <v>3455136.8815850392</v>
      </c>
      <c r="N18" s="38"/>
      <c r="O18" s="8">
        <f>SUM(O8:O12,O14:O16)</f>
        <v>3599100.9183177492</v>
      </c>
      <c r="P18" s="8">
        <f>SUM(P8:P12,P14:P16)</f>
        <v>16099100.91831775</v>
      </c>
      <c r="Q18" s="39">
        <f>SUM(Q8:Q12,Q14:Q16)</f>
        <v>1</v>
      </c>
      <c r="R18" s="8">
        <f>SUM(R8:R12,R14:R16)</f>
        <v>15455136.881585039</v>
      </c>
    </row>
    <row r="21" spans="2:18">
      <c r="F21" s="34" t="s">
        <v>65</v>
      </c>
      <c r="M21" s="34" t="s">
        <v>89</v>
      </c>
    </row>
    <row r="22" spans="2:18">
      <c r="F22" s="2" t="s">
        <v>67</v>
      </c>
      <c r="G22" s="6">
        <f>F18</f>
        <v>750000</v>
      </c>
      <c r="M22" s="2" t="s">
        <v>67</v>
      </c>
      <c r="N22" s="6">
        <f>M18</f>
        <v>3455136.8815850392</v>
      </c>
      <c r="O22" s="10" t="s">
        <v>78</v>
      </c>
    </row>
    <row r="23" spans="2:18">
      <c r="F23" s="2" t="s">
        <v>66</v>
      </c>
      <c r="G23" s="13">
        <v>3000000</v>
      </c>
      <c r="M23" s="2" t="s">
        <v>66</v>
      </c>
      <c r="N23" s="13">
        <v>12000000</v>
      </c>
    </row>
    <row r="24" spans="2:18">
      <c r="F24" s="2" t="s">
        <v>103</v>
      </c>
      <c r="G24" s="6">
        <f>G23+G22</f>
        <v>3750000</v>
      </c>
      <c r="M24" s="2" t="s">
        <v>103</v>
      </c>
      <c r="N24" s="6">
        <f>N23+N22</f>
        <v>15455136.881585039</v>
      </c>
    </row>
    <row r="25" spans="2:18">
      <c r="F25" s="2" t="s">
        <v>62</v>
      </c>
      <c r="G25" s="37">
        <f>G23/C18</f>
        <v>0.3</v>
      </c>
      <c r="M25" s="2" t="s">
        <v>62</v>
      </c>
      <c r="N25" s="37">
        <f>N23/I18</f>
        <v>0.96</v>
      </c>
      <c r="O25" s="10" t="s">
        <v>82</v>
      </c>
    </row>
    <row r="26" spans="2:18">
      <c r="F26" s="2" t="s">
        <v>94</v>
      </c>
      <c r="G26" s="5">
        <f>G22/G24</f>
        <v>0.2</v>
      </c>
      <c r="M26" s="2" t="s">
        <v>94</v>
      </c>
      <c r="N26" s="5">
        <f>N22/N24</f>
        <v>0.22355912523181026</v>
      </c>
    </row>
    <row r="28" spans="2:18">
      <c r="B28" s="33" t="s">
        <v>54</v>
      </c>
    </row>
    <row r="30" spans="2:18">
      <c r="B30" s="2" t="s">
        <v>92</v>
      </c>
    </row>
    <row r="31" spans="2:18">
      <c r="B31" s="2" t="s">
        <v>90</v>
      </c>
    </row>
    <row r="32" spans="2:18">
      <c r="B32" s="2" t="s">
        <v>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L41"/>
  <sheetViews>
    <sheetView showGridLines="0" workbookViewId="0">
      <pane xSplit="2" topLeftCell="C1" activePane="topRight" state="frozen"/>
      <selection activeCell="B47" sqref="B47"/>
      <selection pane="topRight" activeCell="G25" sqref="G25"/>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31.83203125" style="2" customWidth="1"/>
    <col min="7" max="11" width="18.6640625" style="2" customWidth="1"/>
    <col min="12" max="15" width="10.83203125" style="2"/>
    <col min="16" max="16" width="12.6640625" style="2" customWidth="1"/>
    <col min="17" max="16384" width="10.83203125" style="2"/>
  </cols>
  <sheetData>
    <row r="2" spans="2:12">
      <c r="B2" s="19" t="s">
        <v>112</v>
      </c>
    </row>
    <row r="3" spans="2:12">
      <c r="B3" s="34" t="s">
        <v>58</v>
      </c>
    </row>
    <row r="6" spans="2:12" ht="36">
      <c r="B6" s="28" t="s">
        <v>55</v>
      </c>
      <c r="C6" s="27" t="s">
        <v>413</v>
      </c>
      <c r="D6" s="27" t="s">
        <v>39</v>
      </c>
      <c r="F6" s="27" t="s">
        <v>61</v>
      </c>
      <c r="G6" s="27" t="s">
        <v>62</v>
      </c>
      <c r="H6" s="27" t="s">
        <v>117</v>
      </c>
      <c r="I6" s="27" t="s">
        <v>413</v>
      </c>
      <c r="J6" s="27" t="s">
        <v>39</v>
      </c>
      <c r="K6" s="27" t="s">
        <v>63</v>
      </c>
    </row>
    <row r="8" spans="2:12">
      <c r="B8" s="13" t="s">
        <v>57</v>
      </c>
      <c r="C8" s="14">
        <f>D8*C$19</f>
        <v>6000000</v>
      </c>
      <c r="D8" s="29">
        <v>0.6</v>
      </c>
      <c r="F8" s="13">
        <v>0</v>
      </c>
      <c r="G8" s="37">
        <f>G$27</f>
        <v>0.22500000000000001</v>
      </c>
      <c r="H8" s="10">
        <f>IFERROR(F8/G8,0)</f>
        <v>0</v>
      </c>
      <c r="I8" s="6">
        <f>H8+C8</f>
        <v>6000000</v>
      </c>
      <c r="J8" s="35">
        <f>IFERROR(I8/I$19,0)</f>
        <v>0.36000000000000004</v>
      </c>
      <c r="K8" s="4">
        <f>I8*G$27</f>
        <v>1350000</v>
      </c>
    </row>
    <row r="9" spans="2:12">
      <c r="B9" s="13" t="s">
        <v>57</v>
      </c>
      <c r="C9" s="14">
        <f>D9*C$19</f>
        <v>3000000</v>
      </c>
      <c r="D9" s="29">
        <v>0.3</v>
      </c>
      <c r="F9" s="13">
        <v>0</v>
      </c>
      <c r="G9" s="37">
        <f>G$27</f>
        <v>0.22500000000000001</v>
      </c>
      <c r="H9" s="10">
        <f>IFERROR(F9/G9,0)</f>
        <v>0</v>
      </c>
      <c r="I9" s="6">
        <f>H9+C9</f>
        <v>3000000</v>
      </c>
      <c r="J9" s="35">
        <f>IFERROR(I9/I$19,0)</f>
        <v>0.18000000000000002</v>
      </c>
      <c r="K9" s="4">
        <f>I9*G$27</f>
        <v>675000</v>
      </c>
    </row>
    <row r="10" spans="2:12">
      <c r="B10" s="13" t="s">
        <v>59</v>
      </c>
      <c r="C10" s="14">
        <f>D10*C$19</f>
        <v>500000</v>
      </c>
      <c r="D10" s="29">
        <v>0.05</v>
      </c>
      <c r="F10" s="13">
        <v>0</v>
      </c>
      <c r="G10" s="37">
        <f>G$27</f>
        <v>0.22500000000000001</v>
      </c>
      <c r="H10" s="10">
        <f>IFERROR(F10/G10,0)</f>
        <v>0</v>
      </c>
      <c r="I10" s="6">
        <f t="shared" ref="I10:I17" si="0">H10+C10</f>
        <v>500000</v>
      </c>
      <c r="J10" s="35">
        <f>IFERROR(I10/I$19,0)</f>
        <v>3.0000000000000006E-2</v>
      </c>
      <c r="K10" s="4">
        <f>I10*G$27</f>
        <v>112500</v>
      </c>
    </row>
    <row r="11" spans="2:12">
      <c r="B11" s="13" t="s">
        <v>59</v>
      </c>
      <c r="C11" s="14">
        <f>D11*C$19</f>
        <v>300000</v>
      </c>
      <c r="D11" s="29">
        <v>0.03</v>
      </c>
      <c r="F11" s="13">
        <v>0</v>
      </c>
      <c r="G11" s="37">
        <f>G$27</f>
        <v>0.22500000000000001</v>
      </c>
      <c r="H11" s="10">
        <f>IFERROR(F11/G11,0)</f>
        <v>0</v>
      </c>
      <c r="I11" s="6">
        <f t="shared" si="0"/>
        <v>300000</v>
      </c>
      <c r="J11" s="35">
        <f>IFERROR(I11/I$19,0)</f>
        <v>1.8000000000000002E-2</v>
      </c>
      <c r="K11" s="4">
        <f>I11*G$27</f>
        <v>67500</v>
      </c>
    </row>
    <row r="12" spans="2:12">
      <c r="B12" s="13" t="s">
        <v>59</v>
      </c>
      <c r="C12" s="14">
        <f>D12*C$19</f>
        <v>200000</v>
      </c>
      <c r="D12" s="29">
        <v>0.02</v>
      </c>
      <c r="F12" s="13">
        <v>0</v>
      </c>
      <c r="G12" s="37">
        <f>G$27</f>
        <v>0.22500000000000001</v>
      </c>
      <c r="H12" s="10">
        <f>IFERROR(F12/G12,0)</f>
        <v>0</v>
      </c>
      <c r="I12" s="6">
        <f t="shared" si="0"/>
        <v>200000</v>
      </c>
      <c r="J12" s="35">
        <f>IFERROR(I12/I$19,0)</f>
        <v>1.2000000000000002E-2</v>
      </c>
      <c r="K12" s="4">
        <f>I12*G$27</f>
        <v>45000</v>
      </c>
      <c r="L12" s="10"/>
    </row>
    <row r="13" spans="2:12">
      <c r="D13" s="36"/>
      <c r="L13" s="10"/>
    </row>
    <row r="14" spans="2:12">
      <c r="B14" s="13" t="s">
        <v>60</v>
      </c>
      <c r="C14" s="14">
        <f>D14*C$19</f>
        <v>0</v>
      </c>
      <c r="D14" s="29">
        <v>0</v>
      </c>
      <c r="F14" s="13">
        <v>500000</v>
      </c>
      <c r="G14" s="37">
        <f>G$27</f>
        <v>0.22500000000000001</v>
      </c>
      <c r="H14" s="4">
        <f>IFERROR(F14/G14,0)</f>
        <v>2222222.222222222</v>
      </c>
      <c r="I14" s="6">
        <f t="shared" si="0"/>
        <v>2222222.222222222</v>
      </c>
      <c r="J14" s="35">
        <f>IFERROR(I14/I$19,0)</f>
        <v>0.13333333333333333</v>
      </c>
      <c r="K14" s="4">
        <f>I14*G$27</f>
        <v>499999.99999999994</v>
      </c>
      <c r="L14" s="10" t="s">
        <v>82</v>
      </c>
    </row>
    <row r="15" spans="2:12">
      <c r="B15" s="13" t="s">
        <v>64</v>
      </c>
      <c r="C15" s="14">
        <f>D15*C$19</f>
        <v>0</v>
      </c>
      <c r="D15" s="29">
        <v>0</v>
      </c>
      <c r="F15" s="13">
        <v>250000</v>
      </c>
      <c r="G15" s="37">
        <f>G$27</f>
        <v>0.22500000000000001</v>
      </c>
      <c r="H15" s="4">
        <f>IFERROR(F15/G15,0)</f>
        <v>1111111.111111111</v>
      </c>
      <c r="I15" s="6">
        <f t="shared" si="0"/>
        <v>1111111.111111111</v>
      </c>
      <c r="J15" s="35">
        <f>IFERROR(I15/I$19,0)</f>
        <v>6.6666666666666666E-2</v>
      </c>
      <c r="K15" s="4">
        <f>I15*G$27</f>
        <v>249999.99999999997</v>
      </c>
      <c r="L15" s="10"/>
    </row>
    <row r="16" spans="2:12">
      <c r="D16" s="36"/>
      <c r="L16" s="10"/>
    </row>
    <row r="17" spans="2:12">
      <c r="B17" s="13" t="s">
        <v>29</v>
      </c>
      <c r="C17" s="14">
        <f>D17*C$19</f>
        <v>0</v>
      </c>
      <c r="D17" s="29">
        <v>0</v>
      </c>
      <c r="F17" s="13">
        <v>0</v>
      </c>
      <c r="G17" s="37">
        <f>G$27</f>
        <v>0.22500000000000001</v>
      </c>
      <c r="H17" s="6">
        <f>G31</f>
        <v>3333333.333333333</v>
      </c>
      <c r="I17" s="6">
        <f t="shared" si="0"/>
        <v>3333333.333333333</v>
      </c>
      <c r="J17" s="35">
        <f>IFERROR(I17/I$19,0)</f>
        <v>0.2</v>
      </c>
      <c r="K17" s="4">
        <f>I17*G$27</f>
        <v>750000</v>
      </c>
      <c r="L17" s="10" t="s">
        <v>83</v>
      </c>
    </row>
    <row r="18" spans="2:12">
      <c r="D18" s="36"/>
      <c r="L18" s="10"/>
    </row>
    <row r="19" spans="2:12">
      <c r="B19" s="38" t="s">
        <v>20</v>
      </c>
      <c r="C19" s="12">
        <v>10000000</v>
      </c>
      <c r="D19" s="39">
        <f>SUM(D8:D12,D14:D15,D17)</f>
        <v>1</v>
      </c>
      <c r="F19" s="8">
        <f>SUM(F8:F12,F14:F15,F17)</f>
        <v>750000</v>
      </c>
      <c r="G19" s="38"/>
      <c r="H19" s="8">
        <f>SUM(H8:H12,H14:H15,H17)</f>
        <v>6666666.666666666</v>
      </c>
      <c r="I19" s="8">
        <f>SUM(I8:I12,I14:I15,I17)</f>
        <v>16666666.666666664</v>
      </c>
      <c r="J19" s="39">
        <f>SUM(J8:J12,J14:J15,J17)</f>
        <v>1</v>
      </c>
      <c r="K19" s="8">
        <f>SUM(K8:K12,K14:K15,K17)</f>
        <v>3750000</v>
      </c>
    </row>
    <row r="21" spans="2:12">
      <c r="H21" s="10"/>
    </row>
    <row r="22" spans="2:12">
      <c r="F22" s="34" t="s">
        <v>65</v>
      </c>
      <c r="H22" s="10"/>
    </row>
    <row r="23" spans="2:12">
      <c r="F23" s="2" t="s">
        <v>67</v>
      </c>
      <c r="G23" s="6">
        <f>F19</f>
        <v>750000</v>
      </c>
      <c r="H23" s="10"/>
    </row>
    <row r="24" spans="2:12">
      <c r="F24" s="2" t="s">
        <v>113</v>
      </c>
      <c r="G24" s="6">
        <f>G25-G26*G30</f>
        <v>2250000</v>
      </c>
      <c r="H24" s="10" t="s">
        <v>80</v>
      </c>
    </row>
    <row r="25" spans="2:12">
      <c r="F25" s="2" t="s">
        <v>66</v>
      </c>
      <c r="G25" s="13">
        <v>3000000</v>
      </c>
      <c r="H25" s="10"/>
    </row>
    <row r="26" spans="2:12">
      <c r="F26" s="2" t="s">
        <v>103</v>
      </c>
      <c r="G26" s="6">
        <f>G25+G23</f>
        <v>3750000</v>
      </c>
      <c r="H26" s="10"/>
    </row>
    <row r="27" spans="2:12">
      <c r="F27" s="2" t="s">
        <v>62</v>
      </c>
      <c r="G27" s="37">
        <f>G24/C19</f>
        <v>0.22500000000000001</v>
      </c>
      <c r="H27" s="10" t="s">
        <v>81</v>
      </c>
    </row>
    <row r="28" spans="2:12">
      <c r="F28" s="2" t="s">
        <v>94</v>
      </c>
      <c r="G28" s="5">
        <f>IFERROR(G23/G26,0)</f>
        <v>0.2</v>
      </c>
      <c r="H28" s="10"/>
    </row>
    <row r="29" spans="2:12">
      <c r="H29" s="10"/>
    </row>
    <row r="30" spans="2:12">
      <c r="F30" s="2" t="s">
        <v>115</v>
      </c>
      <c r="G30" s="29">
        <v>0.2</v>
      </c>
      <c r="H30" s="10" t="s">
        <v>78</v>
      </c>
    </row>
    <row r="31" spans="2:12">
      <c r="F31" s="2" t="s">
        <v>114</v>
      </c>
      <c r="G31" s="4">
        <f>IF(G25=0,C19*G30,G30*G26/G27)</f>
        <v>3333333.333333333</v>
      </c>
      <c r="H31" s="10" t="s">
        <v>79</v>
      </c>
    </row>
    <row r="32" spans="2:12">
      <c r="H32" s="10"/>
    </row>
    <row r="33" spans="2:8">
      <c r="B33" s="33" t="s">
        <v>54</v>
      </c>
      <c r="H33" s="10"/>
    </row>
    <row r="34" spans="2:8">
      <c r="B34" s="33"/>
      <c r="H34" s="10"/>
    </row>
    <row r="35" spans="2:8">
      <c r="B35" s="2" t="s">
        <v>119</v>
      </c>
    </row>
    <row r="36" spans="2:8">
      <c r="B36" s="2" t="s">
        <v>118</v>
      </c>
    </row>
    <row r="37" spans="2:8">
      <c r="B37" s="2" t="s">
        <v>120</v>
      </c>
    </row>
    <row r="38" spans="2:8">
      <c r="B38" s="2" t="s">
        <v>121</v>
      </c>
    </row>
    <row r="39" spans="2:8">
      <c r="B39" s="2" t="s">
        <v>122</v>
      </c>
    </row>
    <row r="40" spans="2:8">
      <c r="B40" s="2" t="s">
        <v>123</v>
      </c>
    </row>
    <row r="41" spans="2:8">
      <c r="B41" s="2" t="s">
        <v>126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README</vt:lpstr>
      <vt:lpstr>Disclaimer</vt:lpstr>
      <vt:lpstr>Support</vt:lpstr>
      <vt:lpstr>Summary</vt:lpstr>
      <vt:lpstr>Cap Table</vt:lpstr>
      <vt:lpstr>Exit Waterfall</vt:lpstr>
      <vt:lpstr>1 - Equity Issuance</vt:lpstr>
      <vt:lpstr>1 - Equity Issuance, 2nd Round</vt:lpstr>
      <vt:lpstr>2 - Premoney Option Pool</vt:lpstr>
      <vt:lpstr>2 - Postmoney Option Pool</vt:lpstr>
      <vt:lpstr>2 - Option Pool, 2nd Round</vt:lpstr>
      <vt:lpstr>3 - Convertible Issuance</vt:lpstr>
      <vt:lpstr>3 - Conversion, Premoney</vt:lpstr>
      <vt:lpstr>3 - Conversion, Postmoney</vt:lpstr>
      <vt:lpstr>3 - Conversion, % Ownership</vt:lpstr>
      <vt:lpstr>3 - Conversion, $ Invested</vt:lpstr>
      <vt:lpstr>4 - Option Pool + Conversion</vt:lpstr>
      <vt:lpstr>5 - Exit Waterfall Distribution</vt:lpstr>
      <vt:lpstr>6 - VC Valuation</vt:lpstr>
      <vt:lpstr>Changelog</vt:lpstr>
      <vt:lpstr>README!Print_Area</vt:lpstr>
    </vt:vector>
  </TitlesOfParts>
  <Manager/>
  <Company>Unstructured Ventures,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 Table</dc:title>
  <dc:subject/>
  <dc:creator>Taylor Davidson / Foresight</dc:creator>
  <cp:keywords/>
  <dc:description/>
  <cp:lastModifiedBy>Taylor Davidson</cp:lastModifiedBy>
  <cp:lastPrinted>2018-05-05T18:47:23Z</cp:lastPrinted>
  <dcterms:created xsi:type="dcterms:W3CDTF">2015-08-20T17:23:19Z</dcterms:created>
  <dcterms:modified xsi:type="dcterms:W3CDTF">2019-12-21T19:20:15Z</dcterms:modified>
  <cp:category/>
</cp:coreProperties>
</file>