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codeName="ThisWorkbook" autoCompressPictures="0"/>
  <mc:AlternateContent xmlns:mc="http://schemas.openxmlformats.org/markup-compatibility/2006">
    <mc:Choice Requires="x15">
      <x15ac:absPath xmlns:x15ac="http://schemas.microsoft.com/office/spreadsheetml/2010/11/ac" url="/Users/taylordavidson/Dropbox/Unstructured Ventures/1 - Template Financial Models/1 - Current Models/"/>
    </mc:Choice>
  </mc:AlternateContent>
  <xr:revisionPtr revIDLastSave="0" documentId="13_ncr:1_{0240FB11-9E22-7E44-95A0-67A5A1AB2667}" xr6:coauthVersionLast="45" xr6:coauthVersionMax="45" xr10:uidLastSave="{00000000-0000-0000-0000-000000000000}"/>
  <bookViews>
    <workbookView xWindow="28800" yWindow="460" windowWidth="38400" windowHeight="23540" tabRatio="654" xr2:uid="{00000000-000D-0000-FFFF-FFFF00000000}"/>
  </bookViews>
  <sheets>
    <sheet name="README" sheetId="41" r:id="rId1"/>
    <sheet name="Disclaimer" sheetId="31" r:id="rId2"/>
    <sheet name="License" sheetId="42" r:id="rId3"/>
    <sheet name="1 - Base Cap Table" sheetId="27" r:id="rId4"/>
    <sheet name="2 - Equity Issuance" sheetId="10" r:id="rId5"/>
    <sheet name="2 - Equity Issuance, 2nd Round" sheetId="11" r:id="rId6"/>
    <sheet name="3 - Premoney Option Pool" sheetId="14" r:id="rId7"/>
    <sheet name="3 - Postmoney Option Pool" sheetId="15" r:id="rId8"/>
    <sheet name="3 - Option Pool, 2nd Round" sheetId="21" r:id="rId9"/>
    <sheet name="4 - Convertible Issuance" sheetId="12" r:id="rId10"/>
    <sheet name="4 - Conversion, Premoney" sheetId="13" r:id="rId11"/>
    <sheet name="4 - Conversion, Postmoney" sheetId="33" r:id="rId12"/>
    <sheet name="4 - Conversion, % Ownership" sheetId="16" r:id="rId13"/>
    <sheet name="4 - Conversion, $ Invested" sheetId="17" r:id="rId14"/>
    <sheet name="5 - Exit Waterfall" sheetId="44" r:id="rId15"/>
    <sheet name="6 - Venture Valuation" sheetId="24" r:id="rId16"/>
    <sheet name="Changelog" sheetId="5" r:id="rId17"/>
  </sheets>
  <externalReferences>
    <externalReference r:id="rId18"/>
  </externalReferences>
  <definedNames>
    <definedName name="_xlnm.Print_Area" localSheetId="0">README!$B$2:$B$21</definedName>
    <definedName name="solver_eng" localSheetId="5" hidden="1">1</definedName>
    <definedName name="solver_lin" localSheetId="5" hidden="1">2</definedName>
    <definedName name="solver_neg" localSheetId="5" hidden="1">1</definedName>
    <definedName name="solver_num" localSheetId="5" hidden="1">0</definedName>
    <definedName name="solver_opt" localSheetId="5" hidden="1">'2 - Equity Issuance, 2nd Round'!$M$14</definedName>
    <definedName name="solver_typ" localSheetId="5" hidden="1">1</definedName>
    <definedName name="solver_val" localSheetId="5" hidden="1">0</definedName>
    <definedName name="solver_ver" localSheetId="5"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L337" i="44" l="1"/>
  <c r="L336" i="44"/>
  <c r="L335" i="44"/>
  <c r="L334" i="44"/>
  <c r="L332" i="44"/>
  <c r="L331" i="44"/>
  <c r="L330" i="44"/>
  <c r="L329" i="44"/>
  <c r="L326" i="44"/>
  <c r="L325" i="44"/>
  <c r="L324" i="44"/>
  <c r="L323" i="44"/>
  <c r="L322" i="44"/>
  <c r="L321" i="44"/>
  <c r="L320" i="44"/>
  <c r="L319" i="44"/>
  <c r="L318" i="44"/>
  <c r="L317" i="44"/>
  <c r="L316" i="44"/>
  <c r="L315" i="44"/>
  <c r="L314" i="44"/>
  <c r="L313" i="44"/>
  <c r="L312" i="44"/>
  <c r="L311" i="44"/>
  <c r="L310" i="44"/>
  <c r="L309" i="44"/>
  <c r="L308" i="44"/>
  <c r="L307" i="44"/>
  <c r="L306" i="44"/>
  <c r="L305" i="44"/>
  <c r="L304" i="44"/>
  <c r="L303" i="44"/>
  <c r="L302" i="44"/>
  <c r="L301" i="44"/>
  <c r="L300" i="44"/>
  <c r="L299" i="44"/>
  <c r="L298" i="44"/>
  <c r="L297" i="44"/>
  <c r="L295" i="44"/>
  <c r="L294" i="44"/>
  <c r="L293" i="44"/>
  <c r="L292" i="44"/>
  <c r="L291" i="44"/>
  <c r="L290" i="44"/>
  <c r="L289" i="44"/>
  <c r="L288" i="44"/>
  <c r="L287" i="44"/>
  <c r="L286" i="44"/>
  <c r="L285" i="44"/>
  <c r="L284" i="44"/>
  <c r="L283" i="44"/>
  <c r="L282" i="44"/>
  <c r="L281" i="44"/>
  <c r="L280" i="44"/>
  <c r="L279" i="44"/>
  <c r="L278" i="44"/>
  <c r="L277" i="44"/>
  <c r="L276" i="44"/>
  <c r="L275" i="44"/>
  <c r="L274" i="44"/>
  <c r="L273" i="44"/>
  <c r="L272" i="44"/>
  <c r="L271" i="44"/>
  <c r="L270" i="44"/>
  <c r="L269" i="44"/>
  <c r="L268" i="44"/>
  <c r="L266" i="44"/>
  <c r="L265" i="44"/>
  <c r="L264" i="44"/>
  <c r="L263" i="44"/>
  <c r="L262" i="44"/>
  <c r="B262" i="44"/>
  <c r="L261" i="44"/>
  <c r="B261" i="44"/>
  <c r="L260" i="44"/>
  <c r="B260" i="44"/>
  <c r="L259" i="44"/>
  <c r="B259" i="44"/>
  <c r="L258" i="44"/>
  <c r="B258" i="44"/>
  <c r="L257" i="44"/>
  <c r="B257" i="44"/>
  <c r="L256" i="44"/>
  <c r="B256" i="44"/>
  <c r="B255" i="44"/>
  <c r="L254" i="44"/>
  <c r="L253" i="44"/>
  <c r="L252" i="44"/>
  <c r="L251" i="44"/>
  <c r="D251" i="44"/>
  <c r="L250" i="44"/>
  <c r="D250" i="44"/>
  <c r="L249" i="44"/>
  <c r="D249" i="44"/>
  <c r="B249" i="44"/>
  <c r="L248" i="44"/>
  <c r="D248" i="44"/>
  <c r="B248" i="44"/>
  <c r="L247" i="44"/>
  <c r="D247" i="44"/>
  <c r="B247" i="44"/>
  <c r="L246" i="44"/>
  <c r="D246" i="44"/>
  <c r="B246" i="44"/>
  <c r="L245" i="44"/>
  <c r="D245" i="44"/>
  <c r="B245" i="44"/>
  <c r="L244" i="44"/>
  <c r="D244" i="44"/>
  <c r="B244" i="44"/>
  <c r="L243" i="44"/>
  <c r="D243" i="44"/>
  <c r="B243" i="44"/>
  <c r="L242" i="44"/>
  <c r="D242" i="44"/>
  <c r="B242" i="44"/>
  <c r="L239" i="44"/>
  <c r="L238" i="44"/>
  <c r="L237" i="44"/>
  <c r="K237" i="44"/>
  <c r="J237" i="44"/>
  <c r="I237" i="44"/>
  <c r="H237" i="44"/>
  <c r="G237" i="44"/>
  <c r="F237" i="44"/>
  <c r="E237" i="44"/>
  <c r="D237" i="44"/>
  <c r="L236" i="44"/>
  <c r="D236" i="44"/>
  <c r="B236" i="44"/>
  <c r="L235" i="44"/>
  <c r="D235" i="44"/>
  <c r="B235" i="44"/>
  <c r="L234" i="44"/>
  <c r="D234" i="44"/>
  <c r="B234" i="44"/>
  <c r="L233" i="44"/>
  <c r="D233" i="44"/>
  <c r="B233" i="44"/>
  <c r="L232" i="44"/>
  <c r="D232" i="44"/>
  <c r="B232" i="44"/>
  <c r="L231" i="44"/>
  <c r="D231" i="44"/>
  <c r="B231" i="44"/>
  <c r="L230" i="44"/>
  <c r="D230" i="44"/>
  <c r="B230" i="44"/>
  <c r="D229" i="44"/>
  <c r="B229" i="44"/>
  <c r="L227" i="44"/>
  <c r="L226" i="44"/>
  <c r="D226" i="44"/>
  <c r="L225" i="44"/>
  <c r="D225" i="44"/>
  <c r="L224" i="44"/>
  <c r="D224" i="44"/>
  <c r="L223" i="44"/>
  <c r="D223" i="44"/>
  <c r="L222" i="44"/>
  <c r="D222" i="44"/>
  <c r="D221" i="44"/>
  <c r="L220" i="44"/>
  <c r="L219" i="44"/>
  <c r="L218" i="44"/>
  <c r="D218" i="44"/>
  <c r="L217" i="44"/>
  <c r="D217" i="44"/>
  <c r="L216" i="44"/>
  <c r="D216" i="44"/>
  <c r="L215" i="44"/>
  <c r="D215" i="44"/>
  <c r="L214" i="44"/>
  <c r="D214" i="44"/>
  <c r="L213" i="44"/>
  <c r="L212" i="44"/>
  <c r="D211" i="44"/>
  <c r="D210" i="44"/>
  <c r="L209" i="44"/>
  <c r="D209" i="44"/>
  <c r="L208" i="44"/>
  <c r="D208" i="44"/>
  <c r="L207" i="44"/>
  <c r="D207" i="44"/>
  <c r="L206" i="44"/>
  <c r="D206" i="44"/>
  <c r="L205" i="44"/>
  <c r="D205" i="44"/>
  <c r="L204" i="44"/>
  <c r="L203" i="44"/>
  <c r="D202" i="44"/>
  <c r="D201" i="44"/>
  <c r="L200" i="44"/>
  <c r="L199" i="44"/>
  <c r="D199" i="44"/>
  <c r="L198" i="44"/>
  <c r="D198" i="44"/>
  <c r="L197" i="44"/>
  <c r="D197" i="44"/>
  <c r="L196" i="44"/>
  <c r="L195" i="44"/>
  <c r="L194" i="44"/>
  <c r="L193" i="44"/>
  <c r="L192" i="44"/>
  <c r="L191" i="44"/>
  <c r="D191" i="44"/>
  <c r="L190" i="44"/>
  <c r="L189" i="44"/>
  <c r="L188" i="44"/>
  <c r="D188" i="44"/>
  <c r="L187" i="44"/>
  <c r="D187" i="44"/>
  <c r="L186" i="44"/>
  <c r="D186" i="44"/>
  <c r="L185" i="44"/>
  <c r="D185" i="44"/>
  <c r="L184" i="44"/>
  <c r="L183" i="44"/>
  <c r="L182" i="44"/>
  <c r="D182" i="44"/>
  <c r="B182" i="44"/>
  <c r="L181" i="44"/>
  <c r="D181" i="44"/>
  <c r="B181" i="44"/>
  <c r="L180" i="44"/>
  <c r="D180" i="44"/>
  <c r="B180" i="44"/>
  <c r="L179" i="44"/>
  <c r="L178" i="44"/>
  <c r="L177" i="44"/>
  <c r="D177" i="44"/>
  <c r="L176" i="44"/>
  <c r="D176" i="44"/>
  <c r="B176" i="44"/>
  <c r="L175" i="44"/>
  <c r="D175" i="44"/>
  <c r="B175" i="44"/>
  <c r="L174" i="44"/>
  <c r="D174" i="44"/>
  <c r="B174" i="44"/>
  <c r="L173" i="44"/>
  <c r="D173" i="44"/>
  <c r="L172" i="44"/>
  <c r="D172" i="44"/>
  <c r="L171" i="44"/>
  <c r="L170" i="44"/>
  <c r="L169" i="44"/>
  <c r="D169" i="44"/>
  <c r="L168" i="44"/>
  <c r="L167" i="44"/>
  <c r="L166" i="44"/>
  <c r="D166" i="44"/>
  <c r="L165" i="44"/>
  <c r="D165" i="44"/>
  <c r="L164" i="44"/>
  <c r="D164" i="44"/>
  <c r="L163" i="44"/>
  <c r="D163" i="44"/>
  <c r="L162" i="44"/>
  <c r="L161" i="44"/>
  <c r="L160" i="44"/>
  <c r="D160" i="44"/>
  <c r="B160" i="44"/>
  <c r="L159" i="44"/>
  <c r="D159" i="44"/>
  <c r="B159" i="44"/>
  <c r="L158" i="44"/>
  <c r="D158" i="44"/>
  <c r="B158" i="44"/>
  <c r="L157" i="44"/>
  <c r="L156" i="44"/>
  <c r="L155" i="44"/>
  <c r="D155" i="44"/>
  <c r="L154" i="44"/>
  <c r="D154" i="44"/>
  <c r="B154" i="44"/>
  <c r="L153" i="44"/>
  <c r="D153" i="44"/>
  <c r="B153" i="44"/>
  <c r="L152" i="44"/>
  <c r="D152" i="44"/>
  <c r="B152" i="44"/>
  <c r="L151" i="44"/>
  <c r="D151" i="44"/>
  <c r="L150" i="44"/>
  <c r="D150" i="44"/>
  <c r="L149" i="44"/>
  <c r="L148" i="44"/>
  <c r="L147" i="44"/>
  <c r="D147" i="44"/>
  <c r="L146" i="44"/>
  <c r="L145" i="44"/>
  <c r="L144" i="44"/>
  <c r="D144" i="44"/>
  <c r="L143" i="44"/>
  <c r="D143" i="44"/>
  <c r="L142" i="44"/>
  <c r="D142" i="44"/>
  <c r="L141" i="44"/>
  <c r="D141" i="44"/>
  <c r="L140" i="44"/>
  <c r="L139" i="44"/>
  <c r="L138" i="44"/>
  <c r="D138" i="44"/>
  <c r="B138" i="44"/>
  <c r="L137" i="44"/>
  <c r="D137" i="44"/>
  <c r="B137" i="44"/>
  <c r="L136" i="44"/>
  <c r="D136" i="44"/>
  <c r="B136" i="44"/>
  <c r="L135" i="44"/>
  <c r="L134" i="44"/>
  <c r="L133" i="44"/>
  <c r="D133" i="44"/>
  <c r="L132" i="44"/>
  <c r="D132" i="44"/>
  <c r="B132" i="44"/>
  <c r="L131" i="44"/>
  <c r="D131" i="44"/>
  <c r="B131" i="44"/>
  <c r="L130" i="44"/>
  <c r="D130" i="44"/>
  <c r="B130" i="44"/>
  <c r="L129" i="44"/>
  <c r="D129" i="44"/>
  <c r="L128" i="44"/>
  <c r="D128" i="44"/>
  <c r="L127" i="44"/>
  <c r="L126" i="44"/>
  <c r="L125" i="44"/>
  <c r="D125" i="44"/>
  <c r="L124" i="44"/>
  <c r="L123" i="44"/>
  <c r="D122" i="44"/>
  <c r="D121" i="44"/>
  <c r="D120" i="44"/>
  <c r="D119" i="44"/>
  <c r="D116" i="44"/>
  <c r="B116" i="44"/>
  <c r="D115" i="44"/>
  <c r="B115" i="44"/>
  <c r="D114" i="44"/>
  <c r="B114" i="44"/>
  <c r="D111" i="44"/>
  <c r="D110" i="44"/>
  <c r="B110" i="44"/>
  <c r="D109" i="44"/>
  <c r="B109" i="44"/>
  <c r="D108" i="44"/>
  <c r="B108" i="44"/>
  <c r="D107" i="44"/>
  <c r="D106" i="44"/>
  <c r="D103" i="44"/>
  <c r="L102" i="44"/>
  <c r="L101" i="44"/>
  <c r="D100" i="44"/>
  <c r="K96" i="44" a="1"/>
  <c r="K96" i="44" s="1"/>
  <c r="J96" i="44" a="1"/>
  <c r="J96" i="44" s="1"/>
  <c r="I96" i="44" a="1"/>
  <c r="I96" i="44" s="1"/>
  <c r="H96" i="44" a="1"/>
  <c r="H96" i="44" s="1"/>
  <c r="G96" i="44" a="1"/>
  <c r="G96" i="44" s="1"/>
  <c r="F96" i="44" a="1"/>
  <c r="F96" i="44" s="1"/>
  <c r="E96" i="44"/>
  <c r="E96" i="44" a="1"/>
  <c r="D94" i="44"/>
  <c r="F93" i="44"/>
  <c r="G93" i="44" s="1"/>
  <c r="H93" i="44" s="1"/>
  <c r="I93" i="44" s="1"/>
  <c r="J93" i="44" s="1"/>
  <c r="K93" i="44" s="1"/>
  <c r="D93" i="44"/>
  <c r="K92" i="44"/>
  <c r="J92" i="44"/>
  <c r="I92" i="44"/>
  <c r="H92" i="44"/>
  <c r="G92" i="44"/>
  <c r="F92" i="44"/>
  <c r="E92" i="44"/>
  <c r="D92" i="44"/>
  <c r="H91" i="44"/>
  <c r="G91" i="44"/>
  <c r="D91" i="44"/>
  <c r="L90" i="44"/>
  <c r="L89" i="44"/>
  <c r="L88" i="44"/>
  <c r="L87" i="44"/>
  <c r="L86" i="44"/>
  <c r="L85" i="44"/>
  <c r="L84" i="44"/>
  <c r="L83" i="44"/>
  <c r="L82" i="44"/>
  <c r="L81" i="44"/>
  <c r="L80" i="44"/>
  <c r="L78" i="44"/>
  <c r="L77" i="44"/>
  <c r="L76" i="44"/>
  <c r="L75" i="44"/>
  <c r="L74" i="44"/>
  <c r="L73" i="44"/>
  <c r="L72" i="44"/>
  <c r="L71" i="44"/>
  <c r="L69" i="44"/>
  <c r="B66" i="44"/>
  <c r="B65" i="44"/>
  <c r="D61" i="44"/>
  <c r="D60" i="44"/>
  <c r="I57" i="44"/>
  <c r="J57" i="44" s="1"/>
  <c r="H57" i="44"/>
  <c r="H65" i="44" s="1" a="1"/>
  <c r="H65" i="44" s="1"/>
  <c r="F57" i="44"/>
  <c r="F65" i="44" s="1" a="1"/>
  <c r="F65" i="44" s="1"/>
  <c r="E57" i="44"/>
  <c r="J56" i="44"/>
  <c r="B76" i="44" s="1"/>
  <c r="I56" i="44"/>
  <c r="B84" i="44" s="1"/>
  <c r="H56" i="44"/>
  <c r="B74" i="44" s="1"/>
  <c r="G56" i="44"/>
  <c r="G57" i="44" s="1"/>
  <c r="F56" i="44"/>
  <c r="B72" i="44" s="1"/>
  <c r="E56" i="44"/>
  <c r="B80" i="44" s="1"/>
  <c r="L54" i="44"/>
  <c r="L53" i="44"/>
  <c r="L52" i="44"/>
  <c r="H52" i="44"/>
  <c r="G52" i="44"/>
  <c r="F52" i="44"/>
  <c r="E52" i="44"/>
  <c r="K52" i="44" s="1"/>
  <c r="D52" i="44"/>
  <c r="Z49" i="44"/>
  <c r="D49" i="44"/>
  <c r="L48" i="44"/>
  <c r="L46" i="44"/>
  <c r="J44" i="44"/>
  <c r="I44" i="44"/>
  <c r="H44" i="44"/>
  <c r="G44" i="44"/>
  <c r="F44" i="44"/>
  <c r="E44" i="44"/>
  <c r="L42" i="44"/>
  <c r="H41" i="44"/>
  <c r="G41" i="44"/>
  <c r="F41" i="44"/>
  <c r="E41" i="44"/>
  <c r="D40" i="44"/>
  <c r="J39" i="44"/>
  <c r="I39" i="44"/>
  <c r="G39" i="44"/>
  <c r="G49" i="44" s="1"/>
  <c r="D39" i="44"/>
  <c r="J38" i="44"/>
  <c r="I38" i="44"/>
  <c r="H38" i="44"/>
  <c r="G38" i="44"/>
  <c r="F38" i="44"/>
  <c r="E38" i="44"/>
  <c r="K38" i="44" s="1"/>
  <c r="D38" i="44"/>
  <c r="L37" i="44"/>
  <c r="L36" i="44"/>
  <c r="K36" i="44"/>
  <c r="D36" i="44"/>
  <c r="B36" i="44"/>
  <c r="L35" i="44"/>
  <c r="K35" i="44"/>
  <c r="D35" i="44"/>
  <c r="B35" i="44"/>
  <c r="L34" i="44"/>
  <c r="K34" i="44"/>
  <c r="D34" i="44"/>
  <c r="B34" i="44"/>
  <c r="L33" i="44"/>
  <c r="K33" i="44"/>
  <c r="D33" i="44"/>
  <c r="B33" i="44"/>
  <c r="L32" i="44"/>
  <c r="K32" i="44"/>
  <c r="D32" i="44"/>
  <c r="B32" i="44"/>
  <c r="L31" i="44"/>
  <c r="K31" i="44"/>
  <c r="D31" i="44"/>
  <c r="B31" i="44"/>
  <c r="L30" i="44"/>
  <c r="K30" i="44"/>
  <c r="D30" i="44"/>
  <c r="B30" i="44"/>
  <c r="L29" i="44"/>
  <c r="K29" i="44"/>
  <c r="D29" i="44"/>
  <c r="B29" i="44"/>
  <c r="K28" i="44"/>
  <c r="D28" i="44"/>
  <c r="B28" i="44"/>
  <c r="L26" i="44"/>
  <c r="L25" i="44"/>
  <c r="L24" i="44"/>
  <c r="J24" i="44"/>
  <c r="I24" i="44"/>
  <c r="H24" i="44"/>
  <c r="H39" i="44" s="1"/>
  <c r="H49" i="44" s="1"/>
  <c r="G24" i="44"/>
  <c r="F24" i="44"/>
  <c r="F39" i="44" s="1"/>
  <c r="F49" i="44" s="1"/>
  <c r="E24" i="44"/>
  <c r="L23" i="44"/>
  <c r="K22" i="44"/>
  <c r="K21" i="44"/>
  <c r="L20" i="44"/>
  <c r="K20" i="44"/>
  <c r="L19" i="44"/>
  <c r="K19" i="44"/>
  <c r="L18" i="44"/>
  <c r="K18" i="44"/>
  <c r="L17" i="44"/>
  <c r="K17" i="44"/>
  <c r="L16" i="44"/>
  <c r="K16" i="44"/>
  <c r="L15" i="44"/>
  <c r="K15" i="44"/>
  <c r="K14" i="44"/>
  <c r="K24" i="44" s="1"/>
  <c r="L13" i="44"/>
  <c r="L12" i="44"/>
  <c r="L10" i="44"/>
  <c r="L6" i="44"/>
  <c r="E6" i="44"/>
  <c r="G25" i="44" l="1"/>
  <c r="H95" i="44"/>
  <c r="K95" i="44"/>
  <c r="G95" i="44"/>
  <c r="E95" i="44"/>
  <c r="J95" i="44"/>
  <c r="I95" i="44"/>
  <c r="F95" i="44"/>
  <c r="K25" i="44"/>
  <c r="I25" i="44"/>
  <c r="H25" i="44"/>
  <c r="J59" i="44" a="1"/>
  <c r="J59" i="44" s="1"/>
  <c r="H59" i="44" a="1"/>
  <c r="H59" i="44" s="1"/>
  <c r="F59" i="44" a="1"/>
  <c r="F59" i="44" s="1"/>
  <c r="I59" i="44" a="1"/>
  <c r="I59" i="44" s="1"/>
  <c r="G59" i="44" a="1"/>
  <c r="G59" i="44" s="1"/>
  <c r="E59" i="44" a="1"/>
  <c r="E59" i="44" s="1"/>
  <c r="E25" i="44"/>
  <c r="I97" i="44"/>
  <c r="E97" i="44"/>
  <c r="H97" i="44"/>
  <c r="G97" i="44"/>
  <c r="F97" i="44"/>
  <c r="K97" i="44"/>
  <c r="J97" i="44"/>
  <c r="F25" i="44"/>
  <c r="J25" i="44"/>
  <c r="E39" i="44"/>
  <c r="J72" i="44" a="1"/>
  <c r="J72" i="44" s="1"/>
  <c r="H72" i="44" a="1"/>
  <c r="H72" i="44" s="1"/>
  <c r="F72" i="44" a="1"/>
  <c r="F72" i="44" s="1"/>
  <c r="I72" i="44" a="1"/>
  <c r="I72" i="44" s="1"/>
  <c r="G72" i="44" a="1"/>
  <c r="G72" i="44" s="1"/>
  <c r="E72" i="44" a="1"/>
  <c r="E72" i="44" s="1"/>
  <c r="J76" i="44" a="1"/>
  <c r="J76" i="44" s="1"/>
  <c r="H76" i="44" a="1"/>
  <c r="H76" i="44" s="1"/>
  <c r="F76" i="44" a="1"/>
  <c r="F76" i="44" s="1"/>
  <c r="I76" i="44" a="1"/>
  <c r="I76" i="44" s="1"/>
  <c r="G76" i="44" a="1"/>
  <c r="G76" i="44" s="1"/>
  <c r="E76" i="44" a="1"/>
  <c r="E76" i="44" s="1"/>
  <c r="J65" i="44" a="1"/>
  <c r="J65" i="44" s="1"/>
  <c r="J62" i="44" a="1"/>
  <c r="J62" i="44" s="1"/>
  <c r="L7" i="44"/>
  <c r="G65" i="44" a="1"/>
  <c r="G65" i="44" s="1"/>
  <c r="G62" i="44" a="1"/>
  <c r="G62" i="44" s="1"/>
  <c r="I67" i="44" a="1"/>
  <c r="I67" i="44" s="1"/>
  <c r="J74" i="44" a="1"/>
  <c r="J74" i="44" s="1"/>
  <c r="H74" i="44" a="1"/>
  <c r="H74" i="44" s="1"/>
  <c r="F74" i="44" a="1"/>
  <c r="F74" i="44" s="1"/>
  <c r="I74" i="44" a="1"/>
  <c r="I74" i="44" s="1"/>
  <c r="G74" i="44" a="1"/>
  <c r="G74" i="44" s="1"/>
  <c r="E74" i="44" a="1"/>
  <c r="E74" i="44" s="1"/>
  <c r="E62" i="44" a="1"/>
  <c r="E62" i="44" s="1"/>
  <c r="I62" i="44" a="1"/>
  <c r="I62" i="44" s="1"/>
  <c r="F64" i="44" a="1"/>
  <c r="F64" i="44" s="1"/>
  <c r="H64" i="44" a="1"/>
  <c r="H64" i="44" s="1"/>
  <c r="J64" i="44" a="1"/>
  <c r="J64" i="44" s="1"/>
  <c r="E65" i="44" a="1"/>
  <c r="E65" i="44" s="1"/>
  <c r="I65" i="44" a="1"/>
  <c r="I65" i="44" s="1"/>
  <c r="F66" i="44" a="1"/>
  <c r="F66" i="44" s="1"/>
  <c r="H66" i="44" a="1"/>
  <c r="H66" i="44" s="1"/>
  <c r="J66" i="44" a="1"/>
  <c r="J66" i="44" s="1"/>
  <c r="E68" i="44"/>
  <c r="B102" i="44" s="1"/>
  <c r="I68" i="44"/>
  <c r="B190" i="44" s="1"/>
  <c r="B81" i="44"/>
  <c r="B83" i="44"/>
  <c r="B85" i="44"/>
  <c r="F91" i="44"/>
  <c r="G94" i="44"/>
  <c r="E63" i="44" a="1"/>
  <c r="E63" i="44" s="1"/>
  <c r="G63" i="44" a="1"/>
  <c r="G63" i="44" s="1"/>
  <c r="I63" i="44" a="1"/>
  <c r="I63" i="44" s="1"/>
  <c r="F67" i="44" a="1"/>
  <c r="F67" i="44" s="1"/>
  <c r="H67" i="44" a="1"/>
  <c r="H67" i="44" s="1"/>
  <c r="J67" i="44" a="1"/>
  <c r="J67" i="44" s="1"/>
  <c r="F68" i="44"/>
  <c r="B124" i="44" s="1"/>
  <c r="J68" i="44"/>
  <c r="B71" i="44"/>
  <c r="B73" i="44"/>
  <c r="B75" i="44"/>
  <c r="H94" i="44"/>
  <c r="F62" i="44" a="1"/>
  <c r="F62" i="44" s="1"/>
  <c r="H62" i="44" a="1"/>
  <c r="H62" i="44" s="1"/>
  <c r="H63" i="44" s="1" a="1"/>
  <c r="H63" i="44" s="1"/>
  <c r="E64" i="44" a="1"/>
  <c r="E64" i="44" s="1"/>
  <c r="G64" i="44" a="1"/>
  <c r="G64" i="44" s="1"/>
  <c r="I64" i="44" a="1"/>
  <c r="I64" i="44" s="1"/>
  <c r="E66" i="44" a="1"/>
  <c r="E66" i="44" s="1"/>
  <c r="G66" i="44" a="1"/>
  <c r="G66" i="44" s="1"/>
  <c r="I66" i="44" a="1"/>
  <c r="I66" i="44" s="1"/>
  <c r="G68" i="44"/>
  <c r="B146" i="44" s="1"/>
  <c r="B82" i="44"/>
  <c r="I91" i="44"/>
  <c r="F63" i="44" a="1"/>
  <c r="F63" i="44" s="1"/>
  <c r="J63" i="44" a="1"/>
  <c r="J63" i="44" s="1"/>
  <c r="E67" i="44" a="1"/>
  <c r="E67" i="44" s="1"/>
  <c r="G67" i="44" a="1"/>
  <c r="G67" i="44" s="1"/>
  <c r="H68" i="44"/>
  <c r="B168" i="44" s="1"/>
  <c r="B208" i="44" l="1"/>
  <c r="B217" i="44" s="1"/>
  <c r="B224" i="44"/>
  <c r="B187" i="44"/>
  <c r="B171" i="44"/>
  <c r="B223" i="44"/>
  <c r="B207" i="44"/>
  <c r="B216" i="44" s="1"/>
  <c r="B165" i="44"/>
  <c r="B149" i="44"/>
  <c r="I134" i="44"/>
  <c r="I135" i="44" s="1"/>
  <c r="E134" i="44"/>
  <c r="E135" i="44" s="1"/>
  <c r="H129" i="44"/>
  <c r="H134" i="44"/>
  <c r="H135" i="44" s="1"/>
  <c r="K129" i="44"/>
  <c r="G129" i="44"/>
  <c r="K134" i="44"/>
  <c r="K135" i="44" s="1"/>
  <c r="G134" i="44"/>
  <c r="G135" i="44" s="1"/>
  <c r="J129" i="44"/>
  <c r="F129" i="44"/>
  <c r="J134" i="44"/>
  <c r="J135" i="44" s="1"/>
  <c r="F134" i="44"/>
  <c r="F135" i="44" s="1"/>
  <c r="I129" i="44"/>
  <c r="E129" i="44"/>
  <c r="H103" i="44"/>
  <c r="G103" i="44"/>
  <c r="J112" i="44"/>
  <c r="J113" i="44" s="1"/>
  <c r="F112" i="44"/>
  <c r="F113" i="44" s="1"/>
  <c r="I107" i="44"/>
  <c r="E107" i="44"/>
  <c r="I112" i="44"/>
  <c r="I113" i="44" s="1"/>
  <c r="E112" i="44"/>
  <c r="E113" i="44" s="1"/>
  <c r="H107" i="44"/>
  <c r="H112" i="44"/>
  <c r="H113" i="44" s="1"/>
  <c r="K107" i="44"/>
  <c r="G107" i="44"/>
  <c r="K112" i="44"/>
  <c r="K113" i="44" s="1"/>
  <c r="G112" i="44"/>
  <c r="G113" i="44" s="1"/>
  <c r="J107" i="44"/>
  <c r="F107" i="44"/>
  <c r="J193" i="44"/>
  <c r="F193" i="44"/>
  <c r="I193" i="44"/>
  <c r="E193" i="44"/>
  <c r="H193" i="44"/>
  <c r="K193" i="44"/>
  <c r="G193" i="44"/>
  <c r="I98" i="44"/>
  <c r="I104" i="44" s="1"/>
  <c r="K98" i="44"/>
  <c r="K104" i="44" s="1"/>
  <c r="I75" i="44" a="1"/>
  <c r="I75" i="44" s="1"/>
  <c r="G75" i="44" a="1"/>
  <c r="G75" i="44" s="1"/>
  <c r="E75" i="44" a="1"/>
  <c r="E75" i="44" s="1"/>
  <c r="J75" i="44" a="1"/>
  <c r="J75" i="44" s="1"/>
  <c r="H75" i="44" a="1"/>
  <c r="H75" i="44" s="1"/>
  <c r="F75" i="44" a="1"/>
  <c r="F75" i="44" s="1"/>
  <c r="B206" i="44"/>
  <c r="B215" i="44" s="1"/>
  <c r="B222" i="44"/>
  <c r="B143" i="44"/>
  <c r="B127" i="44"/>
  <c r="E91" i="44"/>
  <c r="E94" i="44" s="1"/>
  <c r="F94" i="44"/>
  <c r="B225" i="44"/>
  <c r="B209" i="44"/>
  <c r="B218" i="44" s="1"/>
  <c r="B198" i="44"/>
  <c r="L8" i="44"/>
  <c r="I60" i="44" a="1"/>
  <c r="I60" i="44" s="1"/>
  <c r="G60" i="44" a="1"/>
  <c r="G60" i="44" s="1"/>
  <c r="E60" i="44" a="1"/>
  <c r="E60" i="44" s="1"/>
  <c r="E49" i="44"/>
  <c r="J60" i="44" a="1"/>
  <c r="J60" i="44" s="1"/>
  <c r="H60" i="44" a="1"/>
  <c r="H60" i="44" s="1"/>
  <c r="F60" i="44" a="1"/>
  <c r="F60" i="44" s="1"/>
  <c r="K39" i="44"/>
  <c r="H99" i="44" s="1"/>
  <c r="J127" i="44"/>
  <c r="F127" i="44"/>
  <c r="I127" i="44"/>
  <c r="E127" i="44"/>
  <c r="H127" i="44"/>
  <c r="K127" i="44"/>
  <c r="G127" i="44"/>
  <c r="J98" i="44"/>
  <c r="J104" i="44" s="1"/>
  <c r="H98" i="44"/>
  <c r="H104" i="44" s="1"/>
  <c r="J91" i="44"/>
  <c r="I94" i="44"/>
  <c r="I73" i="44" a="1"/>
  <c r="I73" i="44" s="1"/>
  <c r="G73" i="44" a="1"/>
  <c r="G73" i="44" s="1"/>
  <c r="E73" i="44" a="1"/>
  <c r="E73" i="44" s="1"/>
  <c r="J73" i="44" a="1"/>
  <c r="J73" i="44" s="1"/>
  <c r="H73" i="44" a="1"/>
  <c r="H73" i="44" s="1"/>
  <c r="F73" i="44" a="1"/>
  <c r="F73" i="44" s="1"/>
  <c r="B221" i="44"/>
  <c r="B205" i="44"/>
  <c r="B214" i="44" s="1"/>
  <c r="B121" i="44"/>
  <c r="B105" i="44"/>
  <c r="J156" i="44"/>
  <c r="J157" i="44" s="1"/>
  <c r="F156" i="44"/>
  <c r="F157" i="44" s="1"/>
  <c r="I151" i="44"/>
  <c r="E151" i="44"/>
  <c r="I156" i="44"/>
  <c r="I157" i="44" s="1"/>
  <c r="E156" i="44"/>
  <c r="E157" i="44" s="1"/>
  <c r="H151" i="44"/>
  <c r="H156" i="44"/>
  <c r="H157" i="44" s="1"/>
  <c r="K151" i="44"/>
  <c r="G151" i="44"/>
  <c r="K156" i="44"/>
  <c r="K157" i="44" s="1"/>
  <c r="G156" i="44"/>
  <c r="G157" i="44" s="1"/>
  <c r="J151" i="44"/>
  <c r="F151" i="44"/>
  <c r="K105" i="44"/>
  <c r="G105" i="44"/>
  <c r="J105" i="44"/>
  <c r="F105" i="44"/>
  <c r="I105" i="44"/>
  <c r="E105" i="44"/>
  <c r="H105" i="44"/>
  <c r="K59" i="44"/>
  <c r="J171" i="44"/>
  <c r="F171" i="44"/>
  <c r="I171" i="44"/>
  <c r="E171" i="44"/>
  <c r="H171" i="44"/>
  <c r="K171" i="44"/>
  <c r="G171" i="44"/>
  <c r="E98" i="44"/>
  <c r="E104" i="44" s="1"/>
  <c r="I178" i="44"/>
  <c r="I179" i="44" s="1"/>
  <c r="I194" i="44" s="1"/>
  <c r="E178" i="44"/>
  <c r="E179" i="44" s="1"/>
  <c r="E194" i="44" s="1"/>
  <c r="H173" i="44"/>
  <c r="H178" i="44"/>
  <c r="H179" i="44" s="1"/>
  <c r="H194" i="44" s="1"/>
  <c r="K173" i="44"/>
  <c r="G173" i="44"/>
  <c r="K178" i="44"/>
  <c r="K179" i="44" s="1"/>
  <c r="K194" i="44" s="1"/>
  <c r="G178" i="44"/>
  <c r="G179" i="44" s="1"/>
  <c r="G194" i="44" s="1"/>
  <c r="J173" i="44"/>
  <c r="F173" i="44"/>
  <c r="J178" i="44"/>
  <c r="J179" i="44" s="1"/>
  <c r="F178" i="44"/>
  <c r="F179" i="44" s="1"/>
  <c r="F194" i="44" s="1"/>
  <c r="I173" i="44"/>
  <c r="E173" i="44"/>
  <c r="I71" i="44" a="1"/>
  <c r="I71" i="44" s="1"/>
  <c r="I77" i="44" s="1"/>
  <c r="G71" i="44" a="1"/>
  <c r="G71" i="44" s="1"/>
  <c r="G77" i="44" s="1"/>
  <c r="E71" i="44" a="1"/>
  <c r="E71" i="44" s="1"/>
  <c r="E77" i="44" s="1"/>
  <c r="J71" i="44" a="1"/>
  <c r="J71" i="44" s="1"/>
  <c r="J77" i="44" s="1"/>
  <c r="H71" i="44" a="1"/>
  <c r="H71" i="44" s="1"/>
  <c r="H77" i="44" s="1"/>
  <c r="F71" i="44" a="1"/>
  <c r="F71" i="44" s="1"/>
  <c r="F77" i="44" s="1"/>
  <c r="I149" i="44"/>
  <c r="E149" i="44"/>
  <c r="H149" i="44"/>
  <c r="K149" i="44"/>
  <c r="G149" i="44"/>
  <c r="J149" i="44"/>
  <c r="F149" i="44"/>
  <c r="F98" i="44"/>
  <c r="F104" i="44" s="1"/>
  <c r="G98" i="44"/>
  <c r="G104" i="44" s="1"/>
  <c r="AC36" i="27"/>
  <c r="AC35" i="27"/>
  <c r="AC34" i="27"/>
  <c r="AC33" i="27"/>
  <c r="AC32" i="27"/>
  <c r="AC31" i="27"/>
  <c r="AC30" i="27"/>
  <c r="AC29" i="27"/>
  <c r="AP6" i="27"/>
  <c r="AJ6" i="27"/>
  <c r="AI6" i="27"/>
  <c r="AG6" i="27"/>
  <c r="AF6" i="27"/>
  <c r="AE6" i="27"/>
  <c r="AD6" i="27"/>
  <c r="AC6" i="27"/>
  <c r="W6" i="27"/>
  <c r="Q6" i="27"/>
  <c r="K36" i="27"/>
  <c r="K35" i="27"/>
  <c r="K34" i="27"/>
  <c r="K33" i="27"/>
  <c r="K32" i="27"/>
  <c r="K31" i="27"/>
  <c r="K30" i="27"/>
  <c r="K29" i="27"/>
  <c r="K6" i="27"/>
  <c r="AH19" i="27"/>
  <c r="AD19" i="27"/>
  <c r="Y19" i="27"/>
  <c r="AR19" i="27" s="1"/>
  <c r="E19" i="27"/>
  <c r="AH18" i="27"/>
  <c r="AD18" i="27"/>
  <c r="Y18" i="27"/>
  <c r="AR18" i="27" s="1"/>
  <c r="E18" i="27"/>
  <c r="H18" i="27" s="1"/>
  <c r="AH17" i="27"/>
  <c r="AD17" i="27"/>
  <c r="Y17" i="27"/>
  <c r="AR17" i="27" s="1"/>
  <c r="E17" i="27"/>
  <c r="H17" i="27" s="1"/>
  <c r="AH16" i="27"/>
  <c r="AD16" i="27"/>
  <c r="Y16" i="27"/>
  <c r="AR16" i="27" s="1"/>
  <c r="E16" i="27"/>
  <c r="H16" i="27" s="1"/>
  <c r="AH12" i="27"/>
  <c r="AH11" i="27"/>
  <c r="AH10" i="27"/>
  <c r="I177" i="44" l="1"/>
  <c r="I155" i="44"/>
  <c r="I133" i="44"/>
  <c r="I99" i="44"/>
  <c r="I111" i="44"/>
  <c r="I103" i="44"/>
  <c r="I100" i="44"/>
  <c r="K60" i="44"/>
  <c r="L9" i="44"/>
  <c r="J194" i="44"/>
  <c r="K91" i="44"/>
  <c r="K94" i="44" s="1"/>
  <c r="J94" i="44"/>
  <c r="F155" i="44"/>
  <c r="F177" i="44"/>
  <c r="F111" i="44"/>
  <c r="F103" i="44"/>
  <c r="F100" i="44"/>
  <c r="F133" i="44"/>
  <c r="F99" i="44"/>
  <c r="G133" i="44"/>
  <c r="G155" i="44"/>
  <c r="H133" i="44"/>
  <c r="H155" i="44"/>
  <c r="E177" i="44"/>
  <c r="E155" i="44"/>
  <c r="E133" i="44"/>
  <c r="E99" i="44"/>
  <c r="E111" i="44"/>
  <c r="E103" i="44"/>
  <c r="E100" i="44"/>
  <c r="G99" i="44"/>
  <c r="G100" i="44"/>
  <c r="H111" i="44"/>
  <c r="H100" i="44"/>
  <c r="K49" i="44"/>
  <c r="J61" i="44" a="1"/>
  <c r="J61" i="44" s="1"/>
  <c r="H61" i="44" a="1"/>
  <c r="H61" i="44" s="1"/>
  <c r="F61" i="44" a="1"/>
  <c r="F61" i="44" s="1"/>
  <c r="E61" i="44" a="1"/>
  <c r="E61" i="44" s="1"/>
  <c r="E80" i="44" a="1"/>
  <c r="E80" i="44" s="1"/>
  <c r="I84" i="44" a="1"/>
  <c r="I84" i="44" s="1"/>
  <c r="G61" i="44" a="1"/>
  <c r="G61" i="44" s="1"/>
  <c r="I61" i="44" a="1"/>
  <c r="I61" i="44" s="1"/>
  <c r="F81" i="44" a="1"/>
  <c r="F81" i="44" s="1"/>
  <c r="G111" i="44"/>
  <c r="G177" i="44"/>
  <c r="H177" i="44"/>
  <c r="H19" i="27"/>
  <c r="Y23" i="27"/>
  <c r="AR23" i="27" s="1"/>
  <c r="Y22" i="27"/>
  <c r="AR22" i="27" s="1"/>
  <c r="Y21" i="27"/>
  <c r="AR21" i="27" s="1"/>
  <c r="Y15" i="27"/>
  <c r="AR15" i="27" s="1"/>
  <c r="Y14" i="27"/>
  <c r="AR14" i="27" s="1"/>
  <c r="Y13" i="27"/>
  <c r="AR13" i="27" s="1"/>
  <c r="Y12" i="27"/>
  <c r="AR12" i="27" s="1"/>
  <c r="Y11" i="27"/>
  <c r="AR11" i="27" s="1"/>
  <c r="Y10" i="27"/>
  <c r="AR10" i="27" s="1"/>
  <c r="Y9" i="27"/>
  <c r="AR9" i="27" s="1"/>
  <c r="Y8" i="27"/>
  <c r="AR8" i="27" s="1"/>
  <c r="AH9" i="27"/>
  <c r="AQ25" i="27"/>
  <c r="X25" i="27"/>
  <c r="AD46" i="27"/>
  <c r="L34" i="27"/>
  <c r="I172" i="44" l="1"/>
  <c r="I175" i="44" s="1"/>
  <c r="I181" i="44" s="1"/>
  <c r="E172" i="44"/>
  <c r="E175" i="44" s="1"/>
  <c r="E181" i="44" s="1"/>
  <c r="H172" i="44"/>
  <c r="H175" i="44" s="1"/>
  <c r="H181" i="44" s="1"/>
  <c r="K172" i="44"/>
  <c r="G172" i="44"/>
  <c r="G175" i="44" s="1"/>
  <c r="G181" i="44" s="1"/>
  <c r="J172" i="44"/>
  <c r="F172" i="44"/>
  <c r="F175" i="44" s="1"/>
  <c r="F181" i="44" s="1"/>
  <c r="H84" i="44" a="1"/>
  <c r="H84" i="44" s="1"/>
  <c r="H80" i="44" a="1"/>
  <c r="H80" i="44" s="1"/>
  <c r="H83" i="44" a="1"/>
  <c r="H83" i="44" s="1"/>
  <c r="H81" i="44" a="1"/>
  <c r="H81" i="44" s="1"/>
  <c r="H85" i="44" a="1"/>
  <c r="H85" i="44" s="1"/>
  <c r="H82" i="44" a="1"/>
  <c r="H82" i="44" s="1"/>
  <c r="L14" i="44"/>
  <c r="J84" i="44" a="1"/>
  <c r="J84" i="44" s="1"/>
  <c r="J80" i="44" a="1"/>
  <c r="J80" i="44" s="1"/>
  <c r="J83" i="44" a="1"/>
  <c r="J83" i="44" s="1"/>
  <c r="J81" i="44" a="1"/>
  <c r="J81" i="44" s="1"/>
  <c r="J85" i="44" a="1"/>
  <c r="J85" i="44" s="1"/>
  <c r="J82" i="44" a="1"/>
  <c r="J82" i="44" s="1"/>
  <c r="L11" i="44"/>
  <c r="I80" i="44" a="1"/>
  <c r="I80" i="44" s="1"/>
  <c r="I81" i="44" a="1"/>
  <c r="I81" i="44" s="1"/>
  <c r="I85" i="44" a="1"/>
  <c r="I85" i="44" s="1"/>
  <c r="I83" i="44" a="1"/>
  <c r="I83" i="44" s="1"/>
  <c r="I82" i="44" a="1"/>
  <c r="I82" i="44" s="1"/>
  <c r="J106" i="44"/>
  <c r="F106" i="44"/>
  <c r="F109" i="44" s="1"/>
  <c r="F115" i="44" s="1"/>
  <c r="I106" i="44"/>
  <c r="I109" i="44" s="1"/>
  <c r="I115" i="44" s="1"/>
  <c r="E106" i="44"/>
  <c r="E109" i="44" s="1"/>
  <c r="E115" i="44" s="1"/>
  <c r="H106" i="44"/>
  <c r="K106" i="44"/>
  <c r="G106" i="44"/>
  <c r="K61" i="44"/>
  <c r="E84" i="44" a="1"/>
  <c r="E84" i="44" s="1"/>
  <c r="E83" i="44" a="1"/>
  <c r="E83" i="44" s="1"/>
  <c r="E82" i="44" a="1"/>
  <c r="E82" i="44" s="1"/>
  <c r="E81" i="44" a="1"/>
  <c r="E81" i="44" s="1"/>
  <c r="E86" i="44" s="1"/>
  <c r="E85" i="44" a="1"/>
  <c r="E85" i="44" s="1"/>
  <c r="J155" i="44"/>
  <c r="J175" i="44"/>
  <c r="J181" i="44" s="1"/>
  <c r="J177" i="44"/>
  <c r="J111" i="44"/>
  <c r="J221" i="44" s="1"/>
  <c r="J103" i="44"/>
  <c r="J108" i="44" s="1"/>
  <c r="J100" i="44"/>
  <c r="J133" i="44"/>
  <c r="J109" i="44"/>
  <c r="J115" i="44" s="1"/>
  <c r="J99" i="44"/>
  <c r="J150" i="44"/>
  <c r="J153" i="44" s="1"/>
  <c r="J159" i="44" s="1"/>
  <c r="I150" i="44"/>
  <c r="I153" i="44" s="1"/>
  <c r="I159" i="44" s="1"/>
  <c r="K150" i="44"/>
  <c r="G150" i="44"/>
  <c r="G153" i="44" s="1"/>
  <c r="G159" i="44" s="1"/>
  <c r="H150" i="44"/>
  <c r="H153" i="44" s="1"/>
  <c r="H159" i="44" s="1"/>
  <c r="F150" i="44"/>
  <c r="F153" i="44" s="1"/>
  <c r="F159" i="44" s="1"/>
  <c r="E150" i="44"/>
  <c r="E153" i="44" s="1"/>
  <c r="E159" i="44" s="1"/>
  <c r="G80" i="44" a="1"/>
  <c r="G80" i="44" s="1"/>
  <c r="G84" i="44" a="1"/>
  <c r="G84" i="44" s="1"/>
  <c r="G82" i="44" a="1"/>
  <c r="G82" i="44" s="1"/>
  <c r="G83" i="44" a="1"/>
  <c r="G83" i="44" s="1"/>
  <c r="G81" i="44" a="1"/>
  <c r="G81" i="44" s="1"/>
  <c r="G85" i="44" a="1"/>
  <c r="G85" i="44" s="1"/>
  <c r="I128" i="44"/>
  <c r="I131" i="44" s="1"/>
  <c r="I137" i="44" s="1"/>
  <c r="E128" i="44"/>
  <c r="E131" i="44" s="1"/>
  <c r="E137" i="44" s="1"/>
  <c r="H128" i="44"/>
  <c r="H131" i="44" s="1"/>
  <c r="H137" i="44" s="1"/>
  <c r="K128" i="44"/>
  <c r="G128" i="44"/>
  <c r="G131" i="44" s="1"/>
  <c r="G137" i="44" s="1"/>
  <c r="J128" i="44"/>
  <c r="J131" i="44" s="1"/>
  <c r="J137" i="44" s="1"/>
  <c r="F128" i="44"/>
  <c r="F131" i="44" s="1"/>
  <c r="F137" i="44" s="1"/>
  <c r="F80" i="44" a="1"/>
  <c r="F80" i="44" s="1"/>
  <c r="F84" i="44" a="1"/>
  <c r="F84" i="44" s="1"/>
  <c r="F85" i="44" a="1"/>
  <c r="F85" i="44" s="1"/>
  <c r="F82" i="44" a="1"/>
  <c r="F82" i="44" s="1"/>
  <c r="F83" i="44" a="1"/>
  <c r="F83" i="44" s="1"/>
  <c r="H221" i="44"/>
  <c r="E108" i="44"/>
  <c r="F221" i="44"/>
  <c r="K175" i="44"/>
  <c r="K181" i="44" s="1"/>
  <c r="K177" i="44"/>
  <c r="K153" i="44"/>
  <c r="K159" i="44" s="1"/>
  <c r="K155" i="44"/>
  <c r="K131" i="44"/>
  <c r="K137" i="44" s="1"/>
  <c r="K103" i="44"/>
  <c r="K108" i="44" s="1"/>
  <c r="K100" i="44"/>
  <c r="K133" i="44"/>
  <c r="K109" i="44"/>
  <c r="K115" i="44" s="1"/>
  <c r="K99" i="44"/>
  <c r="K111" i="44"/>
  <c r="K221" i="44" s="1"/>
  <c r="I221" i="44"/>
  <c r="C25" i="27"/>
  <c r="K114" i="44" l="1"/>
  <c r="K117" i="44"/>
  <c r="G86" i="44"/>
  <c r="J114" i="44"/>
  <c r="J117" i="44"/>
  <c r="G108" i="44"/>
  <c r="G109" i="44"/>
  <c r="G115" i="44" s="1"/>
  <c r="G221" i="44"/>
  <c r="E221" i="44"/>
  <c r="E114" i="44"/>
  <c r="E117" i="44"/>
  <c r="J86" i="44"/>
  <c r="H86" i="44"/>
  <c r="H108" i="44"/>
  <c r="H109" i="44"/>
  <c r="H115" i="44" s="1"/>
  <c r="I108" i="44"/>
  <c r="F108" i="44"/>
  <c r="F86" i="44"/>
  <c r="I86" i="44"/>
  <c r="L21" i="44"/>
  <c r="D25" i="27"/>
  <c r="E23" i="27"/>
  <c r="E22" i="27"/>
  <c r="E21" i="27"/>
  <c r="E15" i="27"/>
  <c r="E14" i="27"/>
  <c r="E13" i="27"/>
  <c r="E12" i="27"/>
  <c r="E11" i="27"/>
  <c r="E10" i="27"/>
  <c r="E9" i="27"/>
  <c r="E8" i="27"/>
  <c r="L22" i="44" l="1"/>
  <c r="L27" i="44"/>
  <c r="L28" i="44" s="1"/>
  <c r="H114" i="44"/>
  <c r="H117" i="44"/>
  <c r="J120" i="44"/>
  <c r="J118" i="44"/>
  <c r="F114" i="44"/>
  <c r="F117" i="44"/>
  <c r="G114" i="44"/>
  <c r="G117" i="44"/>
  <c r="K118" i="44"/>
  <c r="K120" i="44"/>
  <c r="I114" i="44"/>
  <c r="I117" i="44"/>
  <c r="E120" i="44"/>
  <c r="E118" i="44"/>
  <c r="L38" i="44"/>
  <c r="E25" i="27"/>
  <c r="Y25" i="27"/>
  <c r="H23" i="27"/>
  <c r="H22" i="27"/>
  <c r="H21" i="27"/>
  <c r="H15" i="27"/>
  <c r="H14" i="27"/>
  <c r="H13" i="27"/>
  <c r="H12" i="27"/>
  <c r="H11" i="27"/>
  <c r="H10" i="27"/>
  <c r="H9" i="27"/>
  <c r="H8" i="27"/>
  <c r="G25" i="27"/>
  <c r="AM25" i="27"/>
  <c r="AC25" i="27"/>
  <c r="T25" i="27"/>
  <c r="K25" i="27"/>
  <c r="AD21" i="27"/>
  <c r="I120" i="44" l="1"/>
  <c r="I118" i="44"/>
  <c r="J119" i="44"/>
  <c r="J125" i="44" s="1"/>
  <c r="J126" i="44"/>
  <c r="E119" i="44"/>
  <c r="E125" i="44" s="1"/>
  <c r="E126" i="44"/>
  <c r="G118" i="44"/>
  <c r="G120" i="44"/>
  <c r="L39" i="44"/>
  <c r="L40" i="44" s="1"/>
  <c r="L41" i="44" s="1"/>
  <c r="L43" i="44"/>
  <c r="L44" i="44" s="1"/>
  <c r="L45" i="44" s="1"/>
  <c r="L47" i="44" s="1"/>
  <c r="L49" i="44" s="1"/>
  <c r="L50" i="44" s="1"/>
  <c r="L51" i="44" s="1"/>
  <c r="L55" i="44" s="1"/>
  <c r="L56" i="44" s="1"/>
  <c r="L57" i="44" s="1"/>
  <c r="L59" i="44" s="1"/>
  <c r="L60" i="44" s="1"/>
  <c r="L61" i="44" s="1"/>
  <c r="L62" i="44" s="1"/>
  <c r="L63" i="44" s="1"/>
  <c r="L64" i="44" s="1"/>
  <c r="L65" i="44" s="1"/>
  <c r="L66" i="44" s="1"/>
  <c r="L67" i="44" s="1"/>
  <c r="L68" i="44" s="1"/>
  <c r="L70" i="44" s="1"/>
  <c r="L79" i="44" s="1"/>
  <c r="L91" i="44" s="1"/>
  <c r="L92" i="44" s="1"/>
  <c r="L93" i="44" s="1"/>
  <c r="L94" i="44" s="1"/>
  <c r="L95" i="44" s="1"/>
  <c r="L96" i="44" s="1"/>
  <c r="L97" i="44" s="1"/>
  <c r="L98" i="44" s="1"/>
  <c r="L99" i="44" s="1"/>
  <c r="L100" i="44" s="1"/>
  <c r="L103" i="44" s="1"/>
  <c r="L104" i="44" s="1"/>
  <c r="L105" i="44" s="1"/>
  <c r="L106" i="44" s="1"/>
  <c r="L107" i="44" s="1"/>
  <c r="L108" i="44" s="1"/>
  <c r="L109" i="44" s="1"/>
  <c r="L110" i="44" s="1"/>
  <c r="L111" i="44" s="1"/>
  <c r="L112" i="44" s="1"/>
  <c r="L113" i="44" s="1"/>
  <c r="L114" i="44" s="1"/>
  <c r="L115" i="44" s="1"/>
  <c r="L116" i="44" s="1"/>
  <c r="L117" i="44" s="1"/>
  <c r="L118" i="44" s="1"/>
  <c r="L119" i="44" s="1"/>
  <c r="L120" i="44" s="1"/>
  <c r="L121" i="44" s="1"/>
  <c r="L122" i="44" s="1"/>
  <c r="L201" i="44" s="1"/>
  <c r="L202" i="44" s="1"/>
  <c r="L210" i="44" s="1"/>
  <c r="L211" i="44" s="1"/>
  <c r="L221" i="44" s="1"/>
  <c r="L228" i="44" s="1"/>
  <c r="L229" i="44" s="1"/>
  <c r="L240" i="44" s="1"/>
  <c r="L241" i="44" s="1"/>
  <c r="L255" i="44" s="1"/>
  <c r="L267" i="44" s="1"/>
  <c r="L296" i="44" s="1"/>
  <c r="L327" i="44" s="1"/>
  <c r="L328" i="44" s="1"/>
  <c r="L333" i="44" s="1"/>
  <c r="F120" i="44"/>
  <c r="F118" i="44"/>
  <c r="J121" i="44"/>
  <c r="H118" i="44"/>
  <c r="H120" i="44"/>
  <c r="E121" i="44"/>
  <c r="K119" i="44"/>
  <c r="K125" i="44" s="1"/>
  <c r="K126" i="44"/>
  <c r="F19" i="27"/>
  <c r="F18" i="27"/>
  <c r="F17" i="27"/>
  <c r="F16" i="27"/>
  <c r="F23" i="27"/>
  <c r="F14" i="27"/>
  <c r="F10" i="27"/>
  <c r="F13" i="27"/>
  <c r="F9" i="27"/>
  <c r="F21" i="27"/>
  <c r="F12" i="27"/>
  <c r="F8" i="27"/>
  <c r="F15" i="27"/>
  <c r="F11" i="27"/>
  <c r="F22" i="27"/>
  <c r="H25" i="27"/>
  <c r="I19" i="27" s="1"/>
  <c r="F119" i="44" l="1"/>
  <c r="F125" i="44" s="1"/>
  <c r="F126" i="44"/>
  <c r="E130" i="44"/>
  <c r="E222" i="44"/>
  <c r="J130" i="44"/>
  <c r="J222" i="44"/>
  <c r="E122" i="44"/>
  <c r="G119" i="44"/>
  <c r="G125" i="44" s="1"/>
  <c r="G126" i="44"/>
  <c r="H119" i="44"/>
  <c r="H125" i="44" s="1"/>
  <c r="H126" i="44"/>
  <c r="F121" i="44"/>
  <c r="I119" i="44"/>
  <c r="I125" i="44" s="1"/>
  <c r="I126" i="44"/>
  <c r="K130" i="44"/>
  <c r="K222" i="44"/>
  <c r="J122" i="44"/>
  <c r="K121" i="44"/>
  <c r="I17" i="27"/>
  <c r="I18" i="27"/>
  <c r="I15" i="27"/>
  <c r="I16" i="27"/>
  <c r="F25" i="27"/>
  <c r="I14" i="27"/>
  <c r="I21" i="27"/>
  <c r="I10" i="27"/>
  <c r="I12" i="27"/>
  <c r="I13" i="27"/>
  <c r="I8" i="27"/>
  <c r="I11" i="27"/>
  <c r="I23" i="27"/>
  <c r="I9" i="27"/>
  <c r="I22" i="27"/>
  <c r="I130" i="44" l="1"/>
  <c r="I222" i="44"/>
  <c r="K122" i="44"/>
  <c r="K136" i="44"/>
  <c r="K139" i="44"/>
  <c r="F122" i="44"/>
  <c r="H121" i="44"/>
  <c r="G121" i="44"/>
  <c r="J136" i="44"/>
  <c r="J139" i="44"/>
  <c r="H130" i="44"/>
  <c r="H222" i="44"/>
  <c r="F130" i="44"/>
  <c r="F222" i="44"/>
  <c r="G130" i="44"/>
  <c r="G222" i="44"/>
  <c r="I121" i="44"/>
  <c r="E136" i="44"/>
  <c r="E139" i="44"/>
  <c r="I25" i="27"/>
  <c r="E142" i="44" l="1"/>
  <c r="E140" i="44"/>
  <c r="J140" i="44"/>
  <c r="J142" i="44"/>
  <c r="G136" i="44"/>
  <c r="G139" i="44"/>
  <c r="G122" i="44"/>
  <c r="I122" i="44"/>
  <c r="H136" i="44"/>
  <c r="H139" i="44"/>
  <c r="K140" i="44"/>
  <c r="K142" i="44"/>
  <c r="F136" i="44"/>
  <c r="F139" i="44"/>
  <c r="H122" i="44"/>
  <c r="I136" i="44"/>
  <c r="I139" i="44"/>
  <c r="AH8" i="27"/>
  <c r="D20" i="41"/>
  <c r="B4" i="31"/>
  <c r="AD49" i="27"/>
  <c r="G32" i="33"/>
  <c r="X16" i="33"/>
  <c r="X15" i="33"/>
  <c r="X12" i="33"/>
  <c r="X11" i="33"/>
  <c r="X10" i="33"/>
  <c r="X9" i="33"/>
  <c r="X8" i="33"/>
  <c r="D13" i="41"/>
  <c r="B12" i="41"/>
  <c r="B7" i="41"/>
  <c r="B6" i="41"/>
  <c r="B5" i="41"/>
  <c r="B2" i="41"/>
  <c r="H142" i="44" l="1"/>
  <c r="H140" i="44"/>
  <c r="I142" i="44"/>
  <c r="I140" i="44"/>
  <c r="F140" i="44"/>
  <c r="F142" i="44"/>
  <c r="E141" i="44"/>
  <c r="E147" i="44" s="1"/>
  <c r="E148" i="44"/>
  <c r="K143" i="44"/>
  <c r="J141" i="44"/>
  <c r="J147" i="44" s="1"/>
  <c r="J148" i="44"/>
  <c r="K141" i="44"/>
  <c r="K147" i="44" s="1"/>
  <c r="K148" i="44"/>
  <c r="G140" i="44"/>
  <c r="G142" i="44"/>
  <c r="E143" i="44"/>
  <c r="AD34" i="27"/>
  <c r="K152" i="44" l="1"/>
  <c r="K223" i="44"/>
  <c r="F141" i="44"/>
  <c r="F147" i="44" s="1"/>
  <c r="F148" i="44"/>
  <c r="E152" i="44"/>
  <c r="E223" i="44"/>
  <c r="H141" i="44"/>
  <c r="H147" i="44" s="1"/>
  <c r="H148" i="44"/>
  <c r="E144" i="44"/>
  <c r="G141" i="44"/>
  <c r="G147" i="44" s="1"/>
  <c r="G148" i="44"/>
  <c r="J152" i="44"/>
  <c r="J223" i="44"/>
  <c r="J143" i="44"/>
  <c r="I141" i="44"/>
  <c r="I147" i="44" s="1"/>
  <c r="I148" i="44"/>
  <c r="K144" i="44"/>
  <c r="F143" i="44"/>
  <c r="H143" i="44"/>
  <c r="J144" i="44" l="1"/>
  <c r="G152" i="44"/>
  <c r="G223" i="44"/>
  <c r="F152" i="44"/>
  <c r="F223" i="44"/>
  <c r="H152" i="44"/>
  <c r="H223" i="44"/>
  <c r="G143" i="44"/>
  <c r="H144" i="44"/>
  <c r="J158" i="44"/>
  <c r="J161" i="44"/>
  <c r="I143" i="44"/>
  <c r="F144" i="44"/>
  <c r="I152" i="44"/>
  <c r="I223" i="44"/>
  <c r="E158" i="44"/>
  <c r="E161" i="44"/>
  <c r="K158" i="44"/>
  <c r="K161" i="44"/>
  <c r="J164" i="44" l="1"/>
  <c r="J162" i="44"/>
  <c r="G144" i="44"/>
  <c r="G158" i="44"/>
  <c r="G161" i="44"/>
  <c r="E164" i="44"/>
  <c r="E162" i="44"/>
  <c r="I158" i="44"/>
  <c r="I161" i="44"/>
  <c r="I144" i="44"/>
  <c r="F158" i="44"/>
  <c r="F161" i="44"/>
  <c r="K162" i="44"/>
  <c r="K164" i="44"/>
  <c r="H158" i="44"/>
  <c r="H161" i="44"/>
  <c r="F164" i="44" l="1"/>
  <c r="F162" i="44"/>
  <c r="K165" i="44"/>
  <c r="I164" i="44"/>
  <c r="I162" i="44"/>
  <c r="J163" i="44"/>
  <c r="J169" i="44" s="1"/>
  <c r="J170" i="44"/>
  <c r="K163" i="44"/>
  <c r="K169" i="44" s="1"/>
  <c r="K170" i="44"/>
  <c r="G162" i="44"/>
  <c r="G164" i="44"/>
  <c r="H162" i="44"/>
  <c r="H164" i="44"/>
  <c r="E163" i="44"/>
  <c r="E169" i="44" s="1"/>
  <c r="E170" i="44"/>
  <c r="J165" i="44"/>
  <c r="J166" i="44" l="1"/>
  <c r="H163" i="44"/>
  <c r="H169" i="44" s="1"/>
  <c r="H170" i="44"/>
  <c r="E165" i="44"/>
  <c r="K166" i="44"/>
  <c r="K174" i="44"/>
  <c r="K224" i="44"/>
  <c r="K226" i="44" s="1"/>
  <c r="I163" i="44"/>
  <c r="I169" i="44" s="1"/>
  <c r="I170" i="44"/>
  <c r="F163" i="44"/>
  <c r="F169" i="44" s="1"/>
  <c r="F170" i="44"/>
  <c r="H165" i="44"/>
  <c r="E174" i="44"/>
  <c r="E224" i="44"/>
  <c r="E226" i="44" s="1"/>
  <c r="G163" i="44"/>
  <c r="G169" i="44" s="1"/>
  <c r="G170" i="44"/>
  <c r="J174" i="44"/>
  <c r="J224" i="44"/>
  <c r="J226" i="44" s="1"/>
  <c r="I165" i="44"/>
  <c r="F165" i="44"/>
  <c r="G174" i="44" l="1"/>
  <c r="G224" i="44"/>
  <c r="G226" i="44" s="1"/>
  <c r="H174" i="44"/>
  <c r="H224" i="44"/>
  <c r="H226" i="44" s="1"/>
  <c r="J180" i="44"/>
  <c r="J183" i="44"/>
  <c r="F174" i="44"/>
  <c r="F224" i="44"/>
  <c r="F226" i="44" s="1"/>
  <c r="K180" i="44"/>
  <c r="K183" i="44"/>
  <c r="E166" i="44"/>
  <c r="F166" i="44"/>
  <c r="E180" i="44"/>
  <c r="E183" i="44"/>
  <c r="G165" i="44"/>
  <c r="I166" i="44"/>
  <c r="H166" i="44"/>
  <c r="I174" i="44"/>
  <c r="I224" i="44"/>
  <c r="I226" i="44" s="1"/>
  <c r="I180" i="44" l="1"/>
  <c r="I183" i="44"/>
  <c r="F180" i="44"/>
  <c r="F183" i="44"/>
  <c r="H180" i="44"/>
  <c r="H183" i="44"/>
  <c r="G166" i="44"/>
  <c r="K184" i="44"/>
  <c r="K186" i="44"/>
  <c r="J184" i="44"/>
  <c r="J186" i="44"/>
  <c r="E186" i="44"/>
  <c r="E184" i="44"/>
  <c r="G180" i="44"/>
  <c r="G183" i="44"/>
  <c r="F184" i="44" l="1"/>
  <c r="F186" i="44"/>
  <c r="G184" i="44"/>
  <c r="G186" i="44"/>
  <c r="K187" i="44"/>
  <c r="H186" i="44"/>
  <c r="H184" i="44"/>
  <c r="I186" i="44"/>
  <c r="I184" i="44"/>
  <c r="E185" i="44"/>
  <c r="E191" i="44" s="1"/>
  <c r="E197" i="44" s="1"/>
  <c r="E199" i="44" s="1"/>
  <c r="E195" i="44"/>
  <c r="E196" i="44" s="1"/>
  <c r="E192" i="44"/>
  <c r="J185" i="44"/>
  <c r="J191" i="44" s="1"/>
  <c r="J197" i="44" s="1"/>
  <c r="J195" i="44"/>
  <c r="J196" i="44" s="1"/>
  <c r="J192" i="44"/>
  <c r="K185" i="44"/>
  <c r="K191" i="44" s="1"/>
  <c r="K197" i="44" s="1"/>
  <c r="K195" i="44"/>
  <c r="K196" i="44" s="1"/>
  <c r="K192" i="44"/>
  <c r="E198" i="44" l="1"/>
  <c r="E176" i="44"/>
  <c r="E182" i="44" s="1"/>
  <c r="E154" i="44"/>
  <c r="E160" i="44" s="1"/>
  <c r="E132" i="44"/>
  <c r="E138" i="44" s="1"/>
  <c r="E110" i="44"/>
  <c r="E116" i="44" s="1"/>
  <c r="K188" i="44"/>
  <c r="J199" i="44"/>
  <c r="J187" i="44"/>
  <c r="H185" i="44"/>
  <c r="H191" i="44" s="1"/>
  <c r="H197" i="44" s="1"/>
  <c r="H199" i="44" s="1"/>
  <c r="H195" i="44"/>
  <c r="H196" i="44" s="1"/>
  <c r="H192" i="44"/>
  <c r="E187" i="44"/>
  <c r="F187" i="44"/>
  <c r="G185" i="44"/>
  <c r="G191" i="44" s="1"/>
  <c r="G197" i="44" s="1"/>
  <c r="G199" i="44" s="1"/>
  <c r="G195" i="44"/>
  <c r="G196" i="44" s="1"/>
  <c r="G192" i="44"/>
  <c r="K199" i="44"/>
  <c r="I185" i="44"/>
  <c r="I191" i="44" s="1"/>
  <c r="I197" i="44" s="1"/>
  <c r="I199" i="44" s="1"/>
  <c r="I195" i="44"/>
  <c r="I196" i="44" s="1"/>
  <c r="I192" i="44"/>
  <c r="F185" i="44"/>
  <c r="F191" i="44" s="1"/>
  <c r="F197" i="44" s="1"/>
  <c r="F195" i="44"/>
  <c r="F196" i="44" s="1"/>
  <c r="F192" i="44"/>
  <c r="H187" i="44"/>
  <c r="G154" i="44" l="1"/>
  <c r="G160" i="44" s="1"/>
  <c r="G198" i="44"/>
  <c r="G176" i="44"/>
  <c r="G182" i="44" s="1"/>
  <c r="G110" i="44"/>
  <c r="G116" i="44" s="1"/>
  <c r="G132" i="44"/>
  <c r="G138" i="44" s="1"/>
  <c r="J198" i="44"/>
  <c r="J201" i="44" s="1"/>
  <c r="J202" i="44" s="1"/>
  <c r="J176" i="44"/>
  <c r="J182" i="44" s="1"/>
  <c r="J154" i="44"/>
  <c r="J160" i="44" s="1"/>
  <c r="J132" i="44"/>
  <c r="J138" i="44" s="1"/>
  <c r="J110" i="44"/>
  <c r="J116" i="44" s="1"/>
  <c r="G187" i="44"/>
  <c r="F199" i="44"/>
  <c r="K154" i="44"/>
  <c r="K160" i="44" s="1"/>
  <c r="K198" i="44"/>
  <c r="K176" i="44"/>
  <c r="K182" i="44" s="1"/>
  <c r="K110" i="44"/>
  <c r="K116" i="44" s="1"/>
  <c r="K132" i="44"/>
  <c r="K138" i="44" s="1"/>
  <c r="I187" i="44"/>
  <c r="I198" i="44"/>
  <c r="I176" i="44"/>
  <c r="I182" i="44" s="1"/>
  <c r="I154" i="44"/>
  <c r="I160" i="44" s="1"/>
  <c r="I132" i="44"/>
  <c r="I138" i="44" s="1"/>
  <c r="I110" i="44"/>
  <c r="I116" i="44" s="1"/>
  <c r="F188" i="44"/>
  <c r="H198" i="44"/>
  <c r="H201" i="44" s="1"/>
  <c r="H202" i="44" s="1"/>
  <c r="H176" i="44"/>
  <c r="H182" i="44" s="1"/>
  <c r="H154" i="44"/>
  <c r="H160" i="44" s="1"/>
  <c r="H132" i="44"/>
  <c r="H138" i="44" s="1"/>
  <c r="H110" i="44"/>
  <c r="H116" i="44" s="1"/>
  <c r="H188" i="44"/>
  <c r="H209" i="44"/>
  <c r="H218" i="44" s="1"/>
  <c r="H206" i="44"/>
  <c r="H215" i="44" s="1"/>
  <c r="H205" i="44"/>
  <c r="E188" i="44"/>
  <c r="E207" i="44"/>
  <c r="E216" i="44" s="1"/>
  <c r="E208" i="44"/>
  <c r="E217" i="44" s="1"/>
  <c r="E205" i="44"/>
  <c r="E209" i="44"/>
  <c r="E218" i="44" s="1"/>
  <c r="E206" i="44"/>
  <c r="E215" i="44" s="1"/>
  <c r="J188" i="44"/>
  <c r="J209" i="44"/>
  <c r="J218" i="44" s="1"/>
  <c r="J207" i="44"/>
  <c r="J216" i="44" s="1"/>
  <c r="J206" i="44"/>
  <c r="J215" i="44" s="1"/>
  <c r="J208" i="44"/>
  <c r="J217" i="44" s="1"/>
  <c r="J205" i="44"/>
  <c r="E201" i="44"/>
  <c r="E202" i="44" s="1"/>
  <c r="F176" i="44" l="1"/>
  <c r="F182" i="44" s="1"/>
  <c r="F154" i="44"/>
  <c r="F160" i="44" s="1"/>
  <c r="F198" i="44"/>
  <c r="F132" i="44"/>
  <c r="F138" i="44" s="1"/>
  <c r="F110" i="44"/>
  <c r="F116" i="44" s="1"/>
  <c r="H208" i="44"/>
  <c r="H217" i="44" s="1"/>
  <c r="I201" i="44"/>
  <c r="I202" i="44" s="1"/>
  <c r="G188" i="44"/>
  <c r="G206" i="44"/>
  <c r="G215" i="44" s="1"/>
  <c r="G207" i="44"/>
  <c r="G216" i="44" s="1"/>
  <c r="G208" i="44"/>
  <c r="G217" i="44" s="1"/>
  <c r="G209" i="44"/>
  <c r="G218" i="44" s="1"/>
  <c r="G205" i="44"/>
  <c r="J214" i="44"/>
  <c r="J210" i="44"/>
  <c r="J211" i="44" s="1"/>
  <c r="E210" i="44"/>
  <c r="E211" i="44" s="1"/>
  <c r="E214" i="44"/>
  <c r="I188" i="44"/>
  <c r="I206" i="44"/>
  <c r="I215" i="44" s="1"/>
  <c r="I205" i="44"/>
  <c r="I208" i="44"/>
  <c r="I217" i="44" s="1"/>
  <c r="I207" i="44"/>
  <c r="I216" i="44" s="1"/>
  <c r="I209" i="44"/>
  <c r="I218" i="44" s="1"/>
  <c r="K201" i="44"/>
  <c r="K202" i="44" s="1"/>
  <c r="K208" i="44"/>
  <c r="K217" i="44" s="1"/>
  <c r="K205" i="44"/>
  <c r="K206" i="44"/>
  <c r="K215" i="44" s="1"/>
  <c r="K207" i="44"/>
  <c r="K216" i="44" s="1"/>
  <c r="K209" i="44"/>
  <c r="K218" i="44" s="1"/>
  <c r="G201" i="44"/>
  <c r="G202" i="44" s="1"/>
  <c r="H214" i="44"/>
  <c r="H210" i="44"/>
  <c r="H211" i="44" s="1"/>
  <c r="H207" i="44"/>
  <c r="H216" i="44" s="1"/>
  <c r="F201" i="44" l="1"/>
  <c r="F202" i="44" s="1"/>
  <c r="E9" i="44" s="1"/>
  <c r="F209" i="44"/>
  <c r="F218" i="44" s="1"/>
  <c r="F208" i="44"/>
  <c r="F217" i="44" s="1"/>
  <c r="F207" i="44"/>
  <c r="F216" i="44" s="1"/>
  <c r="F205" i="44"/>
  <c r="F206" i="44"/>
  <c r="F215" i="44" s="1"/>
  <c r="H248" i="44"/>
  <c r="H261" i="44" s="1"/>
  <c r="H246" i="44"/>
  <c r="H259" i="44" s="1"/>
  <c r="H244" i="44"/>
  <c r="H257" i="44" s="1"/>
  <c r="H242" i="44"/>
  <c r="H249" i="44"/>
  <c r="H262" i="44" s="1"/>
  <c r="H247" i="44"/>
  <c r="H260" i="44" s="1"/>
  <c r="H245" i="44"/>
  <c r="H258" i="44" s="1"/>
  <c r="H243" i="44"/>
  <c r="H256" i="44" s="1"/>
  <c r="J249" i="44"/>
  <c r="J262" i="44" s="1"/>
  <c r="J247" i="44"/>
  <c r="J260" i="44" s="1"/>
  <c r="J245" i="44"/>
  <c r="J258" i="44" s="1"/>
  <c r="J243" i="44"/>
  <c r="J256" i="44" s="1"/>
  <c r="J248" i="44"/>
  <c r="J261" i="44" s="1"/>
  <c r="J246" i="44"/>
  <c r="J259" i="44" s="1"/>
  <c r="J244" i="44"/>
  <c r="J257" i="44" s="1"/>
  <c r="J242" i="44"/>
  <c r="I210" i="44"/>
  <c r="I211" i="44" s="1"/>
  <c r="I214" i="44"/>
  <c r="K214" i="44"/>
  <c r="K210" i="44"/>
  <c r="K211" i="44" s="1"/>
  <c r="E248" i="44"/>
  <c r="E261" i="44" s="1"/>
  <c r="E246" i="44"/>
  <c r="E259" i="44" s="1"/>
  <c r="E244" i="44"/>
  <c r="E257" i="44" s="1"/>
  <c r="E242" i="44"/>
  <c r="E249" i="44"/>
  <c r="E262" i="44" s="1"/>
  <c r="E247" i="44"/>
  <c r="E260" i="44" s="1"/>
  <c r="E245" i="44"/>
  <c r="E258" i="44" s="1"/>
  <c r="E243" i="44"/>
  <c r="E256" i="44" s="1"/>
  <c r="G214" i="44"/>
  <c r="G210" i="44"/>
  <c r="G211" i="44" s="1"/>
  <c r="I248" i="44" l="1"/>
  <c r="I261" i="44" s="1"/>
  <c r="I246" i="44"/>
  <c r="I259" i="44" s="1"/>
  <c r="I244" i="44"/>
  <c r="I257" i="44" s="1"/>
  <c r="I242" i="44"/>
  <c r="I249" i="44"/>
  <c r="I262" i="44" s="1"/>
  <c r="I247" i="44"/>
  <c r="I260" i="44" s="1"/>
  <c r="I245" i="44"/>
  <c r="I258" i="44" s="1"/>
  <c r="I243" i="44"/>
  <c r="I256" i="44" s="1"/>
  <c r="G249" i="44"/>
  <c r="G262" i="44" s="1"/>
  <c r="G247" i="44"/>
  <c r="G260" i="44" s="1"/>
  <c r="G245" i="44"/>
  <c r="G258" i="44" s="1"/>
  <c r="G243" i="44"/>
  <c r="G256" i="44" s="1"/>
  <c r="G248" i="44"/>
  <c r="G261" i="44" s="1"/>
  <c r="G246" i="44"/>
  <c r="G259" i="44" s="1"/>
  <c r="G244" i="44"/>
  <c r="G257" i="44" s="1"/>
  <c r="G242" i="44"/>
  <c r="E255" i="44"/>
  <c r="E250" i="44"/>
  <c r="J250" i="44"/>
  <c r="J255" i="44"/>
  <c r="H255" i="44"/>
  <c r="H250" i="44"/>
  <c r="K249" i="44"/>
  <c r="K262" i="44" s="1"/>
  <c r="K247" i="44"/>
  <c r="K260" i="44" s="1"/>
  <c r="K245" i="44"/>
  <c r="K258" i="44" s="1"/>
  <c r="K243" i="44"/>
  <c r="K256" i="44" s="1"/>
  <c r="K248" i="44"/>
  <c r="K261" i="44" s="1"/>
  <c r="K246" i="44"/>
  <c r="K259" i="44" s="1"/>
  <c r="K244" i="44"/>
  <c r="K257" i="44" s="1"/>
  <c r="K242" i="44"/>
  <c r="F214" i="44"/>
  <c r="F210" i="44"/>
  <c r="F211" i="44" s="1"/>
  <c r="G255" i="44" l="1"/>
  <c r="G250" i="44"/>
  <c r="I255" i="44"/>
  <c r="I250" i="44"/>
  <c r="F249" i="44"/>
  <c r="F262" i="44" s="1"/>
  <c r="F247" i="44"/>
  <c r="F260" i="44" s="1"/>
  <c r="F245" i="44"/>
  <c r="F258" i="44" s="1"/>
  <c r="F243" i="44"/>
  <c r="F256" i="44" s="1"/>
  <c r="F248" i="44"/>
  <c r="F261" i="44" s="1"/>
  <c r="F246" i="44"/>
  <c r="F259" i="44" s="1"/>
  <c r="F244" i="44"/>
  <c r="F257" i="44" s="1"/>
  <c r="F242" i="44"/>
  <c r="J263" i="44"/>
  <c r="J251" i="44"/>
  <c r="K255" i="44"/>
  <c r="K250" i="44"/>
  <c r="H251" i="44"/>
  <c r="H263" i="44"/>
  <c r="E251" i="44"/>
  <c r="E263" i="44"/>
  <c r="I251" i="44" l="1"/>
  <c r="I263" i="44"/>
  <c r="F250" i="44"/>
  <c r="F255" i="44"/>
  <c r="G251" i="44"/>
  <c r="G263" i="44"/>
  <c r="K251" i="44"/>
  <c r="K263" i="44"/>
  <c r="F263" i="44" l="1"/>
  <c r="F251" i="44"/>
  <c r="L32" i="27"/>
  <c r="AD29" i="27"/>
  <c r="L44" i="27"/>
  <c r="P23" i="27" s="1"/>
  <c r="AD44" i="27"/>
  <c r="AD14" i="27"/>
  <c r="AD13" i="27"/>
  <c r="T32" i="33"/>
  <c r="S32" i="33"/>
  <c r="S31" i="33"/>
  <c r="T30" i="33"/>
  <c r="G29" i="33"/>
  <c r="T29" i="33"/>
  <c r="T15" i="33"/>
  <c r="S18" i="33"/>
  <c r="T22" i="33"/>
  <c r="T25" i="33" s="1"/>
  <c r="T14" i="33"/>
  <c r="T8" i="33"/>
  <c r="T9" i="33"/>
  <c r="T10" i="33"/>
  <c r="T11" i="33"/>
  <c r="T12" i="33"/>
  <c r="T16" i="33"/>
  <c r="G28" i="33"/>
  <c r="K15" i="33" s="1"/>
  <c r="L15" i="33" s="1"/>
  <c r="M15" i="33" s="1"/>
  <c r="O15" i="33" s="1"/>
  <c r="C8" i="33"/>
  <c r="C9" i="33"/>
  <c r="C10" i="33"/>
  <c r="C11" i="33"/>
  <c r="C12" i="33"/>
  <c r="C14" i="33"/>
  <c r="C15" i="33"/>
  <c r="C16" i="33"/>
  <c r="T27" i="33"/>
  <c r="G26" i="33"/>
  <c r="G27" i="33" s="1"/>
  <c r="F18" i="33"/>
  <c r="G22" i="33" s="1"/>
  <c r="D18" i="33"/>
  <c r="G29" i="13"/>
  <c r="S29" i="13"/>
  <c r="G29" i="16"/>
  <c r="S29" i="16"/>
  <c r="G30" i="17"/>
  <c r="S30" i="17"/>
  <c r="D44" i="24"/>
  <c r="D43" i="24"/>
  <c r="C114" i="24"/>
  <c r="C113" i="24"/>
  <c r="C112" i="24"/>
  <c r="C111" i="24"/>
  <c r="C110" i="24"/>
  <c r="C109" i="24"/>
  <c r="C121" i="24"/>
  <c r="C120" i="24"/>
  <c r="C119" i="24"/>
  <c r="C118" i="24"/>
  <c r="C117" i="24"/>
  <c r="C116" i="24"/>
  <c r="C128" i="24"/>
  <c r="C127" i="24"/>
  <c r="C126" i="24"/>
  <c r="C125" i="24"/>
  <c r="C124" i="24"/>
  <c r="C123" i="24"/>
  <c r="C149" i="24"/>
  <c r="C148" i="24"/>
  <c r="C147" i="24"/>
  <c r="C146" i="24"/>
  <c r="C145" i="24"/>
  <c r="C144" i="24"/>
  <c r="C142" i="24"/>
  <c r="C141" i="24"/>
  <c r="C140" i="24"/>
  <c r="C139" i="24"/>
  <c r="C138" i="24"/>
  <c r="C137" i="24"/>
  <c r="C135" i="24"/>
  <c r="C134" i="24"/>
  <c r="C133" i="24"/>
  <c r="C132" i="24"/>
  <c r="C131" i="24"/>
  <c r="C130" i="24"/>
  <c r="C74" i="24"/>
  <c r="C73" i="24"/>
  <c r="C72" i="24"/>
  <c r="C71" i="24"/>
  <c r="C70" i="24"/>
  <c r="C69" i="24"/>
  <c r="C57" i="24"/>
  <c r="C53" i="24"/>
  <c r="C35" i="24"/>
  <c r="C36" i="24"/>
  <c r="C37" i="24"/>
  <c r="C23" i="24"/>
  <c r="C17" i="24"/>
  <c r="C16" i="24"/>
  <c r="AD8" i="27"/>
  <c r="AD9" i="27"/>
  <c r="AD10" i="27"/>
  <c r="AD11" i="27"/>
  <c r="AD12" i="27"/>
  <c r="AD23" i="27"/>
  <c r="AD22" i="27"/>
  <c r="AD15" i="27"/>
  <c r="L29" i="27"/>
  <c r="L37" i="27" s="1"/>
  <c r="I46" i="24"/>
  <c r="I48" i="24"/>
  <c r="I47" i="24"/>
  <c r="H29" i="24"/>
  <c r="I41" i="24"/>
  <c r="H46" i="24" s="1"/>
  <c r="G29" i="24"/>
  <c r="H41" i="24"/>
  <c r="G46" i="24" s="1"/>
  <c r="F29" i="24"/>
  <c r="G41" i="24"/>
  <c r="F46" i="24" s="1"/>
  <c r="E29" i="24"/>
  <c r="E48" i="24" s="1"/>
  <c r="F41" i="24"/>
  <c r="E46" i="24" s="1"/>
  <c r="E41" i="24"/>
  <c r="D46" i="24" s="1"/>
  <c r="D29" i="24"/>
  <c r="E16" i="24"/>
  <c r="E44" i="24" s="1"/>
  <c r="E15" i="24"/>
  <c r="D41" i="24"/>
  <c r="B31" i="24"/>
  <c r="D18" i="24"/>
  <c r="D23" i="24"/>
  <c r="D54" i="24" s="1"/>
  <c r="B30" i="24"/>
  <c r="D68" i="24"/>
  <c r="E68" i="24"/>
  <c r="F68" i="24"/>
  <c r="L107" i="24" s="1"/>
  <c r="G68" i="24"/>
  <c r="M107" i="24" s="1"/>
  <c r="H68" i="24"/>
  <c r="N107" i="24" s="1"/>
  <c r="I68" i="24"/>
  <c r="B69" i="24"/>
  <c r="D53" i="24"/>
  <c r="E14" i="24"/>
  <c r="F14" i="24" s="1"/>
  <c r="F108" i="24" s="1"/>
  <c r="B74" i="24"/>
  <c r="B73" i="24"/>
  <c r="B72" i="24"/>
  <c r="B71" i="24"/>
  <c r="B70" i="24"/>
  <c r="I76" i="24"/>
  <c r="H76" i="24"/>
  <c r="G76" i="24"/>
  <c r="F76" i="24"/>
  <c r="E76" i="24"/>
  <c r="D76" i="24"/>
  <c r="D108" i="24"/>
  <c r="B124" i="24"/>
  <c r="E108" i="24"/>
  <c r="E33" i="24"/>
  <c r="F33" i="24" s="1"/>
  <c r="G33" i="24" s="1"/>
  <c r="H33" i="24" s="1"/>
  <c r="I33" i="24" s="1"/>
  <c r="D34" i="24"/>
  <c r="J108" i="24" s="1"/>
  <c r="E34" i="24"/>
  <c r="B131" i="24"/>
  <c r="B138" i="24"/>
  <c r="B145" i="24"/>
  <c r="B110" i="24"/>
  <c r="K107" i="24"/>
  <c r="B114" i="24"/>
  <c r="O107" i="24"/>
  <c r="B113" i="24"/>
  <c r="B112" i="24"/>
  <c r="E112" i="24" s="1"/>
  <c r="B111" i="24"/>
  <c r="B109" i="24"/>
  <c r="B123" i="24"/>
  <c r="B130" i="24"/>
  <c r="B137" i="24"/>
  <c r="B144" i="24"/>
  <c r="B125" i="24"/>
  <c r="B117" i="24"/>
  <c r="B82" i="24"/>
  <c r="B81" i="24"/>
  <c r="B80" i="24"/>
  <c r="B79" i="24"/>
  <c r="B78" i="24"/>
  <c r="B77" i="24"/>
  <c r="B133" i="24"/>
  <c r="B149" i="24"/>
  <c r="B141" i="24"/>
  <c r="B90" i="24"/>
  <c r="B89" i="24"/>
  <c r="B88" i="24"/>
  <c r="B87" i="24"/>
  <c r="B86" i="24"/>
  <c r="B85" i="24"/>
  <c r="I84" i="24"/>
  <c r="H84" i="24"/>
  <c r="G84" i="24"/>
  <c r="F84" i="24"/>
  <c r="E84" i="24"/>
  <c r="D84" i="24"/>
  <c r="B118" i="24"/>
  <c r="B119" i="24"/>
  <c r="D119" i="24"/>
  <c r="B120" i="24"/>
  <c r="B121" i="24"/>
  <c r="B126" i="24"/>
  <c r="B127" i="24"/>
  <c r="B128" i="24"/>
  <c r="B132" i="24"/>
  <c r="B134" i="24"/>
  <c r="B135" i="24"/>
  <c r="B139" i="24"/>
  <c r="B140" i="24"/>
  <c r="B142" i="24"/>
  <c r="B146" i="24"/>
  <c r="B147" i="24"/>
  <c r="B148" i="24"/>
  <c r="B116" i="24"/>
  <c r="D10" i="24"/>
  <c r="N36" i="21"/>
  <c r="G36" i="21"/>
  <c r="E10" i="24"/>
  <c r="F10" i="24" s="1"/>
  <c r="G10" i="24" s="1"/>
  <c r="H10" i="24" s="1"/>
  <c r="I10" i="24" s="1"/>
  <c r="D17" i="24"/>
  <c r="B10" i="24"/>
  <c r="M21" i="21"/>
  <c r="N25" i="21" s="1"/>
  <c r="N28" i="21" s="1"/>
  <c r="N26" i="21" s="1"/>
  <c r="C12" i="21"/>
  <c r="C10" i="21"/>
  <c r="C19" i="21"/>
  <c r="H18" i="21" s="1"/>
  <c r="I18" i="21" s="1"/>
  <c r="D21" i="21"/>
  <c r="F21" i="21"/>
  <c r="G25" i="21" s="1"/>
  <c r="C18" i="21"/>
  <c r="C16" i="21"/>
  <c r="C8" i="21"/>
  <c r="C9" i="21"/>
  <c r="C11" i="21"/>
  <c r="C14" i="21"/>
  <c r="C15" i="21"/>
  <c r="S27" i="16"/>
  <c r="S8" i="13"/>
  <c r="S9" i="13"/>
  <c r="S10" i="13"/>
  <c r="S11" i="13"/>
  <c r="S12" i="13"/>
  <c r="S14" i="13"/>
  <c r="S15" i="13"/>
  <c r="S16" i="13"/>
  <c r="R18" i="13"/>
  <c r="S22" i="13" s="1"/>
  <c r="G28" i="13"/>
  <c r="C8" i="13"/>
  <c r="C9" i="13"/>
  <c r="C10" i="13"/>
  <c r="C11" i="13"/>
  <c r="C12" i="13"/>
  <c r="C14" i="13"/>
  <c r="C15" i="13"/>
  <c r="C16" i="13"/>
  <c r="G26" i="13"/>
  <c r="G27" i="13"/>
  <c r="G26" i="16"/>
  <c r="G27" i="16" s="1"/>
  <c r="G27" i="17"/>
  <c r="G28" i="17" s="1"/>
  <c r="S8" i="17"/>
  <c r="S9" i="17"/>
  <c r="S10" i="17"/>
  <c r="S11" i="17"/>
  <c r="S12" i="17"/>
  <c r="S14" i="17"/>
  <c r="S15" i="17"/>
  <c r="S16" i="17"/>
  <c r="R18" i="17"/>
  <c r="S22" i="17" s="1"/>
  <c r="F18" i="17"/>
  <c r="G22" i="17" s="1"/>
  <c r="G29" i="17"/>
  <c r="C8" i="17"/>
  <c r="C9" i="17"/>
  <c r="C10" i="17"/>
  <c r="C11" i="17"/>
  <c r="C12" i="17"/>
  <c r="C14" i="17"/>
  <c r="C15" i="17"/>
  <c r="C16" i="17"/>
  <c r="D18" i="17"/>
  <c r="R18" i="16"/>
  <c r="S22" i="16" s="1"/>
  <c r="S8" i="16"/>
  <c r="G28" i="16"/>
  <c r="J8" i="16"/>
  <c r="K8" i="16" s="1"/>
  <c r="C8" i="16"/>
  <c r="J9" i="16"/>
  <c r="K9" i="16" s="1"/>
  <c r="C9" i="16"/>
  <c r="J10" i="16"/>
  <c r="K10" i="16" s="1"/>
  <c r="L10" i="16" s="1"/>
  <c r="C10" i="16"/>
  <c r="J11" i="16"/>
  <c r="K11" i="16" s="1"/>
  <c r="L11" i="16" s="1"/>
  <c r="C11" i="16"/>
  <c r="J12" i="16"/>
  <c r="K12" i="16" s="1"/>
  <c r="L12" i="16" s="1"/>
  <c r="N12" i="16" s="1"/>
  <c r="C12" i="16"/>
  <c r="J14" i="16"/>
  <c r="K14" i="16" s="1"/>
  <c r="L14" i="16" s="1"/>
  <c r="C14" i="16"/>
  <c r="J15" i="16"/>
  <c r="K15" i="16" s="1"/>
  <c r="L15" i="16" s="1"/>
  <c r="C15" i="16"/>
  <c r="J16" i="16"/>
  <c r="K16" i="16" s="1"/>
  <c r="L16" i="16" s="1"/>
  <c r="N16" i="16" s="1"/>
  <c r="C16" i="16"/>
  <c r="S9" i="16"/>
  <c r="S10" i="16"/>
  <c r="S11" i="16"/>
  <c r="S12" i="16"/>
  <c r="S14" i="16"/>
  <c r="S15" i="16"/>
  <c r="S16" i="16"/>
  <c r="F18" i="16"/>
  <c r="G22" i="16" s="1"/>
  <c r="D18" i="16"/>
  <c r="G24" i="15"/>
  <c r="G27" i="15" s="1"/>
  <c r="F19" i="15"/>
  <c r="G23" i="15" s="1"/>
  <c r="C8" i="15"/>
  <c r="C9" i="15"/>
  <c r="C10" i="15"/>
  <c r="C11" i="15"/>
  <c r="C12" i="15"/>
  <c r="C14" i="15"/>
  <c r="C15" i="15"/>
  <c r="C17" i="15"/>
  <c r="D19" i="15"/>
  <c r="C17" i="14"/>
  <c r="F19" i="14"/>
  <c r="G23" i="14" s="1"/>
  <c r="D19" i="14"/>
  <c r="C8" i="14"/>
  <c r="C9" i="14"/>
  <c r="C10" i="14"/>
  <c r="C11" i="14"/>
  <c r="C12" i="14"/>
  <c r="C14" i="14"/>
  <c r="C15" i="14"/>
  <c r="F18" i="13"/>
  <c r="G22" i="13" s="1"/>
  <c r="D18" i="13"/>
  <c r="G23" i="12"/>
  <c r="F17" i="12"/>
  <c r="G21" i="12" s="1"/>
  <c r="G25" i="12" s="1"/>
  <c r="G24" i="12"/>
  <c r="J8" i="12"/>
  <c r="K8" i="12" s="1"/>
  <c r="C8" i="12"/>
  <c r="J9" i="12"/>
  <c r="K9" i="12" s="1"/>
  <c r="L9" i="12" s="1"/>
  <c r="C9" i="12"/>
  <c r="C10" i="12"/>
  <c r="C11" i="12"/>
  <c r="J12" i="12"/>
  <c r="K12" i="12" s="1"/>
  <c r="L12" i="12" s="1"/>
  <c r="C12" i="12"/>
  <c r="J14" i="12"/>
  <c r="K14" i="12" s="1"/>
  <c r="C14" i="12"/>
  <c r="C15" i="12"/>
  <c r="D17" i="12"/>
  <c r="M18" i="11"/>
  <c r="N22" i="11" s="1"/>
  <c r="F18" i="11"/>
  <c r="G22" i="11" s="1"/>
  <c r="D18" i="11"/>
  <c r="C16" i="11"/>
  <c r="G25" i="11"/>
  <c r="C8" i="11"/>
  <c r="C9" i="11"/>
  <c r="C10" i="11"/>
  <c r="C11" i="11"/>
  <c r="C12" i="11"/>
  <c r="C14" i="11"/>
  <c r="C15" i="11"/>
  <c r="G24" i="10"/>
  <c r="G10" i="10" s="1"/>
  <c r="H10" i="10" s="1"/>
  <c r="I10" i="10" s="1"/>
  <c r="K10" i="10" s="1"/>
  <c r="C8" i="10"/>
  <c r="C9" i="10"/>
  <c r="C10" i="10"/>
  <c r="G11" i="10"/>
  <c r="H11" i="10" s="1"/>
  <c r="I11" i="10" s="1"/>
  <c r="C11" i="10"/>
  <c r="C12" i="10"/>
  <c r="G14" i="10"/>
  <c r="H14" i="10" s="1"/>
  <c r="C14" i="10"/>
  <c r="C15" i="10"/>
  <c r="F17" i="10"/>
  <c r="G21" i="10" s="1"/>
  <c r="D17" i="10"/>
  <c r="AE23" i="27" l="1"/>
  <c r="P21" i="27"/>
  <c r="AE21" i="27" s="1"/>
  <c r="P22" i="27"/>
  <c r="AE22" i="27" s="1"/>
  <c r="P8" i="27"/>
  <c r="AE8" i="27" s="1"/>
  <c r="P19" i="27"/>
  <c r="P18" i="27"/>
  <c r="P14" i="27"/>
  <c r="AE14" i="27" s="1"/>
  <c r="P10" i="27"/>
  <c r="P15" i="27"/>
  <c r="P17" i="27"/>
  <c r="P13" i="27"/>
  <c r="P9" i="27"/>
  <c r="P11" i="27"/>
  <c r="P16" i="27"/>
  <c r="P12" i="27"/>
  <c r="L35" i="27"/>
  <c r="AD25" i="27"/>
  <c r="H48" i="24"/>
  <c r="H47" i="24"/>
  <c r="L14" i="12"/>
  <c r="L8" i="16"/>
  <c r="N8" i="16" s="1"/>
  <c r="S18" i="13"/>
  <c r="E110" i="24"/>
  <c r="E111" i="24"/>
  <c r="I14" i="10"/>
  <c r="G9" i="10"/>
  <c r="H9" i="10" s="1"/>
  <c r="I9" i="10" s="1"/>
  <c r="J10" i="12"/>
  <c r="K10" i="12" s="1"/>
  <c r="J11" i="12"/>
  <c r="K11" i="12" s="1"/>
  <c r="L11" i="12" s="1"/>
  <c r="L9" i="16"/>
  <c r="D112" i="24"/>
  <c r="G17" i="15"/>
  <c r="G12" i="15"/>
  <c r="H12" i="15" s="1"/>
  <c r="I12" i="15" s="1"/>
  <c r="G15" i="15"/>
  <c r="H15" i="15" s="1"/>
  <c r="T8" i="16"/>
  <c r="U8" i="16" s="1"/>
  <c r="X8" i="16" s="1"/>
  <c r="T15" i="13"/>
  <c r="U15" i="13" s="1"/>
  <c r="T10" i="13"/>
  <c r="U10" i="13" s="1"/>
  <c r="X10" i="13" s="1"/>
  <c r="F114" i="24"/>
  <c r="F111" i="24"/>
  <c r="F110" i="24"/>
  <c r="F118" i="24"/>
  <c r="F116" i="24"/>
  <c r="F117" i="24"/>
  <c r="F121" i="24"/>
  <c r="F109" i="24"/>
  <c r="G28" i="21"/>
  <c r="G12" i="10"/>
  <c r="H12" i="10" s="1"/>
  <c r="I12" i="10" s="1"/>
  <c r="K12" i="10" s="1"/>
  <c r="G8" i="10"/>
  <c r="H8" i="10" s="1"/>
  <c r="G11" i="15"/>
  <c r="H11" i="15" s="1"/>
  <c r="I11" i="15" s="1"/>
  <c r="K11" i="15" s="1"/>
  <c r="G10" i="15"/>
  <c r="H10" i="15" s="1"/>
  <c r="I10" i="15" s="1"/>
  <c r="K10" i="15" s="1"/>
  <c r="G8" i="15"/>
  <c r="H8" i="15" s="1"/>
  <c r="D128" i="24"/>
  <c r="F16" i="24"/>
  <c r="F44" i="24" s="1"/>
  <c r="I15" i="15"/>
  <c r="S18" i="16"/>
  <c r="D127" i="24"/>
  <c r="G15" i="10"/>
  <c r="H15" i="10" s="1"/>
  <c r="I15" i="10" s="1"/>
  <c r="K15" i="10" s="1"/>
  <c r="G14" i="15"/>
  <c r="H14" i="15" s="1"/>
  <c r="I14" i="15" s="1"/>
  <c r="K14" i="15" s="1"/>
  <c r="G9" i="15"/>
  <c r="H9" i="15" s="1"/>
  <c r="I9" i="15" s="1"/>
  <c r="K9" i="15" s="1"/>
  <c r="D120" i="24"/>
  <c r="E47" i="24"/>
  <c r="T15" i="17"/>
  <c r="U15" i="17" s="1"/>
  <c r="V15" i="17" s="1"/>
  <c r="T10" i="17"/>
  <c r="U10" i="17" s="1"/>
  <c r="T14" i="13"/>
  <c r="U14" i="13" s="1"/>
  <c r="T9" i="13"/>
  <c r="U9" i="13" s="1"/>
  <c r="X9" i="13" s="1"/>
  <c r="T14" i="17"/>
  <c r="U14" i="17" s="1"/>
  <c r="V14" i="17" s="1"/>
  <c r="T9" i="17"/>
  <c r="U9" i="17" s="1"/>
  <c r="U14" i="33"/>
  <c r="V14" i="33" s="1"/>
  <c r="Z14" i="33" s="1"/>
  <c r="N14" i="12"/>
  <c r="O14" i="12"/>
  <c r="O12" i="12"/>
  <c r="N12" i="12"/>
  <c r="D55" i="24"/>
  <c r="J107" i="24"/>
  <c r="K12" i="15"/>
  <c r="D125" i="24"/>
  <c r="G24" i="11"/>
  <c r="G26" i="11" s="1"/>
  <c r="I8" i="15"/>
  <c r="K14" i="10"/>
  <c r="K9" i="10"/>
  <c r="O16" i="16"/>
  <c r="O10" i="16"/>
  <c r="N10" i="16"/>
  <c r="D123" i="24"/>
  <c r="G47" i="24"/>
  <c r="G48" i="24"/>
  <c r="O9" i="12"/>
  <c r="N9" i="12"/>
  <c r="L10" i="12"/>
  <c r="N9" i="16"/>
  <c r="J10" i="17"/>
  <c r="K10" i="17" s="1"/>
  <c r="L10" i="17" s="1"/>
  <c r="J15" i="17"/>
  <c r="K15" i="17" s="1"/>
  <c r="L15" i="17" s="1"/>
  <c r="J11" i="17"/>
  <c r="K11" i="17" s="1"/>
  <c r="L11" i="17" s="1"/>
  <c r="J16" i="17"/>
  <c r="K16" i="17" s="1"/>
  <c r="L16" i="17" s="1"/>
  <c r="J8" i="17"/>
  <c r="K8" i="17" s="1"/>
  <c r="J9" i="17"/>
  <c r="K9" i="17" s="1"/>
  <c r="L9" i="17" s="1"/>
  <c r="J12" i="17"/>
  <c r="K12" i="17" s="1"/>
  <c r="L12" i="17" s="1"/>
  <c r="J14" i="17"/>
  <c r="K14" i="17" s="1"/>
  <c r="L14" i="17" s="1"/>
  <c r="E113" i="24"/>
  <c r="D113" i="24"/>
  <c r="D48" i="24"/>
  <c r="D47" i="24"/>
  <c r="D30" i="24"/>
  <c r="F48" i="24"/>
  <c r="F47" i="24"/>
  <c r="G8" i="11"/>
  <c r="H8" i="11" s="1"/>
  <c r="G9" i="11"/>
  <c r="H9" i="11" s="1"/>
  <c r="I9" i="11" s="1"/>
  <c r="G10" i="11"/>
  <c r="H10" i="11" s="1"/>
  <c r="I10" i="11" s="1"/>
  <c r="G11" i="11"/>
  <c r="H11" i="11" s="1"/>
  <c r="I11" i="11" s="1"/>
  <c r="G12" i="11"/>
  <c r="H12" i="11" s="1"/>
  <c r="I12" i="11" s="1"/>
  <c r="G14" i="11"/>
  <c r="H14" i="11" s="1"/>
  <c r="I14" i="11" s="1"/>
  <c r="G15" i="11"/>
  <c r="H15" i="11" s="1"/>
  <c r="I15" i="11" s="1"/>
  <c r="G16" i="11"/>
  <c r="H16" i="11" s="1"/>
  <c r="I16" i="11" s="1"/>
  <c r="N24" i="11"/>
  <c r="N26" i="11" s="1"/>
  <c r="O11" i="12"/>
  <c r="N11" i="12"/>
  <c r="L8" i="12"/>
  <c r="G26" i="14"/>
  <c r="K15" i="15"/>
  <c r="O14" i="16"/>
  <c r="N14" i="16"/>
  <c r="G23" i="10"/>
  <c r="G25" i="10" s="1"/>
  <c r="K11" i="10"/>
  <c r="G26" i="15"/>
  <c r="O15" i="16"/>
  <c r="N15" i="16"/>
  <c r="O11" i="16"/>
  <c r="N11" i="16"/>
  <c r="D124" i="24"/>
  <c r="E43" i="24"/>
  <c r="F15" i="24"/>
  <c r="E53" i="24"/>
  <c r="E124" i="24" s="1"/>
  <c r="E17" i="24"/>
  <c r="K18" i="16"/>
  <c r="N30" i="21"/>
  <c r="D109" i="24"/>
  <c r="E109" i="24"/>
  <c r="D114" i="24"/>
  <c r="E114" i="24"/>
  <c r="K108" i="24"/>
  <c r="F112" i="24"/>
  <c r="F119" i="24"/>
  <c r="F113" i="24"/>
  <c r="F120" i="24"/>
  <c r="G14" i="24"/>
  <c r="F34" i="24"/>
  <c r="D126" i="24"/>
  <c r="D110" i="24"/>
  <c r="D111" i="24"/>
  <c r="D117" i="24"/>
  <c r="D118" i="24"/>
  <c r="D116" i="24"/>
  <c r="J15" i="12"/>
  <c r="K15" i="12" s="1"/>
  <c r="L15" i="12" s="1"/>
  <c r="D132" i="24"/>
  <c r="D121" i="24"/>
  <c r="D19" i="24"/>
  <c r="D22" i="24" s="1"/>
  <c r="D36" i="24"/>
  <c r="D69" i="24" s="1"/>
  <c r="D77" i="24" s="1"/>
  <c r="O12" i="16"/>
  <c r="S18" i="17"/>
  <c r="J8" i="13"/>
  <c r="K8" i="13" s="1"/>
  <c r="J9" i="13"/>
  <c r="K9" i="13" s="1"/>
  <c r="L9" i="13" s="1"/>
  <c r="J10" i="13"/>
  <c r="K10" i="13" s="1"/>
  <c r="L10" i="13" s="1"/>
  <c r="J11" i="13"/>
  <c r="K11" i="13" s="1"/>
  <c r="L11" i="13" s="1"/>
  <c r="J12" i="13"/>
  <c r="K12" i="13" s="1"/>
  <c r="L12" i="13" s="1"/>
  <c r="J14" i="13"/>
  <c r="K14" i="13" s="1"/>
  <c r="L14" i="13" s="1"/>
  <c r="J15" i="13"/>
  <c r="K15" i="13" s="1"/>
  <c r="L15" i="13" s="1"/>
  <c r="J16" i="13"/>
  <c r="K16" i="13" s="1"/>
  <c r="L16" i="13" s="1"/>
  <c r="D130" i="24"/>
  <c r="T12" i="16"/>
  <c r="U12" i="16" s="1"/>
  <c r="T16" i="16"/>
  <c r="U16" i="16" s="1"/>
  <c r="T11" i="16"/>
  <c r="U11" i="16" s="1"/>
  <c r="T14" i="16"/>
  <c r="U14" i="16" s="1"/>
  <c r="T9" i="16"/>
  <c r="T12" i="17"/>
  <c r="U12" i="17" s="1"/>
  <c r="T15" i="16"/>
  <c r="U15" i="16" s="1"/>
  <c r="T12" i="13"/>
  <c r="U12" i="13" s="1"/>
  <c r="AF14" i="27"/>
  <c r="AR25" i="27"/>
  <c r="T11" i="17"/>
  <c r="U11" i="17" s="1"/>
  <c r="T16" i="17"/>
  <c r="U16" i="17" s="1"/>
  <c r="T11" i="13"/>
  <c r="U11" i="13" s="1"/>
  <c r="T16" i="13"/>
  <c r="U16" i="13" s="1"/>
  <c r="T8" i="17"/>
  <c r="T10" i="16"/>
  <c r="U10" i="16" s="1"/>
  <c r="T8" i="13"/>
  <c r="U9" i="33"/>
  <c r="V9" i="33" s="1"/>
  <c r="Z9" i="33" s="1"/>
  <c r="U15" i="33"/>
  <c r="V15" i="33" s="1"/>
  <c r="U11" i="33"/>
  <c r="V11" i="33" s="1"/>
  <c r="Z11" i="33" s="1"/>
  <c r="U12" i="33"/>
  <c r="V12" i="33" s="1"/>
  <c r="Z12" i="33" s="1"/>
  <c r="U10" i="33"/>
  <c r="V10" i="33" s="1"/>
  <c r="Z10" i="33" s="1"/>
  <c r="U16" i="33"/>
  <c r="V16" i="33" s="1"/>
  <c r="Z16" i="33" s="1"/>
  <c r="P15" i="33"/>
  <c r="U8" i="33"/>
  <c r="T18" i="33"/>
  <c r="K8" i="33"/>
  <c r="L8" i="33" s="1"/>
  <c r="K9" i="33"/>
  <c r="L9" i="33" s="1"/>
  <c r="M9" i="33" s="1"/>
  <c r="K10" i="33"/>
  <c r="L10" i="33" s="1"/>
  <c r="M10" i="33" s="1"/>
  <c r="K11" i="33"/>
  <c r="L11" i="33" s="1"/>
  <c r="M11" i="33" s="1"/>
  <c r="K12" i="33"/>
  <c r="L12" i="33" s="1"/>
  <c r="M12" i="33" s="1"/>
  <c r="K14" i="33"/>
  <c r="L14" i="33" s="1"/>
  <c r="M14" i="33" s="1"/>
  <c r="P14" i="33" s="1"/>
  <c r="K16" i="33"/>
  <c r="L16" i="33" s="1"/>
  <c r="M16" i="33" s="1"/>
  <c r="AE9" i="27" l="1"/>
  <c r="AF9" i="27" s="1"/>
  <c r="AJ9" i="27" s="1"/>
  <c r="AE10" i="27"/>
  <c r="AF10" i="27" s="1"/>
  <c r="AJ10" i="27" s="1"/>
  <c r="AE12" i="27"/>
  <c r="AF12" i="27" s="1"/>
  <c r="AJ12" i="27" s="1"/>
  <c r="AE13" i="27"/>
  <c r="AF13" i="27" s="1"/>
  <c r="AE16" i="27"/>
  <c r="AF16" i="27" s="1"/>
  <c r="AE17" i="27"/>
  <c r="AF17" i="27" s="1"/>
  <c r="AE18" i="27"/>
  <c r="AF18" i="27" s="1"/>
  <c r="AE11" i="27"/>
  <c r="AF11" i="27" s="1"/>
  <c r="AJ11" i="27" s="1"/>
  <c r="AE15" i="27"/>
  <c r="AF15" i="27" s="1"/>
  <c r="AJ15" i="27" s="1"/>
  <c r="AE19" i="27"/>
  <c r="AF19" i="27" s="1"/>
  <c r="AF21" i="27"/>
  <c r="AJ21" i="27" s="1"/>
  <c r="G28" i="15"/>
  <c r="G31" i="15"/>
  <c r="O9" i="16"/>
  <c r="L18" i="16"/>
  <c r="G26" i="21"/>
  <c r="G29" i="21" s="1"/>
  <c r="G34" i="21" s="1"/>
  <c r="H19" i="21" s="1"/>
  <c r="I19" i="21" s="1"/>
  <c r="M8" i="16"/>
  <c r="O8" i="16"/>
  <c r="V8" i="16"/>
  <c r="AF23" i="27"/>
  <c r="AJ23" i="27" s="1"/>
  <c r="AF22" i="27"/>
  <c r="AJ22" i="27" s="1"/>
  <c r="G28" i="14"/>
  <c r="H17" i="15"/>
  <c r="G16" i="24"/>
  <c r="K18" i="21"/>
  <c r="G14" i="21"/>
  <c r="H14" i="21" s="1"/>
  <c r="G19" i="21"/>
  <c r="I8" i="10"/>
  <c r="H17" i="10"/>
  <c r="G30" i="21"/>
  <c r="G18" i="21"/>
  <c r="G9" i="21"/>
  <c r="H9" i="21" s="1"/>
  <c r="I9" i="21" s="1"/>
  <c r="G16" i="21"/>
  <c r="H16" i="21" s="1"/>
  <c r="G12" i="21"/>
  <c r="H12" i="21" s="1"/>
  <c r="I12" i="21" s="1"/>
  <c r="X9" i="17"/>
  <c r="V9" i="17"/>
  <c r="X10" i="17"/>
  <c r="V10" i="17"/>
  <c r="X12" i="16"/>
  <c r="V12" i="16"/>
  <c r="E130" i="24"/>
  <c r="E128" i="24"/>
  <c r="O15" i="13"/>
  <c r="N15" i="13"/>
  <c r="O10" i="13"/>
  <c r="N10" i="13"/>
  <c r="E121" i="24"/>
  <c r="K17" i="12"/>
  <c r="K12" i="11"/>
  <c r="H18" i="11"/>
  <c r="I8" i="11"/>
  <c r="O14" i="17"/>
  <c r="N14" i="17"/>
  <c r="O16" i="17"/>
  <c r="N16" i="17"/>
  <c r="M16" i="16"/>
  <c r="I14" i="21"/>
  <c r="O10" i="33"/>
  <c r="P10" i="33"/>
  <c r="U9" i="16"/>
  <c r="T18" i="16"/>
  <c r="X10" i="16"/>
  <c r="V10" i="16"/>
  <c r="L108" i="24"/>
  <c r="K16" i="11"/>
  <c r="O12" i="17"/>
  <c r="N12" i="17"/>
  <c r="O11" i="17"/>
  <c r="N11" i="17"/>
  <c r="O10" i="12"/>
  <c r="N10" i="12"/>
  <c r="E125" i="24"/>
  <c r="U8" i="13"/>
  <c r="T18" i="13"/>
  <c r="X11" i="13"/>
  <c r="O14" i="33"/>
  <c r="X16" i="17"/>
  <c r="V16" i="17"/>
  <c r="X12" i="13"/>
  <c r="V14" i="16"/>
  <c r="D21" i="24"/>
  <c r="D35" i="24"/>
  <c r="E18" i="24"/>
  <c r="O9" i="13"/>
  <c r="N9" i="13"/>
  <c r="D24" i="24"/>
  <c r="O15" i="12"/>
  <c r="N15" i="12"/>
  <c r="K11" i="11"/>
  <c r="N18" i="16"/>
  <c r="O12" i="33"/>
  <c r="P12" i="33"/>
  <c r="U8" i="17"/>
  <c r="T18" i="17"/>
  <c r="X11" i="17"/>
  <c r="V11" i="17"/>
  <c r="AF8" i="27"/>
  <c r="AJ8" i="27" s="1"/>
  <c r="V15" i="16"/>
  <c r="X11" i="16"/>
  <c r="V11" i="16"/>
  <c r="O12" i="13"/>
  <c r="N12" i="13"/>
  <c r="K18" i="13"/>
  <c r="L8" i="13"/>
  <c r="O18" i="16"/>
  <c r="P16" i="16" s="1"/>
  <c r="G44" i="24"/>
  <c r="H16" i="24"/>
  <c r="E132" i="24"/>
  <c r="G108" i="24"/>
  <c r="G34" i="24"/>
  <c r="D134" i="24"/>
  <c r="H14" i="24"/>
  <c r="D135" i="24"/>
  <c r="E135" i="24"/>
  <c r="D131" i="24"/>
  <c r="D133" i="24"/>
  <c r="E131" i="24"/>
  <c r="E134" i="24"/>
  <c r="E133" i="24"/>
  <c r="P14" i="16"/>
  <c r="G24" i="14"/>
  <c r="G27" i="14" s="1"/>
  <c r="K15" i="11"/>
  <c r="K10" i="11"/>
  <c r="E30" i="24"/>
  <c r="O9" i="17"/>
  <c r="N9" i="17"/>
  <c r="O15" i="17"/>
  <c r="N15" i="17"/>
  <c r="K9" i="21"/>
  <c r="I16" i="21"/>
  <c r="K12" i="21"/>
  <c r="J109" i="24"/>
  <c r="O16" i="33"/>
  <c r="P16" i="33"/>
  <c r="O9" i="33"/>
  <c r="P9" i="33"/>
  <c r="O14" i="13"/>
  <c r="N14" i="13"/>
  <c r="E119" i="24"/>
  <c r="E127" i="24"/>
  <c r="E117" i="24"/>
  <c r="E118" i="24"/>
  <c r="E116" i="24"/>
  <c r="E126" i="24"/>
  <c r="L18" i="33"/>
  <c r="M8" i="33"/>
  <c r="V8" i="33"/>
  <c r="Z8" i="33" s="1"/>
  <c r="U18" i="33"/>
  <c r="P11" i="33"/>
  <c r="O11" i="33"/>
  <c r="X16" i="13"/>
  <c r="X12" i="17"/>
  <c r="V12" i="17"/>
  <c r="X16" i="16"/>
  <c r="V16" i="16"/>
  <c r="E120" i="24"/>
  <c r="O16" i="13"/>
  <c r="N16" i="13"/>
  <c r="O11" i="13"/>
  <c r="N11" i="13"/>
  <c r="M12" i="16"/>
  <c r="F43" i="24"/>
  <c r="F53" i="24"/>
  <c r="F134" i="24" s="1"/>
  <c r="G15" i="24"/>
  <c r="F17" i="24"/>
  <c r="M11" i="16"/>
  <c r="P15" i="16"/>
  <c r="O8" i="12"/>
  <c r="L17" i="12"/>
  <c r="N8" i="12"/>
  <c r="K14" i="11"/>
  <c r="K9" i="11"/>
  <c r="L8" i="17"/>
  <c r="K18" i="17"/>
  <c r="O10" i="17"/>
  <c r="N10" i="17"/>
  <c r="E123" i="24"/>
  <c r="P10" i="16"/>
  <c r="K8" i="15"/>
  <c r="D57" i="24"/>
  <c r="D56" i="24"/>
  <c r="AE25" i="27" l="1"/>
  <c r="AJ16" i="27"/>
  <c r="AG16" i="27"/>
  <c r="AJ18" i="27"/>
  <c r="AG18" i="27"/>
  <c r="AJ17" i="27"/>
  <c r="AG17" i="27"/>
  <c r="AJ19" i="27"/>
  <c r="AG19" i="27"/>
  <c r="AF25" i="27"/>
  <c r="AD30" i="27" s="1"/>
  <c r="O18" i="21"/>
  <c r="P18" i="21" s="1"/>
  <c r="K19" i="21"/>
  <c r="N17" i="12"/>
  <c r="G10" i="21"/>
  <c r="H10" i="21" s="1"/>
  <c r="I10" i="21" s="1"/>
  <c r="K10" i="21" s="1"/>
  <c r="G8" i="21"/>
  <c r="H8" i="21" s="1"/>
  <c r="G11" i="21"/>
  <c r="H11" i="21" s="1"/>
  <c r="I11" i="21" s="1"/>
  <c r="K11" i="21" s="1"/>
  <c r="G15" i="21"/>
  <c r="H15" i="21" s="1"/>
  <c r="M15" i="16"/>
  <c r="M14" i="16"/>
  <c r="M18" i="16" s="1"/>
  <c r="M10" i="16"/>
  <c r="M9" i="16"/>
  <c r="G31" i="14"/>
  <c r="H17" i="14" s="1"/>
  <c r="I17" i="14" s="1"/>
  <c r="K17" i="14" s="1"/>
  <c r="I17" i="15"/>
  <c r="H19" i="15"/>
  <c r="P9" i="16"/>
  <c r="K8" i="10"/>
  <c r="K17" i="10" s="1"/>
  <c r="I17" i="10"/>
  <c r="P11" i="16"/>
  <c r="G110" i="24"/>
  <c r="G111" i="24"/>
  <c r="G117" i="24"/>
  <c r="G118" i="24"/>
  <c r="G126" i="24"/>
  <c r="G116" i="24"/>
  <c r="G124" i="24"/>
  <c r="G112" i="24"/>
  <c r="G119" i="24"/>
  <c r="G127" i="24"/>
  <c r="G114" i="24"/>
  <c r="G109" i="24"/>
  <c r="G113" i="24"/>
  <c r="G123" i="24"/>
  <c r="G125" i="24"/>
  <c r="G120" i="24"/>
  <c r="G128" i="24"/>
  <c r="G121" i="24"/>
  <c r="H44" i="24"/>
  <c r="I16" i="24"/>
  <c r="O8" i="13"/>
  <c r="L18" i="13"/>
  <c r="M8" i="13"/>
  <c r="N8" i="13"/>
  <c r="N18" i="13" s="1"/>
  <c r="K14" i="21"/>
  <c r="M11" i="12"/>
  <c r="M12" i="12"/>
  <c r="M9" i="12"/>
  <c r="M14" i="12"/>
  <c r="O8" i="17"/>
  <c r="L18" i="17"/>
  <c r="M8" i="17" s="1"/>
  <c r="N8" i="17"/>
  <c r="N18" i="17" s="1"/>
  <c r="O17" i="12"/>
  <c r="P8" i="12" s="1"/>
  <c r="G43" i="24"/>
  <c r="H15" i="24"/>
  <c r="H17" i="24" s="1"/>
  <c r="G53" i="24"/>
  <c r="G131" i="24" s="1"/>
  <c r="V18" i="33"/>
  <c r="T23" i="33" s="1"/>
  <c r="K16" i="21"/>
  <c r="I14" i="24"/>
  <c r="D137" i="24"/>
  <c r="H108" i="24"/>
  <c r="E137" i="24"/>
  <c r="F141" i="24"/>
  <c r="F140" i="24"/>
  <c r="F137" i="24"/>
  <c r="H34" i="24"/>
  <c r="D138" i="24"/>
  <c r="F138" i="24"/>
  <c r="D141" i="24"/>
  <c r="D139" i="24"/>
  <c r="E141" i="24"/>
  <c r="E139" i="24"/>
  <c r="D140" i="24"/>
  <c r="E138" i="24"/>
  <c r="F139" i="24"/>
  <c r="E140" i="24"/>
  <c r="D25" i="24"/>
  <c r="D37" i="24"/>
  <c r="M10" i="12"/>
  <c r="P12" i="16"/>
  <c r="F126" i="24"/>
  <c r="F124" i="24"/>
  <c r="F131" i="24"/>
  <c r="F135" i="24"/>
  <c r="F130" i="24"/>
  <c r="F127" i="24"/>
  <c r="F128" i="24"/>
  <c r="F123" i="24"/>
  <c r="F133" i="24"/>
  <c r="F125" i="24"/>
  <c r="P8" i="33"/>
  <c r="O8" i="33"/>
  <c r="O18" i="33" s="1"/>
  <c r="M18" i="33"/>
  <c r="F30" i="24"/>
  <c r="G30" i="24" s="1"/>
  <c r="H30" i="24" s="1"/>
  <c r="M15" i="12"/>
  <c r="E23" i="24"/>
  <c r="X8" i="13"/>
  <c r="U18" i="13"/>
  <c r="S23" i="13" s="1"/>
  <c r="S26" i="13" s="1"/>
  <c r="I18" i="11"/>
  <c r="K8" i="11"/>
  <c r="K18" i="11" s="1"/>
  <c r="D60" i="24"/>
  <c r="D59" i="24"/>
  <c r="M8" i="12"/>
  <c r="M17" i="12" s="1"/>
  <c r="G17" i="14"/>
  <c r="G8" i="14"/>
  <c r="H8" i="14" s="1"/>
  <c r="G12" i="14"/>
  <c r="H12" i="14" s="1"/>
  <c r="I12" i="14" s="1"/>
  <c r="G11" i="14"/>
  <c r="H11" i="14" s="1"/>
  <c r="I11" i="14" s="1"/>
  <c r="G10" i="14"/>
  <c r="H10" i="14" s="1"/>
  <c r="I10" i="14" s="1"/>
  <c r="G15" i="14"/>
  <c r="H15" i="14" s="1"/>
  <c r="I15" i="14" s="1"/>
  <c r="G9" i="14"/>
  <c r="H9" i="14" s="1"/>
  <c r="I9" i="14" s="1"/>
  <c r="G14" i="14"/>
  <c r="H14" i="14" s="1"/>
  <c r="I14" i="14" s="1"/>
  <c r="F132" i="24"/>
  <c r="M108" i="24"/>
  <c r="G17" i="24"/>
  <c r="P8" i="16"/>
  <c r="P18" i="16" s="1"/>
  <c r="U18" i="17"/>
  <c r="S23" i="17" s="1"/>
  <c r="X8" i="17"/>
  <c r="V8" i="17"/>
  <c r="V18" i="17" s="1"/>
  <c r="S24" i="17" s="1"/>
  <c r="X9" i="16"/>
  <c r="V9" i="16"/>
  <c r="V18" i="16" s="1"/>
  <c r="S24" i="16" s="1"/>
  <c r="S25" i="16" s="1"/>
  <c r="S28" i="16" s="1"/>
  <c r="U18" i="16"/>
  <c r="S23" i="16" s="1"/>
  <c r="N8" i="33" l="1"/>
  <c r="AD37" i="27"/>
  <c r="H21" i="21"/>
  <c r="I8" i="21"/>
  <c r="P10" i="12"/>
  <c r="I15" i="21"/>
  <c r="K15" i="21" s="1"/>
  <c r="K17" i="15"/>
  <c r="K19" i="15" s="1"/>
  <c r="I19" i="15"/>
  <c r="I30" i="24"/>
  <c r="J8" i="10"/>
  <c r="J12" i="10"/>
  <c r="J9" i="10"/>
  <c r="J10" i="10"/>
  <c r="J11" i="10"/>
  <c r="J14" i="10"/>
  <c r="J15" i="10"/>
  <c r="G141" i="24"/>
  <c r="G134" i="24"/>
  <c r="G137" i="24"/>
  <c r="P15" i="12"/>
  <c r="G138" i="24"/>
  <c r="S25" i="17"/>
  <c r="S29" i="17" s="1"/>
  <c r="W14" i="17" s="1"/>
  <c r="K14" i="14"/>
  <c r="K10" i="14"/>
  <c r="P18" i="33"/>
  <c r="Q8" i="33" s="1"/>
  <c r="I108" i="24"/>
  <c r="D142" i="24"/>
  <c r="E144" i="24"/>
  <c r="F142" i="24"/>
  <c r="D146" i="24"/>
  <c r="I34" i="24"/>
  <c r="E146" i="24"/>
  <c r="F148" i="24"/>
  <c r="E142" i="24"/>
  <c r="D144" i="24"/>
  <c r="E145" i="24"/>
  <c r="F149" i="24"/>
  <c r="F147" i="24"/>
  <c r="D148" i="24"/>
  <c r="F145" i="24"/>
  <c r="D147" i="24"/>
  <c r="D145" i="24"/>
  <c r="E148" i="24"/>
  <c r="E147" i="24"/>
  <c r="E149" i="24"/>
  <c r="F144" i="24"/>
  <c r="D149" i="24"/>
  <c r="F146" i="24"/>
  <c r="G147" i="24"/>
  <c r="G149" i="24"/>
  <c r="N108" i="24"/>
  <c r="M9" i="17"/>
  <c r="M15" i="17"/>
  <c r="M14" i="17"/>
  <c r="M16" i="17"/>
  <c r="M12" i="17"/>
  <c r="M11" i="17"/>
  <c r="M18" i="17" s="1"/>
  <c r="M10" i="17"/>
  <c r="S28" i="13"/>
  <c r="M9" i="13"/>
  <c r="M11" i="13"/>
  <c r="M10" i="13"/>
  <c r="M12" i="13"/>
  <c r="M14" i="13"/>
  <c r="M16" i="13"/>
  <c r="M15" i="13"/>
  <c r="G148" i="24"/>
  <c r="G139" i="24"/>
  <c r="G130" i="24"/>
  <c r="G145" i="24"/>
  <c r="G146" i="24"/>
  <c r="G133" i="24"/>
  <c r="K9" i="14"/>
  <c r="K12" i="14"/>
  <c r="D96" i="24"/>
  <c r="N15" i="33"/>
  <c r="N10" i="33"/>
  <c r="N12" i="33"/>
  <c r="N11" i="33"/>
  <c r="N16" i="33"/>
  <c r="N14" i="33"/>
  <c r="N9" i="33"/>
  <c r="H114" i="24"/>
  <c r="H109" i="24"/>
  <c r="H130" i="24"/>
  <c r="H121" i="24"/>
  <c r="H132" i="24"/>
  <c r="H110" i="24"/>
  <c r="H111" i="24"/>
  <c r="H117" i="24"/>
  <c r="H118" i="24"/>
  <c r="H126" i="24"/>
  <c r="H134" i="24"/>
  <c r="H116" i="24"/>
  <c r="H131" i="24"/>
  <c r="H112" i="24"/>
  <c r="H133" i="24"/>
  <c r="H124" i="24"/>
  <c r="H113" i="24"/>
  <c r="H123" i="24"/>
  <c r="H125" i="24"/>
  <c r="H119" i="24"/>
  <c r="H127" i="24"/>
  <c r="H135" i="24"/>
  <c r="H128" i="24"/>
  <c r="H120" i="24"/>
  <c r="H43" i="24"/>
  <c r="H53" i="24"/>
  <c r="H140" i="24" s="1"/>
  <c r="I15" i="24"/>
  <c r="O18" i="13"/>
  <c r="P8" i="13" s="1"/>
  <c r="G140" i="24"/>
  <c r="G135" i="24"/>
  <c r="G144" i="24"/>
  <c r="W8" i="16"/>
  <c r="Y8" i="16" s="1"/>
  <c r="W9" i="16"/>
  <c r="Y9" i="16" s="1"/>
  <c r="Z9" i="16" s="1"/>
  <c r="W10" i="16"/>
  <c r="Y10" i="16" s="1"/>
  <c r="Z10" i="16" s="1"/>
  <c r="W11" i="16"/>
  <c r="Y11" i="16" s="1"/>
  <c r="Z11" i="16" s="1"/>
  <c r="W12" i="16"/>
  <c r="Y12" i="16" s="1"/>
  <c r="Z12" i="16" s="1"/>
  <c r="W14" i="16"/>
  <c r="W15" i="16"/>
  <c r="W16" i="16"/>
  <c r="Y16" i="16" s="1"/>
  <c r="Z16" i="16" s="1"/>
  <c r="K11" i="14"/>
  <c r="N25" i="11"/>
  <c r="J11" i="11"/>
  <c r="J15" i="11"/>
  <c r="J9" i="11"/>
  <c r="J10" i="11"/>
  <c r="J12" i="11"/>
  <c r="J16" i="11"/>
  <c r="J14" i="11"/>
  <c r="E36" i="24"/>
  <c r="E69" i="24" s="1"/>
  <c r="E19" i="24"/>
  <c r="E54" i="24"/>
  <c r="S28" i="17"/>
  <c r="S27" i="17"/>
  <c r="K15" i="14"/>
  <c r="H19" i="14"/>
  <c r="I8" i="14"/>
  <c r="D97" i="24"/>
  <c r="J8" i="11"/>
  <c r="P16" i="12"/>
  <c r="P9" i="12"/>
  <c r="P14" i="12"/>
  <c r="P11" i="12"/>
  <c r="P12" i="12"/>
  <c r="O18" i="17"/>
  <c r="P8" i="17" s="1"/>
  <c r="I44" i="24"/>
  <c r="I17" i="24"/>
  <c r="G132" i="24"/>
  <c r="G142" i="24"/>
  <c r="J18" i="11" l="1"/>
  <c r="I21" i="21"/>
  <c r="K8" i="21"/>
  <c r="K21" i="21" s="1"/>
  <c r="J11" i="15"/>
  <c r="J15" i="15"/>
  <c r="J14" i="15"/>
  <c r="J17" i="15"/>
  <c r="J12" i="15"/>
  <c r="J8" i="15"/>
  <c r="J10" i="15"/>
  <c r="J9" i="15"/>
  <c r="W11" i="17"/>
  <c r="Y11" i="17" s="1"/>
  <c r="Z11" i="17" s="1"/>
  <c r="AC11" i="17" s="1"/>
  <c r="W15" i="17"/>
  <c r="X15" i="17" s="1"/>
  <c r="Y15" i="17" s="1"/>
  <c r="W8" i="17"/>
  <c r="Y8" i="17" s="1"/>
  <c r="Z8" i="17" s="1"/>
  <c r="W9" i="17"/>
  <c r="Y9" i="17" s="1"/>
  <c r="Z9" i="17" s="1"/>
  <c r="AC9" i="17" s="1"/>
  <c r="P17" i="12"/>
  <c r="H144" i="24"/>
  <c r="N18" i="33"/>
  <c r="M18" i="13"/>
  <c r="W12" i="17"/>
  <c r="Y12" i="17" s="1"/>
  <c r="Z12" i="17" s="1"/>
  <c r="AC12" i="17" s="1"/>
  <c r="W10" i="17"/>
  <c r="Y10" i="17" s="1"/>
  <c r="Z10" i="17" s="1"/>
  <c r="AC10" i="17" s="1"/>
  <c r="H149" i="24"/>
  <c r="W16" i="17"/>
  <c r="Y16" i="17" s="1"/>
  <c r="Z16" i="17" s="1"/>
  <c r="AB16" i="17" s="1"/>
  <c r="J17" i="10"/>
  <c r="I19" i="14"/>
  <c r="J8" i="14" s="1"/>
  <c r="K8" i="14"/>
  <c r="K19" i="14" s="1"/>
  <c r="E77" i="24"/>
  <c r="K110" i="24"/>
  <c r="X14" i="16"/>
  <c r="Y14" i="16" s="1"/>
  <c r="Z14" i="16" s="1"/>
  <c r="AB9" i="16"/>
  <c r="AC9" i="16"/>
  <c r="H139" i="24"/>
  <c r="T28" i="33"/>
  <c r="Q15" i="33"/>
  <c r="Q14" i="33"/>
  <c r="Q16" i="33"/>
  <c r="Q12" i="33"/>
  <c r="Q10" i="33"/>
  <c r="Q11" i="33"/>
  <c r="Q9" i="33"/>
  <c r="AB12" i="16"/>
  <c r="AC12" i="16"/>
  <c r="Z8" i="16"/>
  <c r="H142" i="24"/>
  <c r="H148" i="24"/>
  <c r="H141" i="24"/>
  <c r="H145" i="24"/>
  <c r="X14" i="17"/>
  <c r="Y14" i="17" s="1"/>
  <c r="Z14" i="17" s="1"/>
  <c r="E70" i="24"/>
  <c r="E55" i="24"/>
  <c r="D70" i="24"/>
  <c r="D78" i="24" s="1"/>
  <c r="N16" i="11"/>
  <c r="O16" i="11" s="1"/>
  <c r="P16" i="11" s="1"/>
  <c r="N12" i="11"/>
  <c r="O12" i="11" s="1"/>
  <c r="P12" i="11" s="1"/>
  <c r="N8" i="11"/>
  <c r="O8" i="11" s="1"/>
  <c r="N9" i="11"/>
  <c r="O9" i="11" s="1"/>
  <c r="P9" i="11" s="1"/>
  <c r="N10" i="11"/>
  <c r="O10" i="11" s="1"/>
  <c r="P10" i="11" s="1"/>
  <c r="N14" i="11"/>
  <c r="O14" i="11" s="1"/>
  <c r="P14" i="11" s="1"/>
  <c r="N11" i="11"/>
  <c r="O11" i="11" s="1"/>
  <c r="P11" i="11" s="1"/>
  <c r="N15" i="11"/>
  <c r="O15" i="11" s="1"/>
  <c r="P15" i="11" s="1"/>
  <c r="AC16" i="16"/>
  <c r="AB16" i="16"/>
  <c r="AC11" i="16"/>
  <c r="AB11" i="16"/>
  <c r="P15" i="13"/>
  <c r="P12" i="13"/>
  <c r="P10" i="13"/>
  <c r="P9" i="13"/>
  <c r="P16" i="13"/>
  <c r="P14" i="13"/>
  <c r="P11" i="13"/>
  <c r="I43" i="24"/>
  <c r="I53" i="24"/>
  <c r="H137" i="24"/>
  <c r="O108" i="24"/>
  <c r="P9" i="17"/>
  <c r="P11" i="17"/>
  <c r="P16" i="17"/>
  <c r="P14" i="17"/>
  <c r="P15" i="17"/>
  <c r="P12" i="17"/>
  <c r="P10" i="17"/>
  <c r="E24" i="24"/>
  <c r="E22" i="24"/>
  <c r="X15" i="16"/>
  <c r="Y15" i="16" s="1"/>
  <c r="Z15" i="16" s="1"/>
  <c r="AB10" i="16"/>
  <c r="AC10" i="16"/>
  <c r="H147" i="24"/>
  <c r="H146" i="24"/>
  <c r="H138" i="24"/>
  <c r="V10" i="13"/>
  <c r="V15" i="13"/>
  <c r="W14" i="13"/>
  <c r="W8" i="13"/>
  <c r="Y8" i="13" s="1"/>
  <c r="W11" i="13"/>
  <c r="Y11" i="13" s="1"/>
  <c r="Z11" i="13" s="1"/>
  <c r="W12" i="13"/>
  <c r="Y12" i="13" s="1"/>
  <c r="Z12" i="13" s="1"/>
  <c r="V14" i="13"/>
  <c r="W9" i="13"/>
  <c r="Y9" i="13" s="1"/>
  <c r="Z9" i="13" s="1"/>
  <c r="W16" i="13"/>
  <c r="Y16" i="13" s="1"/>
  <c r="Z16" i="13" s="1"/>
  <c r="V9" i="13"/>
  <c r="W15" i="13"/>
  <c r="W10" i="13"/>
  <c r="Y10" i="13" s="1"/>
  <c r="Z10" i="13" s="1"/>
  <c r="V11" i="13"/>
  <c r="V16" i="13"/>
  <c r="V12" i="13"/>
  <c r="V8" i="13"/>
  <c r="I138" i="24"/>
  <c r="I113" i="24"/>
  <c r="I123" i="24"/>
  <c r="I125" i="24"/>
  <c r="I149" i="24"/>
  <c r="I120" i="24"/>
  <c r="I128" i="24"/>
  <c r="I139" i="24"/>
  <c r="I147" i="24"/>
  <c r="I124" i="24"/>
  <c r="I145" i="24"/>
  <c r="I114" i="24"/>
  <c r="I109" i="24"/>
  <c r="I130" i="24"/>
  <c r="I141" i="24"/>
  <c r="I121" i="24"/>
  <c r="I132" i="24"/>
  <c r="I140" i="24"/>
  <c r="I148" i="24"/>
  <c r="I137" i="24"/>
  <c r="I117" i="24"/>
  <c r="I131" i="24"/>
  <c r="I112" i="24"/>
  <c r="I133" i="24"/>
  <c r="I118" i="24"/>
  <c r="I126" i="24"/>
  <c r="I134" i="24"/>
  <c r="I142" i="24"/>
  <c r="I116" i="24"/>
  <c r="I144" i="24"/>
  <c r="I110" i="24"/>
  <c r="I119" i="24"/>
  <c r="I127" i="24"/>
  <c r="I146" i="24"/>
  <c r="I111" i="24"/>
  <c r="I135" i="24"/>
  <c r="W14" i="33" l="1"/>
  <c r="W15" i="33"/>
  <c r="W16" i="33"/>
  <c r="W10" i="33"/>
  <c r="W11" i="33"/>
  <c r="W9" i="33"/>
  <c r="W12" i="33"/>
  <c r="W8" i="33"/>
  <c r="J16" i="21"/>
  <c r="N29" i="21"/>
  <c r="J11" i="21"/>
  <c r="J8" i="21"/>
  <c r="J12" i="21"/>
  <c r="J15" i="21"/>
  <c r="J9" i="21"/>
  <c r="J14" i="21"/>
  <c r="J18" i="21"/>
  <c r="J10" i="21"/>
  <c r="J19" i="21"/>
  <c r="Q18" i="33"/>
  <c r="J19" i="15"/>
  <c r="AB11" i="17"/>
  <c r="AB10" i="17"/>
  <c r="AB12" i="17"/>
  <c r="AC16" i="17"/>
  <c r="AB9" i="17"/>
  <c r="P18" i="13"/>
  <c r="P18" i="17"/>
  <c r="X19" i="17"/>
  <c r="Z15" i="17"/>
  <c r="Z18" i="17" s="1"/>
  <c r="AA8" i="17" s="1"/>
  <c r="Y18" i="17"/>
  <c r="AC12" i="13"/>
  <c r="AB12" i="13"/>
  <c r="R15" i="11"/>
  <c r="R9" i="11"/>
  <c r="Y18" i="16"/>
  <c r="AC16" i="13"/>
  <c r="AB16" i="13"/>
  <c r="E21" i="24"/>
  <c r="F18" i="24"/>
  <c r="E35" i="24"/>
  <c r="E37" i="24"/>
  <c r="E25" i="24"/>
  <c r="R11" i="11"/>
  <c r="O18" i="11"/>
  <c r="P8" i="11"/>
  <c r="AC14" i="16"/>
  <c r="AB14" i="16"/>
  <c r="AC11" i="13"/>
  <c r="AB11" i="13"/>
  <c r="V18" i="13"/>
  <c r="S24" i="13" s="1"/>
  <c r="S27" i="13" s="1"/>
  <c r="AC10" i="13"/>
  <c r="AB10" i="13"/>
  <c r="AC9" i="13"/>
  <c r="AB9" i="13"/>
  <c r="Z8" i="13"/>
  <c r="AB8" i="17"/>
  <c r="AC8" i="17"/>
  <c r="R14" i="11"/>
  <c r="R12" i="11"/>
  <c r="E57" i="24"/>
  <c r="E56" i="24"/>
  <c r="E78" i="24"/>
  <c r="K117" i="24"/>
  <c r="Y10" i="33"/>
  <c r="AA10" i="33" s="1"/>
  <c r="AB10" i="33" s="1"/>
  <c r="Y9" i="33"/>
  <c r="AA9" i="33" s="1"/>
  <c r="AB9" i="33" s="1"/>
  <c r="Y14" i="33"/>
  <c r="Y16" i="33"/>
  <c r="AA16" i="33" s="1"/>
  <c r="AB16" i="33" s="1"/>
  <c r="Y15" i="33"/>
  <c r="Y8" i="33"/>
  <c r="AA8" i="33" s="1"/>
  <c r="Y11" i="33"/>
  <c r="AA11" i="33" s="1"/>
  <c r="AB11" i="33" s="1"/>
  <c r="Y12" i="33"/>
  <c r="AA12" i="33" s="1"/>
  <c r="AB12" i="33" s="1"/>
  <c r="J17" i="14"/>
  <c r="J14" i="14"/>
  <c r="J12" i="14"/>
  <c r="J15" i="14"/>
  <c r="J10" i="14"/>
  <c r="J9" i="14"/>
  <c r="J11" i="14"/>
  <c r="X15" i="13"/>
  <c r="Y15" i="13" s="1"/>
  <c r="Z15" i="13" s="1"/>
  <c r="X14" i="13"/>
  <c r="Y14" i="13" s="1"/>
  <c r="Z14" i="13" s="1"/>
  <c r="AC15" i="16"/>
  <c r="AB15" i="16"/>
  <c r="R10" i="11"/>
  <c r="R16" i="11"/>
  <c r="AB14" i="17"/>
  <c r="AC14" i="17"/>
  <c r="AB8" i="16"/>
  <c r="Z18" i="16"/>
  <c r="AA14" i="16" s="1"/>
  <c r="AC8" i="16"/>
  <c r="P138" i="24"/>
  <c r="P109" i="24"/>
  <c r="P124" i="24"/>
  <c r="P148" i="24"/>
  <c r="P123" i="24"/>
  <c r="P131" i="24"/>
  <c r="P117" i="24"/>
  <c r="P146" i="24"/>
  <c r="P140" i="24"/>
  <c r="P147" i="24"/>
  <c r="P132" i="24"/>
  <c r="P145" i="24"/>
  <c r="P137" i="24"/>
  <c r="P144" i="24"/>
  <c r="P110" i="24"/>
  <c r="P130" i="24"/>
  <c r="P139" i="24"/>
  <c r="P116" i="24"/>
  <c r="W18" i="33" l="1"/>
  <c r="T24" i="33" s="1"/>
  <c r="J21" i="21"/>
  <c r="N34" i="21"/>
  <c r="O19" i="21" s="1"/>
  <c r="P19" i="21" s="1"/>
  <c r="R19" i="21" s="1"/>
  <c r="N12" i="21"/>
  <c r="O12" i="21" s="1"/>
  <c r="N10" i="21"/>
  <c r="O10" i="21" s="1"/>
  <c r="P10" i="21" s="1"/>
  <c r="N8" i="21"/>
  <c r="O8" i="21" s="1"/>
  <c r="N14" i="21"/>
  <c r="O14" i="21" s="1"/>
  <c r="N16" i="21"/>
  <c r="O16" i="21" s="1"/>
  <c r="N15" i="21"/>
  <c r="O15" i="21" s="1"/>
  <c r="N19" i="21"/>
  <c r="N11" i="21"/>
  <c r="O11" i="21" s="1"/>
  <c r="P11" i="21" s="1"/>
  <c r="R18" i="21"/>
  <c r="N18" i="21"/>
  <c r="N9" i="21"/>
  <c r="O9" i="21" s="1"/>
  <c r="P9" i="21" s="1"/>
  <c r="AA14" i="17"/>
  <c r="J19" i="14"/>
  <c r="D88" i="24"/>
  <c r="E90" i="24"/>
  <c r="F88" i="24"/>
  <c r="E87" i="24"/>
  <c r="D90" i="24"/>
  <c r="D89" i="24"/>
  <c r="G90" i="24"/>
  <c r="E85" i="24"/>
  <c r="D85" i="24"/>
  <c r="D86" i="24"/>
  <c r="H90" i="24"/>
  <c r="F89" i="24"/>
  <c r="E89" i="24"/>
  <c r="G89" i="24"/>
  <c r="D87" i="24"/>
  <c r="F90" i="24"/>
  <c r="E86" i="24"/>
  <c r="E88" i="24"/>
  <c r="AC15" i="13"/>
  <c r="AB15" i="13"/>
  <c r="AA8" i="16"/>
  <c r="AE12" i="33"/>
  <c r="AD12" i="33"/>
  <c r="AD16" i="33"/>
  <c r="AE16" i="33"/>
  <c r="AA12" i="16"/>
  <c r="AA16" i="16"/>
  <c r="AA9" i="16"/>
  <c r="AA10" i="16"/>
  <c r="AA11" i="16"/>
  <c r="AC14" i="13"/>
  <c r="AB14" i="13"/>
  <c r="AA14" i="33"/>
  <c r="AB18" i="16"/>
  <c r="AB8" i="33"/>
  <c r="AE9" i="33"/>
  <c r="AD9" i="33"/>
  <c r="Y18" i="13"/>
  <c r="Q8" i="11"/>
  <c r="R8" i="11"/>
  <c r="R18" i="11" s="1"/>
  <c r="P18" i="11"/>
  <c r="F23" i="24"/>
  <c r="AA15" i="17"/>
  <c r="AC15" i="17"/>
  <c r="AB15" i="17"/>
  <c r="AB18" i="17" s="1"/>
  <c r="AA15" i="16"/>
  <c r="AD11" i="33"/>
  <c r="AE11" i="33"/>
  <c r="AC18" i="16"/>
  <c r="AD14" i="16" s="1"/>
  <c r="AE10" i="33"/>
  <c r="AD10" i="33"/>
  <c r="E60" i="24"/>
  <c r="E59" i="24"/>
  <c r="AA10" i="17"/>
  <c r="AA12" i="17"/>
  <c r="AA16" i="17"/>
  <c r="AA9" i="17"/>
  <c r="AA11" i="17"/>
  <c r="AC8" i="13"/>
  <c r="Z18" i="13"/>
  <c r="AB8" i="13"/>
  <c r="T33" i="33" l="1"/>
  <c r="Z15" i="33" s="1"/>
  <c r="AB14" i="33"/>
  <c r="AE14" i="33" s="1"/>
  <c r="R9" i="21"/>
  <c r="P8" i="21"/>
  <c r="O21" i="21"/>
  <c r="P12" i="21"/>
  <c r="R12" i="21" s="1"/>
  <c r="P15" i="21"/>
  <c r="R15" i="21" s="1"/>
  <c r="R10" i="21"/>
  <c r="R11" i="21"/>
  <c r="P14" i="21"/>
  <c r="R14" i="21" s="1"/>
  <c r="P16" i="21"/>
  <c r="R16" i="21" s="1"/>
  <c r="AB18" i="13"/>
  <c r="AA18" i="17"/>
  <c r="AD8" i="16"/>
  <c r="AA10" i="13"/>
  <c r="AA12" i="13"/>
  <c r="AA16" i="13"/>
  <c r="AA11" i="13"/>
  <c r="AA9" i="13"/>
  <c r="E96" i="24"/>
  <c r="AA14" i="13"/>
  <c r="AD15" i="16"/>
  <c r="AA15" i="13"/>
  <c r="E61" i="24"/>
  <c r="AC18" i="13"/>
  <c r="AD14" i="13" s="1"/>
  <c r="E97" i="24"/>
  <c r="F36" i="24"/>
  <c r="F19" i="24"/>
  <c r="F54" i="24"/>
  <c r="AD8" i="33"/>
  <c r="AE8" i="33"/>
  <c r="Q14" i="11"/>
  <c r="Q10" i="11"/>
  <c r="Q12" i="11"/>
  <c r="Q15" i="11"/>
  <c r="Q9" i="11"/>
  <c r="Q11" i="11"/>
  <c r="Q16" i="11"/>
  <c r="AC18" i="17"/>
  <c r="AD15" i="17" s="1"/>
  <c r="AA18" i="16"/>
  <c r="AA8" i="13"/>
  <c r="AD9" i="16"/>
  <c r="AD10" i="16"/>
  <c r="AD12" i="16"/>
  <c r="AD16" i="16"/>
  <c r="AD11" i="16"/>
  <c r="D61" i="24"/>
  <c r="AD14" i="33" l="1"/>
  <c r="P21" i="21"/>
  <c r="R8" i="21"/>
  <c r="R21" i="21" s="1"/>
  <c r="Q18" i="11"/>
  <c r="AD15" i="13"/>
  <c r="AA18" i="13"/>
  <c r="AD18" i="16"/>
  <c r="AD8" i="13"/>
  <c r="F69" i="24"/>
  <c r="F70" i="24"/>
  <c r="D98" i="24"/>
  <c r="E98" i="24"/>
  <c r="AD10" i="13"/>
  <c r="AD12" i="13"/>
  <c r="AD11" i="13"/>
  <c r="AD9" i="13"/>
  <c r="AD16" i="13"/>
  <c r="E71" i="24"/>
  <c r="E79" i="24" s="1"/>
  <c r="F71" i="24"/>
  <c r="D71" i="24"/>
  <c r="D79" i="24" s="1"/>
  <c r="F55" i="24"/>
  <c r="AD16" i="17"/>
  <c r="AD12" i="17"/>
  <c r="AD11" i="17"/>
  <c r="AD10" i="17"/>
  <c r="AD9" i="17"/>
  <c r="AD8" i="17"/>
  <c r="AD14" i="17"/>
  <c r="F24" i="24"/>
  <c r="F22" i="24"/>
  <c r="Q14" i="21" l="1"/>
  <c r="Q19" i="21"/>
  <c r="Q9" i="21"/>
  <c r="Q10" i="21"/>
  <c r="Q16" i="21"/>
  <c r="Q15" i="21"/>
  <c r="Q11" i="21"/>
  <c r="Q8" i="21"/>
  <c r="Q18" i="21"/>
  <c r="Q12" i="21"/>
  <c r="AD18" i="13"/>
  <c r="F78" i="24"/>
  <c r="L118" i="24"/>
  <c r="F77" i="24"/>
  <c r="L111" i="24"/>
  <c r="F79" i="24"/>
  <c r="L125" i="24"/>
  <c r="F21" i="24"/>
  <c r="G18" i="24"/>
  <c r="F35" i="24"/>
  <c r="F37" i="24"/>
  <c r="F25" i="24"/>
  <c r="AD18" i="17"/>
  <c r="F56" i="24"/>
  <c r="F57" i="24"/>
  <c r="P118" i="24"/>
  <c r="P125" i="24"/>
  <c r="P111" i="24"/>
  <c r="Q21" i="21" l="1"/>
  <c r="F85" i="24"/>
  <c r="F87" i="24"/>
  <c r="F86" i="24"/>
  <c r="F60" i="24"/>
  <c r="F59" i="24"/>
  <c r="G23" i="24"/>
  <c r="F61" i="24" l="1"/>
  <c r="F98" i="24" s="1"/>
  <c r="F97" i="24"/>
  <c r="G36" i="24"/>
  <c r="G19" i="24"/>
  <c r="G54" i="24"/>
  <c r="F96" i="24"/>
  <c r="G24" i="24" l="1"/>
  <c r="G22" i="24"/>
  <c r="G69" i="24"/>
  <c r="G70" i="24"/>
  <c r="G71" i="24"/>
  <c r="D72" i="24"/>
  <c r="D80" i="24" s="1"/>
  <c r="E72" i="24"/>
  <c r="E80" i="24" s="1"/>
  <c r="F72" i="24"/>
  <c r="F80" i="24" s="1"/>
  <c r="G72" i="24"/>
  <c r="G55" i="24"/>
  <c r="G78" i="24" l="1"/>
  <c r="M119" i="24"/>
  <c r="G77" i="24"/>
  <c r="M112" i="24"/>
  <c r="G25" i="24"/>
  <c r="G37" i="24"/>
  <c r="G57" i="24"/>
  <c r="G56" i="24"/>
  <c r="H18" i="24"/>
  <c r="G35" i="24"/>
  <c r="G21" i="24"/>
  <c r="G80" i="24"/>
  <c r="M133" i="24"/>
  <c r="G79" i="24"/>
  <c r="M126" i="24"/>
  <c r="P133" i="24"/>
  <c r="P119" i="24"/>
  <c r="P126" i="24"/>
  <c r="P112" i="24"/>
  <c r="G87" i="24" l="1"/>
  <c r="G88" i="24"/>
  <c r="G85" i="24"/>
  <c r="G86" i="24"/>
  <c r="H23" i="24"/>
  <c r="G60" i="24"/>
  <c r="G59" i="24"/>
  <c r="G96" i="24" l="1"/>
  <c r="G97" i="24"/>
  <c r="G61" i="24"/>
  <c r="H36" i="24"/>
  <c r="H19" i="24"/>
  <c r="H54" i="24"/>
  <c r="G98" i="24" l="1"/>
  <c r="H73" i="24"/>
  <c r="F73" i="24"/>
  <c r="F81" i="24" s="1"/>
  <c r="D73" i="24"/>
  <c r="D81" i="24" s="1"/>
  <c r="E73" i="24"/>
  <c r="E81" i="24" s="1"/>
  <c r="G73" i="24"/>
  <c r="G81" i="24" s="1"/>
  <c r="H55" i="24"/>
  <c r="H24" i="24"/>
  <c r="H22" i="24"/>
  <c r="H69" i="24"/>
  <c r="H70" i="24"/>
  <c r="H71" i="24"/>
  <c r="H72" i="24"/>
  <c r="H81" i="24" l="1"/>
  <c r="N141" i="24"/>
  <c r="H25" i="24"/>
  <c r="H37" i="24"/>
  <c r="H57" i="24"/>
  <c r="H56" i="24"/>
  <c r="H78" i="24"/>
  <c r="N120" i="24"/>
  <c r="H77" i="24"/>
  <c r="N113" i="24"/>
  <c r="H79" i="24"/>
  <c r="N127" i="24"/>
  <c r="H80" i="24"/>
  <c r="N134" i="24"/>
  <c r="H35" i="24"/>
  <c r="I18" i="24"/>
  <c r="H21" i="24"/>
  <c r="P113" i="24"/>
  <c r="P127" i="24"/>
  <c r="P141" i="24"/>
  <c r="P134" i="24"/>
  <c r="P120" i="24"/>
  <c r="H88" i="24" l="1"/>
  <c r="H86" i="24"/>
  <c r="H89" i="24"/>
  <c r="H85" i="24"/>
  <c r="H87" i="24"/>
  <c r="H59" i="24"/>
  <c r="H60" i="24"/>
  <c r="I23" i="24"/>
  <c r="H61" i="24" l="1"/>
  <c r="H98" i="24" s="1"/>
  <c r="H97" i="24"/>
  <c r="H96" i="24"/>
  <c r="I36" i="24"/>
  <c r="I19" i="24"/>
  <c r="I54" i="24"/>
  <c r="I69" i="24" l="1"/>
  <c r="I70" i="24"/>
  <c r="I71" i="24"/>
  <c r="I72" i="24"/>
  <c r="I73" i="24"/>
  <c r="G74" i="24"/>
  <c r="G82" i="24" s="1"/>
  <c r="E74" i="24"/>
  <c r="E82" i="24" s="1"/>
  <c r="I74" i="24"/>
  <c r="H74" i="24"/>
  <c r="H82" i="24" s="1"/>
  <c r="D74" i="24"/>
  <c r="D82" i="24" s="1"/>
  <c r="F74" i="24"/>
  <c r="F82" i="24" s="1"/>
  <c r="I55" i="24"/>
  <c r="I24" i="24"/>
  <c r="I22" i="24"/>
  <c r="I21" i="24" l="1"/>
  <c r="I35" i="24"/>
  <c r="I56" i="24"/>
  <c r="I57" i="24"/>
  <c r="I82" i="24"/>
  <c r="O149" i="24"/>
  <c r="I80" i="24"/>
  <c r="O135" i="24"/>
  <c r="I79" i="24"/>
  <c r="O128" i="24"/>
  <c r="I78" i="24"/>
  <c r="O121" i="24"/>
  <c r="I25" i="24"/>
  <c r="I37" i="24"/>
  <c r="I81" i="24"/>
  <c r="O142" i="24"/>
  <c r="I77" i="24"/>
  <c r="O114" i="24"/>
  <c r="P142" i="24"/>
  <c r="P135" i="24"/>
  <c r="P128" i="24"/>
  <c r="P121" i="24"/>
  <c r="P149" i="24"/>
  <c r="P114" i="24"/>
  <c r="I88" i="24" l="1"/>
  <c r="I85" i="24"/>
  <c r="I86" i="24"/>
  <c r="I89" i="24"/>
  <c r="I87" i="24"/>
  <c r="I90" i="24"/>
  <c r="I60" i="24"/>
  <c r="I97" i="24" s="1"/>
  <c r="I59" i="24"/>
  <c r="I96" i="24" s="1"/>
  <c r="I61" i="24" l="1"/>
  <c r="I98" i="24" s="1"/>
  <c r="AA15" i="33" l="1"/>
  <c r="AB15" i="33" s="1"/>
  <c r="AE15" i="33" s="1"/>
  <c r="AA18" i="33" l="1"/>
  <c r="AD15" i="33"/>
  <c r="AD18" i="33" s="1"/>
  <c r="AB18" i="33"/>
  <c r="AC8" i="33" s="1"/>
  <c r="AE18" i="33"/>
  <c r="AF15" i="33" s="1"/>
  <c r="AC12" i="33" l="1"/>
  <c r="AC10" i="33"/>
  <c r="AC11" i="33"/>
  <c r="AC15" i="33"/>
  <c r="AC16" i="33"/>
  <c r="AC9" i="33"/>
  <c r="AC14" i="33"/>
  <c r="AF9" i="33"/>
  <c r="AF11" i="33"/>
  <c r="AF14" i="33"/>
  <c r="AF8" i="33"/>
  <c r="AF10" i="33"/>
  <c r="AF12" i="33"/>
  <c r="AF16" i="33"/>
  <c r="AC18" i="33" l="1"/>
  <c r="AF18" i="33"/>
  <c r="AD32" i="27"/>
  <c r="L36" i="27" l="1"/>
  <c r="Q19" i="27" s="1"/>
  <c r="R19" i="27" s="1"/>
  <c r="U19" i="27" s="1"/>
  <c r="Z19" i="27" s="1"/>
  <c r="W19" i="27" l="1"/>
  <c r="Q17" i="27"/>
  <c r="R17" i="27" s="1"/>
  <c r="U17" i="27" s="1"/>
  <c r="Q18" i="27"/>
  <c r="R18" i="27" s="1"/>
  <c r="U18" i="27" s="1"/>
  <c r="Z18" i="27" s="1"/>
  <c r="Q11" i="27"/>
  <c r="R11" i="27" s="1"/>
  <c r="U11" i="27" s="1"/>
  <c r="Z11" i="27" s="1"/>
  <c r="Q16" i="27"/>
  <c r="R16" i="27" s="1"/>
  <c r="U16" i="27" s="1"/>
  <c r="Z16" i="27" s="1"/>
  <c r="Q23" i="27"/>
  <c r="R23" i="27" s="1"/>
  <c r="Q10" i="27"/>
  <c r="R10" i="27" s="1"/>
  <c r="Q8" i="27"/>
  <c r="R8" i="27" s="1"/>
  <c r="Q22" i="27"/>
  <c r="R22" i="27" s="1"/>
  <c r="Q13" i="27"/>
  <c r="R13" i="27" s="1"/>
  <c r="Q21" i="27"/>
  <c r="R21" i="27" s="1"/>
  <c r="L41" i="27"/>
  <c r="Q15" i="27"/>
  <c r="R15" i="27" s="1"/>
  <c r="Q9" i="27"/>
  <c r="R9" i="27" s="1"/>
  <c r="Q12" i="27"/>
  <c r="R12" i="27" s="1"/>
  <c r="Q14" i="27"/>
  <c r="R14" i="27" s="1"/>
  <c r="W17" i="27" l="1"/>
  <c r="Z17" i="27"/>
  <c r="W18" i="27"/>
  <c r="W16" i="27"/>
  <c r="W11" i="27"/>
  <c r="U12" i="27"/>
  <c r="Z12" i="27" s="1"/>
  <c r="U13" i="27"/>
  <c r="U10" i="27"/>
  <c r="Z10" i="27" s="1"/>
  <c r="U14" i="27"/>
  <c r="Z14" i="27" s="1"/>
  <c r="S22" i="27"/>
  <c r="S23" i="27" s="1"/>
  <c r="U21" i="27"/>
  <c r="Z21" i="27" s="1"/>
  <c r="U9" i="27"/>
  <c r="Z9" i="27" s="1"/>
  <c r="U15" i="27"/>
  <c r="Z15" i="27" s="1"/>
  <c r="U8" i="27"/>
  <c r="Z8" i="27" s="1"/>
  <c r="W13" i="27" l="1"/>
  <c r="Z13" i="27"/>
  <c r="W12" i="27"/>
  <c r="W14" i="27"/>
  <c r="W10" i="27"/>
  <c r="U22" i="27"/>
  <c r="W8" i="27"/>
  <c r="S25" i="27"/>
  <c r="U23" i="27"/>
  <c r="W15" i="27"/>
  <c r="W9" i="27"/>
  <c r="R25" i="27"/>
  <c r="W21" i="27"/>
  <c r="W22" i="27" l="1"/>
  <c r="Z22" i="27"/>
  <c r="W23" i="27"/>
  <c r="Z23" i="27"/>
  <c r="U25" i="27"/>
  <c r="V19" i="27" s="1"/>
  <c r="W25" i="27"/>
  <c r="V17" i="27" l="1"/>
  <c r="V18" i="27"/>
  <c r="V23" i="27"/>
  <c r="V16" i="27"/>
  <c r="Z25" i="27"/>
  <c r="AA19" i="27" s="1"/>
  <c r="V8" i="27"/>
  <c r="V11" i="27"/>
  <c r="V15" i="27"/>
  <c r="V21" i="27"/>
  <c r="V12" i="27"/>
  <c r="V9" i="27"/>
  <c r="V13" i="27"/>
  <c r="V22" i="27"/>
  <c r="V14" i="27"/>
  <c r="V10" i="27"/>
  <c r="AA17" i="27" l="1"/>
  <c r="AA18" i="27"/>
  <c r="AA10" i="27"/>
  <c r="AA16" i="27"/>
  <c r="AA15" i="27"/>
  <c r="AA22" i="27"/>
  <c r="AA13" i="27"/>
  <c r="AA23" i="27"/>
  <c r="AA14" i="27"/>
  <c r="AA9" i="27"/>
  <c r="AA12" i="27"/>
  <c r="AA11" i="27"/>
  <c r="AA21" i="27"/>
  <c r="AA8" i="27"/>
  <c r="V25" i="27"/>
  <c r="AA25" i="27" l="1"/>
  <c r="AG8" i="27"/>
  <c r="AG9" i="27"/>
  <c r="AG10" i="27"/>
  <c r="AG11" i="27"/>
  <c r="AG12" i="27"/>
  <c r="AG13" i="27"/>
  <c r="AG14" i="27"/>
  <c r="AG15" i="27"/>
  <c r="AG21" i="27"/>
  <c r="AG22" i="27"/>
  <c r="AG23" i="27"/>
  <c r="AD36" i="27"/>
  <c r="AI19" i="27" s="1"/>
  <c r="AK19" i="27" s="1"/>
  <c r="AN19" i="27" s="1"/>
  <c r="AP19" i="27" l="1"/>
  <c r="AS19" i="27"/>
  <c r="AI17" i="27"/>
  <c r="AK17" i="27" s="1"/>
  <c r="AN17" i="27" s="1"/>
  <c r="AP17" i="27" s="1"/>
  <c r="AI18" i="27"/>
  <c r="AK18" i="27" s="1"/>
  <c r="AN18" i="27" s="1"/>
  <c r="AI15" i="27"/>
  <c r="AK15" i="27" s="1"/>
  <c r="AN15" i="27" s="1"/>
  <c r="AP15" i="27" s="1"/>
  <c r="AI16" i="27"/>
  <c r="AK16" i="27" s="1"/>
  <c r="AN16" i="27" s="1"/>
  <c r="AD35" i="27"/>
  <c r="AI14" i="27"/>
  <c r="AI13" i="27"/>
  <c r="AJ13" i="27" s="1"/>
  <c r="AI12" i="27"/>
  <c r="AK12" i="27" s="1"/>
  <c r="AN12" i="27" s="1"/>
  <c r="AI11" i="27"/>
  <c r="AK11" i="27" s="1"/>
  <c r="AN11" i="27" s="1"/>
  <c r="AI10" i="27"/>
  <c r="AK10" i="27" s="1"/>
  <c r="AN10" i="27" s="1"/>
  <c r="AI9" i="27"/>
  <c r="AK9" i="27" s="1"/>
  <c r="AN9" i="27" s="1"/>
  <c r="AI8" i="27"/>
  <c r="AK8" i="27" s="1"/>
  <c r="AG25" i="27"/>
  <c r="AD31" i="27" s="1"/>
  <c r="AI23" i="27"/>
  <c r="AK23" i="27" s="1"/>
  <c r="AD41" i="27"/>
  <c r="AI22" i="27"/>
  <c r="AK22" i="27" s="1"/>
  <c r="AI21" i="27"/>
  <c r="AK21" i="27" s="1"/>
  <c r="AS17" i="27" l="1"/>
  <c r="AP18" i="27"/>
  <c r="AS18" i="27"/>
  <c r="AS15" i="27"/>
  <c r="AP16" i="27"/>
  <c r="AS16" i="27"/>
  <c r="AP12" i="27"/>
  <c r="AS12" i="27"/>
  <c r="AP9" i="27"/>
  <c r="AS9" i="27"/>
  <c r="AK13" i="27"/>
  <c r="AN8" i="27"/>
  <c r="AP10" i="27"/>
  <c r="AS10" i="27"/>
  <c r="AN21" i="27"/>
  <c r="AL22" i="27"/>
  <c r="AP11" i="27"/>
  <c r="AS11" i="27"/>
  <c r="AD50" i="27" l="1"/>
  <c r="AJ14" i="27" s="1"/>
  <c r="AN13" i="27"/>
  <c r="AP21" i="27"/>
  <c r="AS21" i="27"/>
  <c r="AL23" i="27"/>
  <c r="AN23" i="27" s="1"/>
  <c r="AN22" i="27"/>
  <c r="AP8" i="27"/>
  <c r="AS8" i="27"/>
  <c r="AK14" i="27" l="1"/>
  <c r="AL25" i="27"/>
  <c r="AP22" i="27"/>
  <c r="AS22" i="27"/>
  <c r="AP23" i="27"/>
  <c r="AS23" i="27"/>
  <c r="AS13" i="27"/>
  <c r="AP13" i="27"/>
  <c r="AN14" i="27" l="1"/>
  <c r="AK25" i="27"/>
  <c r="AS14" i="27" l="1"/>
  <c r="AS25" i="27" s="1"/>
  <c r="AT19" i="27" s="1"/>
  <c r="AN25" i="27"/>
  <c r="AP14" i="27"/>
  <c r="AP25" i="27" s="1"/>
  <c r="AD48" i="27" s="1"/>
  <c r="AT18" i="27" l="1"/>
  <c r="AT17" i="27"/>
  <c r="AT23" i="27"/>
  <c r="AT8" i="27"/>
  <c r="AT21" i="27"/>
  <c r="AT9" i="27"/>
  <c r="AT10" i="27"/>
  <c r="AT11" i="27"/>
  <c r="AT13" i="27"/>
  <c r="AT16" i="27"/>
  <c r="AT22" i="27"/>
  <c r="AT12" i="27"/>
  <c r="AT15" i="27"/>
  <c r="AT14" i="27"/>
  <c r="AO19" i="27"/>
  <c r="AO14" i="27"/>
  <c r="AO22" i="27"/>
  <c r="AO12" i="27"/>
  <c r="AO16" i="27"/>
  <c r="AO23" i="27"/>
  <c r="AO8" i="27"/>
  <c r="AO17" i="27"/>
  <c r="AO21" i="27"/>
  <c r="AO15" i="27"/>
  <c r="AO10" i="27"/>
  <c r="AO13" i="27"/>
  <c r="AO18" i="27"/>
  <c r="AO9" i="27"/>
  <c r="AO11" i="27"/>
  <c r="AT25" i="27" l="1"/>
  <c r="AO25"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<sst xmlns="http://schemas.openxmlformats.org/spreadsheetml/2006/main" count="1338" uniqueCount="580">
  <si>
    <t>by Foresight</t>
  </si>
  <si>
    <t>% Discount Rate</t>
  </si>
  <si>
    <t>A couple simplifying assumptions are built into the model.</t>
  </si>
  <si>
    <t>Total</t>
  </si>
  <si>
    <t>Common</t>
  </si>
  <si>
    <t>Options</t>
  </si>
  <si>
    <t>Seed</t>
  </si>
  <si>
    <t>na</t>
  </si>
  <si>
    <t>Option Pool</t>
  </si>
  <si>
    <t>CHANGELOG</t>
  </si>
  <si>
    <t>New version! Completely rebuilt from the ground-up to accomplish a couple key goals:</t>
  </si>
  <si>
    <t>A</t>
  </si>
  <si>
    <t>B</t>
  </si>
  <si>
    <t>C</t>
  </si>
  <si>
    <t>D</t>
  </si>
  <si>
    <t>E</t>
  </si>
  <si>
    <t>% Ownership</t>
  </si>
  <si>
    <t>Date</t>
  </si>
  <si>
    <t>GOAL</t>
  </si>
  <si>
    <t>UPDATES</t>
  </si>
  <si>
    <t>DOCUMENTATION</t>
  </si>
  <si>
    <t>HOW TO USE</t>
  </si>
  <si>
    <t>%</t>
  </si>
  <si>
    <t>Example: First Issuance of an Equity Round</t>
  </si>
  <si>
    <t>What to pay attention to:</t>
  </si>
  <si>
    <t>Shareholder</t>
  </si>
  <si>
    <t>When more detail is required and investors request full cap tables, and the deal is evolved enough where it makes sense, then I usually share a more detailed cap table that shows individual shareholders and their positions.</t>
  </si>
  <si>
    <t>Co-Founder</t>
  </si>
  <si>
    <t>This is an simplified example cap table, provided to help explain the mechanics involved in particular types of transactions.</t>
  </si>
  <si>
    <t>Employee</t>
  </si>
  <si>
    <t>Seed Investor</t>
  </si>
  <si>
    <t>$ Investment Amount</t>
  </si>
  <si>
    <t>$ Share Price</t>
  </si>
  <si>
    <t>$ Ownership Value</t>
  </si>
  <si>
    <t>Seed Investor 2</t>
  </si>
  <si>
    <t>Seed Round</t>
  </si>
  <si>
    <t>$ Premoney Valuation</t>
  </si>
  <si>
    <t>$ Total Invested</t>
  </si>
  <si>
    <t>General structure notes:</t>
  </si>
  <si>
    <t>As noted in the README, the standard methodology for all Foresight models is for inputs - numbers that can be input into the model - are blue text and grey background, and numbers that are the result of formulas are in black.</t>
  </si>
  <si>
    <t>You can change the numbers in the inputs without worrying about the model working: change or overwrite numbers in black only if you know what you are doing.</t>
  </si>
  <si>
    <t>I don't usually round numbers off in models, although often in financing documents share prices are rounded off to a number of significant digits, often 5.</t>
  </si>
  <si>
    <t>I use the IFERROR formula simply to remove the DIV/0 errors and others that result from certain things not being used. Nothing special, just something that makes things look nicer.</t>
  </si>
  <si>
    <t>[1] The initial setup is for the share register before the round of investment. For simplicity's sake, I'm assuming that only common stock is issued so far (no options, no warrants, no notes, etc.).</t>
  </si>
  <si>
    <t>[2] The shares represent fully-diluted shares: not the shares authorized, but the shares that are issued or are contractually obligated to issue. I.e. options count toward fully-diluted shares, authorized but unissued shares to not.</t>
  </si>
  <si>
    <t>[3] The share price is calculated by dividing the premoney valuation by the number of fully-diluted shares outstanding to date. This sets the price for the shares to be issued, which are then issued and sold to the new investor.</t>
  </si>
  <si>
    <t>[4] Issuing the new shares dilutes the existing shareholders (their % ownership goes down), but the math can still result in the shareholder's gaining more overall value if the share prices are going up.</t>
  </si>
  <si>
    <t>General note about creating and sharing cap tables:</t>
  </si>
  <si>
    <t>[1]</t>
  </si>
  <si>
    <t>[5]</t>
  </si>
  <si>
    <t>[4]</t>
  </si>
  <si>
    <t>[3]</t>
  </si>
  <si>
    <t>[2]</t>
  </si>
  <si>
    <t>[6]</t>
  </si>
  <si>
    <t>[5] The premoney valuation is the value of the company before the investment goes into the company; the postmoney valuation is the value of the company after the investment. Usually, the postmoney = the premoney + the amount invested, noting that conversions of notes and other instruments alters that.</t>
  </si>
  <si>
    <t>[6] The total ownership value after the financing should equal the postmoney valuation.</t>
  </si>
  <si>
    <t>[7] When creating cap tables for financial models that are shared with people, I generally do not show the exact share ownership of every single investor, but choose to group them together (founders, employees, Seed investors, etc.)</t>
  </si>
  <si>
    <t>[7]</t>
  </si>
  <si>
    <t>A Round</t>
  </si>
  <si>
    <t>[2] The share price calculation - and issuance of new shares - does not include any protections around down rounds or ratchets for the investors, so just know that it would be different if the valuation for the second round is down from the first round.</t>
  </si>
  <si>
    <t>A Investor</t>
  </si>
  <si>
    <t>[1] This example builds on the first equity issuance to show what happens with a second round of equity. This assumes through the inputs that one of the original investors participate in the next round, have prorata rights to maintain their ownership %, and utilize their full prorata rights to invest in the second round.</t>
  </si>
  <si>
    <t>[3] This model doesn't care if the investors are issued preferred or common shares - and it doesn't matter for ownership % - but does have many other impacts on control of the company.</t>
  </si>
  <si>
    <t>% of Company sold</t>
  </si>
  <si>
    <t>Example: Second Issuance of an Equity Round</t>
  </si>
  <si>
    <t>$ Valuation Cap</t>
  </si>
  <si>
    <t>Example: First Issuance of a Convertible Note or SAFE</t>
  </si>
  <si>
    <t>[1] Notice the difference with the issuance of a convertible note or SAFE. The investment comes in, but no shares are issued yet. So there is no premoney valuation, not postmoney valuation, and the cap table remains unchanged.</t>
  </si>
  <si>
    <t>[2] This structure allows for different investors to have different terms - discount rate, valuation caps, and interest rates - so structurally, you can combine all unconverted notes in between rounds on one round.</t>
  </si>
  <si>
    <t>$ Converted</t>
  </si>
  <si>
    <t>$ Interest</t>
  </si>
  <si>
    <t>Total $ Converted</t>
  </si>
  <si>
    <t>$ Postmoney Valuation</t>
  </si>
  <si>
    <t>A better instructional tool.</t>
  </si>
  <si>
    <t>The previous cap table was a good tool to use, but not a great tool if you wanted to understand how everything worked so you could build your own. With this model, I've tried to build this so that it would be a much better instructional tool, and I've done that by building in a number of additional sheets that show specific examples so that you can unpack the formulas and the methdologies in each situation.</t>
  </si>
  <si>
    <t>More flexible and easier to edit.</t>
  </si>
  <si>
    <t>The core tool - the Cap Table sheet - is analogous to the Cap Table in the original Cap Table model, in that it aims to allow users to specify a number of specifics about each round and fully model all (or almost all) situations. This tool adds in more flexibility with a structure that makes it easier to add in lines for additional shareholders, makes it easy to add in convertible instruments in any round (the previous tool only allowed for convertibles in the first fundraising round), and is all around easier to understand.</t>
  </si>
  <si>
    <t>More flexible conversion of convertible instruments.</t>
  </si>
  <si>
    <t>The previous cap table had a fundamental assumption - noted but perhaps not clear - that the note or SAFE conversions were done using the premoney method. In real life, there are multiple methods for converting a note, and this new version builds in the options for convertibles to be converted using the percentage ownership and dollars invested methods. Simply select the method in the dropdown, and the calculations - as well as the cells labeled as inputs - will change.</t>
  </si>
  <si>
    <t>A much clearer waterfall detail.</t>
  </si>
  <si>
    <t>The previous cap table had a formula that was the most complex I have ever built, which I'm both proud and disgusted by, simply because it was also the most incomprehensible formula I have ever built, and it is completely impossible for anyone to really unpack and understand how it works. In this version, that formula is gone, replaced with several lines and columns that unpack the formula and also provide more transparency into how the waterfall is calculated.</t>
  </si>
  <si>
    <t>$ Effective Premoney Valuation</t>
  </si>
  <si>
    <t>Options Issued</t>
  </si>
  <si>
    <t>Option Pool, created in Premoney</t>
  </si>
  <si>
    <t>Option Pool, created in Postmoney</t>
  </si>
  <si>
    <t># Shares Issued</t>
  </si>
  <si>
    <t>[2] This methodology essentially forces all the dilution that results from creating the option pool onto the existing shareholders, and the new investors do not get diluted by the creation of the option pool.</t>
  </si>
  <si>
    <t>[1] The option pool is generally calculated as the % of the value of the company that is allocated to options. So to calculate the option pool, you assume the %, multiple by the postmoney valuation, and then in this case, subtract that value from the premoney valuation to calculate the effective premoney valuation.</t>
  </si>
  <si>
    <t>[3] By reducing the premoney valuation by the value of the option pool, the share price is reduced compared to a financing without an option pool created in the premoney.</t>
  </si>
  <si>
    <t>[4] When negotiating a valuation, it's valuable for investors and entrepreneurs to know how they are treating things like option pool creation so that they can compare valuations with terms like this that may have a less than obvious effect on valuation, dilution, and ownership.</t>
  </si>
  <si>
    <t>[5] The # of options issued is then calculated by the option value divided by the share price.</t>
  </si>
  <si>
    <t>[6] Option pools are created so that companies have options to be able to give to prospective hires or current employees as compensation. Over time, as options are granted, the pool declines, and may need to be increased in the future if additional options are necessary for significant hires.</t>
  </si>
  <si>
    <t>[1] Compare the postmoney option pool scenario to the premoney scenario. Since the pool is created in the postmoney, no change to the premoney valuation. Same share price.</t>
  </si>
  <si>
    <t>[2] In this scenario, both existing shareholders and new investors get diluted. Compare the ownership positions of the new investors in this case with the premoney option pool scenario and the first equity issuance scenario.</t>
  </si>
  <si>
    <t>[7] As a general note, in a lot of labels I use the term shares but the data may include options as well as shares. It's just a simplification, pardon for my shorthand.</t>
  </si>
  <si>
    <t>[3] The new terms - discount rate, valuation cap, interest rate - would not be listed on a cap table. Technically, the convertible note investors wouldn't even be listed on the cap table since they don't own shares yet, but would just be a note. I'm detailing the noteholders and the terms of their notes here simply because this format does a better job of showing the math and it's more scalable for adding new investors.</t>
  </si>
  <si>
    <t>% Annual Interest Rate</t>
  </si>
  <si>
    <t xml:space="preserve">[1] Since we are going to calculate the accumulated interest, and add it to the value of the convertible before conversion, I need the date so that I can calculate the total interest. In this scenario, I'm assuming an annual interest rate, compounded annually. </t>
  </si>
  <si>
    <t>[2] And I'm assuming that the interest is converted rather than paid back before conversion, which is a scenario used in many term sheets.</t>
  </si>
  <si>
    <t>[3] Just for simplicity sake, I set the date of the conversion to TODAY(), and the original issuance of the note to TODAY() less 18 months. Change the dates to whatever you want.</t>
  </si>
  <si>
    <t>[4] The formula I'm using to convert the note is Excel's FV formula. Just click on formula help to understand the terms, but it's pretty simple. The DATEDIF formula is used to calculate the number of years, months, days, etc. between 2 dates, and in this scenario with an annual interest rate, compounded annually, the number of periods is the number of years in between the two dates.</t>
  </si>
  <si>
    <t>Example: Conversion of a Convertible Note or SAFE with the issuance of a qualified Equity financing, using Premoney conversion method</t>
  </si>
  <si>
    <t>[1] [3]</t>
  </si>
  <si>
    <t>[2] [4]</t>
  </si>
  <si>
    <t>[5] This scenario uses the premoney method of converting the note. This method holds the premoney valuation constant, and the value of the conversion is added to the postmoney valuation.</t>
  </si>
  <si>
    <t>[6] The share price used in this conversion is the lessor of:</t>
  </si>
  <si>
    <t>- the share price for the new investment * (1 - the discount rate)</t>
  </si>
  <si>
    <t>Note, if there is an exit of the company before a qualified financing, the term sheet will describe exactly how the note is handled. Often it is not converted, but is paid off by a formula set in the term sheet that is negotiated by the investor and the entrepreneur.</t>
  </si>
  <si>
    <t>- the share price calculated by the valuation cap on the note divided by the fully-diluted shares outstanding prior to the note conversion</t>
  </si>
  <si>
    <t>[7] Convertible instruments will often include terms using a discount rate, a valuation cap, or both, and the term sheet will describe how to calculate the share price to use for the conversion. Always read the term sheet.</t>
  </si>
  <si>
    <t>[8] Most term sheets don't specify the discount rate, instead they will cite the inverse. Just note that if you are thinking it's a 20% discount rate, you'll likely see language in the term sheet referring to a calculation that uses 80%.</t>
  </si>
  <si>
    <t>$ Share Price, Investment</t>
  </si>
  <si>
    <t>$ Share Price, Converted</t>
  </si>
  <si>
    <t>[6] [7] [8] [9]</t>
  </si>
  <si>
    <t>[10]</t>
  </si>
  <si>
    <t>[10] The share price used for the new financing is unchanged compared to the equity issuance without a conversion event.</t>
  </si>
  <si>
    <t>$ Value Converted</t>
  </si>
  <si>
    <t>Example: Conversion of a Convertible Note or SAFE with the issuance of a qualified Equity financing, using Percentage Ownership conversion method</t>
  </si>
  <si>
    <t>[11] This would not appear on a cap table, but what I'm showing here is how the conversion impacts the effective postmoney valuation because of the conversion of the $ at a discount.</t>
  </si>
  <si>
    <t>[11]</t>
  </si>
  <si>
    <t>$ Effective Postmoney Valuation</t>
  </si>
  <si>
    <t>[1] In the case of converting the note using the percentage ownership method, the goal of the conversion is to force all of the dilution from the note conversion onto the existing shareholders (and not the new investors). This means the new investors, after the conversion and their investment, own the same % of the company that was negotiated with the premoney and postmoney valuation.</t>
  </si>
  <si>
    <t>[2] In effect, this is holding the postmoney valuation constant and subtracting the investment and the value of the conversion to calculate the premoney valuation, and thus the new share price for the investment and all the conversions.</t>
  </si>
  <si>
    <t>[3] Note that the new equity investor still owns the 20% of the company that they originally intended to purchase. Compare the ownership %s of this scenario with the premoney method.</t>
  </si>
  <si>
    <t>$</t>
  </si>
  <si>
    <t>[1] With the Dollars Invested method, the postmoney valuation is fixed as the agreed premoney valuation plus the dollars invested plus the dollars converted (the principal and the interest).</t>
  </si>
  <si>
    <t>[2] Then the effective premoney - the premoney valuation used to calculate the share prices - is calculated by subtracting out the value of the shares that the noteholders are receiving from the conversion discount. I.e., the difference between the "value converted" and the "converted", which is the value of the conversion discount, is subtracted from the premoney.</t>
  </si>
  <si>
    <t>[3] In this scenario, the new investors and existing shareholders both share in the dilution effect of the note conversion, with the relative distribution of the dilution depending on the degree of the discount that the noteholders are receiving.</t>
  </si>
  <si>
    <t>[2] [3]</t>
  </si>
  <si>
    <t>More waterfall returns analysis.</t>
  </si>
  <si>
    <t>#</t>
  </si>
  <si>
    <t>[3] For the postmoney, I've structured it so that the inputs creates a 20% option pool in the postmoney, so the # of options issued has to reflect the dilution from the option pool itself, to get to the 20% target. That's why there is that extra (1-% input) in the formula, to account for that dilution.</t>
  </si>
  <si>
    <t>[3] [4]</t>
  </si>
  <si>
    <t>[4] Obviously this extra dilution to the formula is unnecessary for the premoney since the act of creating the option pool forces all the dilution to the existing shareholders. But by creatingin the postmoney, all shareholders are diluted.</t>
  </si>
  <si>
    <t>[1] In this example I created the structure so you can input the option pool in the premoney or the postmoney, and then see how the pools interact with future grants.</t>
  </si>
  <si>
    <t>Example: Two Equity Round Issuances, with options for Premoney and Postmoney Option Pool, showing how Granted Options impact the cap table</t>
  </si>
  <si>
    <t>% of Option Pool Granted, since last round</t>
  </si>
  <si>
    <t># Fully-Diluted Shares</t>
  </si>
  <si>
    <t>[3] This is also important to track because at exit, the ungranted options are cancelled and thus taken off the final share register used for proceeds distribution.</t>
  </si>
  <si>
    <t xml:space="preserve">[4] </t>
  </si>
  <si>
    <t>[4] The date is not used for these calculations, only for the exit waterfall. This cap table is the base for the waterfall because it has the most share classes and rounds of the example cap tables, and I wanted to show more different options in the waterfall.</t>
  </si>
  <si>
    <t>[5] Investors can buy common also, and sometimes they will buy (or be issued) preferred and common in the same round. I just threw this one in here to show it as an example, and to also provide one extra wrinkle for the example waterfall.</t>
  </si>
  <si>
    <t>[6] This extra preferred investment by Seed Investor in the A round is to show how an investor holds their prorata by investing more money. It's optional, not all investors will do this, just wanted to show an example.</t>
  </si>
  <si>
    <t>Options Granted and Exercised</t>
  </si>
  <si>
    <t>Use iterations / resolve circulars?</t>
  </si>
  <si>
    <t>no</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</si>
  <si>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but you can also select to use iterations - and turn on limit iterations under Excel &gt; Preferences &gt; Calculation - and the formulas will use the valuation cap, if necessary.</t>
  </si>
  <si>
    <t>1) Prorata for existing investors into future rounds is an input, not calculated</t>
  </si>
  <si>
    <t>2) Down rounds or recapitalizations will require some restructuring for the appropriate recap round and any anti-dilution provisions.</t>
  </si>
  <si>
    <t>There's a couple limitations in the models.</t>
  </si>
  <si>
    <t>c) Anti-dilution protections for down round scenarios are not built in.</t>
  </si>
  <si>
    <t>d) The waterfall assumes each round using preferred instruments are senior to the preferred instruments of the previous round. If there are multiple preferred share classes offered in a round, you would need to edit the waterfall.</t>
  </si>
  <si>
    <t>[9] The two IF tests in the formula: the first is just testing to see if there is a conversion, simply to make the conversion share price zero if there is no conversion (not needed, honestly, just a presentation thing) and the second IF test is simply to test for the case of an uncapped note, as the formula would fail if it thought the cap was zero.</t>
  </si>
  <si>
    <t>Premoney</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</si>
  <si>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</si>
  <si>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[2] The new thing here is adding in how options are granted. The reason I do this is to show how you can track options that are granted compared to options that are ungranted. The option pool will count as fully-diluted shares on a cap table, but the pool - ungranted options, by definition - will go down as options are granted, and thus will often need to be "refreshed" in subsequent rounds of financing.</t>
  </si>
  <si>
    <t>-</t>
  </si>
  <si>
    <t>I also wanted to create a waterfall that showed the distribution to investors over a range of sales prices, rather than just one single exit value. Done. Coming soon I expect to add on IRRs for each investor.</t>
  </si>
  <si>
    <t>a) Implictly assumes that any unconverted notes or SAFE instruments convert in the next round that is an equity round, essentially assuming that it is a qualified financing. This can be changed by overwriting the conversion amount in any round.</t>
  </si>
  <si>
    <t>b) If a unique shareholder holds multiple types of stock (common, preferred) then they are better entered as two separate lines, one for each respective class of stock.</t>
  </si>
  <si>
    <t>Multiple of new invested capital</t>
  </si>
  <si>
    <t># months between rounds</t>
  </si>
  <si>
    <t>Total Investment in Round</t>
  </si>
  <si>
    <t>Postmoney</t>
  </si>
  <si>
    <t># of Shares, Beginning of Round</t>
  </si>
  <si>
    <t># Shares purchased in Round</t>
  </si>
  <si>
    <t># of Shares purchased by Investors, Total</t>
  </si>
  <si>
    <t>Exit Value</t>
  </si>
  <si>
    <t>Exit Share Price</t>
  </si>
  <si>
    <t>Example: Venture Capital Valuation [1]</t>
  </si>
  <si>
    <t>[1] This is not the VC Method - a solid set of instructional tools on how to do that is at http://vcmethod.com/ - but conceptually similar, showing if an investment is made and the company raises more rounds from investors, what is a given investment worth in the future at a given exit price.</t>
  </si>
  <si>
    <t>[1] The VC Method is used to estimate a necessary ownership position and valuation necessary for a given size round today, given expected future dilution and exit value, and is a great way to ground expectations around valuation. These calcs work the opposite way, by saying "hey, if this is the deal today, and I think these are the future deals, then this is what it's worth", and my intention is for these to be more of an instructional tool than a valuation method.</t>
  </si>
  <si>
    <t>[2] Only used for labeling in this structure, no data is determinant of it. This sheet is independent of other sheets and the rounds forecasted in other sheets.</t>
  </si>
  <si>
    <t>[3] This is included to provide a structure to think of expected values based on probabilities. This helps ground expectations on future deals and exits by introducing the idea of how many companies that raise rounds raise next rounds (and exit)</t>
  </si>
  <si>
    <t>[4] Please, set your own probabilies using your expectation in the market. I set these using public data, but feel free to edit to your situation.</t>
  </si>
  <si>
    <t>% of Companies that raised the previous round, that raise this round</t>
  </si>
  <si>
    <t>Multiple of stepup in valuation (premoney)</t>
  </si>
  <si>
    <t>[5] This is a major assumption that you'll want to ground using benchmark data for your industry, focus, geographic region.</t>
  </si>
  <si>
    <t>[6] This is a major assumption that you'll want to ground using benchmark data for your industry, focus, geographic region.</t>
  </si>
  <si>
    <t>[7] This is a major assumption that you'll want to ground using benchmark data for your industry, focus, geographic region.</t>
  </si>
  <si>
    <t>[8] this is only used or IRR calcs</t>
  </si>
  <si>
    <t>[9] This is for *all* investors in each round.</t>
  </si>
  <si>
    <t>[10] Calculated using the stepup multiple per round</t>
  </si>
  <si>
    <t>[11] Convertible instruments make this harder, so essentially assuming this is all equity deals, no convertibles.</t>
  </si>
  <si>
    <t>[12] the # in the first round is an input, but it doesn't impact returns, only the absolute share prices</t>
  </si>
  <si>
    <t>% Option Pool maintained, postmoney</t>
  </si>
  <si>
    <t>[13] Purchased in each round.</t>
  </si>
  <si>
    <t># of Options created in round to expand Option Pool</t>
  </si>
  <si>
    <t>[16] This maintains an option pool of the % option pool assumed. If it goes to zero, that means that either you aren't creating a pool, or that to keep a pool at that level, you do not need to create more options.</t>
  </si>
  <si>
    <t># of Shares and options, End of Round</t>
  </si>
  <si>
    <t>[17] Total issued and outstanding, end of round. Since there are no convertibles in this structure, this would also equal fully-diluted.</t>
  </si>
  <si>
    <t>[18] New share price, price for shares purchased and issued in round</t>
  </si>
  <si>
    <t>[19] Total, over time</t>
  </si>
  <si>
    <t>[20] If the option pool is continually kept up, and since this assumes that the option pool is created postmoney, this could go down over time.</t>
  </si>
  <si>
    <t>Exits</t>
  </si>
  <si>
    <t>Fundraising</t>
  </si>
  <si>
    <t>[21] This is a major assumption; it's calculated from the assumption in [3], so assumes all companies either raise rounds or exit, and I'm categorizing a zero (folding, going out of business) as an exit</t>
  </si>
  <si>
    <t>[22] Of the companies that raised the first round, how many exit at each stage</t>
  </si>
  <si>
    <t>Average gross multiple on share price, exit after raising this round</t>
  </si>
  <si>
    <t># months from investment to exit, after raising this round</t>
  </si>
  <si>
    <t>% of Outstanding, owned by Investors, End of Round</t>
  </si>
  <si>
    <t>Name of Round</t>
  </si>
  <si>
    <t>[14] Assuming that an option pool of x% is maintained. Note: this assumes that all options are granted and exercised, so the pool needs updating to stay at the same level. I created a formula to decrease the pool over time to reflect decreasing need for options for hiring, but feel free to change this.</t>
  </si>
  <si>
    <t>v 2.0 - 21 May 2018</t>
  </si>
  <si>
    <t>This is an instructional tool to help think about how future rounds impact returns to investors.</t>
  </si>
  <si>
    <t>The investments and proceeds are calculated for all investors, for 1 investor, and done on an absolute and probability-weighted basis.</t>
  </si>
  <si>
    <t>Investor: Investment</t>
  </si>
  <si>
    <t>Invested, as % of Investment Round</t>
  </si>
  <si>
    <t>Investor: % ownership, postmoney</t>
  </si>
  <si>
    <t>Investor: Shares Purchased in Round</t>
  </si>
  <si>
    <t>Investor, Total Shares Owned</t>
  </si>
  <si>
    <t>Proceeds to all Investors (if Exit after this Round)</t>
  </si>
  <si>
    <t>Investor, Proceeds (if Exit after this Round)</t>
  </si>
  <si>
    <t>IRR</t>
  </si>
  <si>
    <t>Gross Multiple (if Exit after this Round)</t>
  </si>
  <si>
    <t>ROI (if Exit after this Round)</t>
  </si>
  <si>
    <t>Investor, (Investments) Proceeds (if Exit after this Round)</t>
  </si>
  <si>
    <t>IRR (if Exit after this Round)</t>
  </si>
  <si>
    <t>IRR, if invested through round (down) and held until Exit after this Round (to the right)</t>
  </si>
  <si>
    <t>Returns, All Investors or Single Investor</t>
  </si>
  <si>
    <t>Proceeds, if invested through round (down) and held until Exit after this Round (to the right)</t>
  </si>
  <si>
    <t>Extra IRR calcs per combination of investing and exit</t>
  </si>
  <si>
    <t>Returns, All Investors or Single Investor, Alternate Investment Strategies</t>
  </si>
  <si>
    <t>Returns, All Investors or Single Investor, Probability-weighted</t>
  </si>
  <si>
    <t>Gross Multiple, if invested through round (down) and held until Exit after this Round (to the right)</t>
  </si>
  <si>
    <t>Extra information for analysis. They take the forecasted multiples, ROI and IRRs and apply probability weighting based on the estimate of how many companies raise or exit at each round.</t>
  </si>
  <si>
    <t>Extra information for analysis. They provide insight into what proceeds, gross multiple, and IRRs would have been for each investment stage if they had - and had not - invested in future rounds.</t>
  </si>
  <si>
    <t>The dark green are the best outcomes, the lighter white and yellows are the worse outcomes, so at a glance, this helps indicate the best strategies given your assumptions.</t>
  </si>
  <si>
    <t>% of Companies that raised this round, fail or exit after this round (without raising the next round)</t>
  </si>
  <si>
    <t>[23] Of the companies that failed or exited in [21], what % of them were fails?</t>
  </si>
  <si>
    <t>[25] this impacts IRRs. I'm assuming this isn't necessarily the same as the time to next round, as the assumption above in [7]</t>
  </si>
  <si>
    <t>[24] average of companies that exit after raising each round. Must ground this data relevant to your stage, geography, and investment strategy</t>
  </si>
  <si>
    <t>[26] Calculated using the average exit multiple in [23]</t>
  </si>
  <si>
    <t>[27] Exit share price, used to caluculate proceeds to shareholders</t>
  </si>
  <si>
    <t>[28] Assuming all converts to common, no liquidation preferences that distributes proceeds between preferred and common non-prorata to share ownership. That's a major simplifying assumption.</t>
  </si>
  <si>
    <t>Fundraising &amp; Exits</t>
  </si>
  <si>
    <t>[30] If you type in 100%, then these returns wil reflect all investors. If you modify the %s to denote the % that this investor took of each round, then it would reflect a single investor and their returns</t>
  </si>
  <si>
    <t>[31] Either a single investor or all investors, depending on how you use [28]</t>
  </si>
  <si>
    <t>[32] Proceeds / total invested, calculated to show what it would be if the company exited in this round</t>
  </si>
  <si>
    <t>[33] Calculated as (Proceeds - Investments) / Investments</t>
  </si>
  <si>
    <t>[34] Calculated below.</t>
  </si>
  <si>
    <t>[35] What's this? This is the expected proceeds, if an investor had follow-on through the investment strategy as detailed in [29], and invested in each round going down, and exited in each round (columns to the right). It basically creates a table of expected proceeds if you follow-on / not follow-on in each round in the strategy you define, given the scope of the deal outlined in the per-round expectations</t>
  </si>
  <si>
    <t>[36] What's this? This is the expected IRRs given the proceeds analysis in [35]</t>
  </si>
  <si>
    <t>[37] Are these negative for you? What they reflect is the most-likely scenario, given the likelihood of each exit.</t>
  </si>
  <si>
    <t>[38] As a note, this reflects the probability-weighted IRR to all investors in a company, given the assumptions above, at the time the first investment round is made. The probabilities would change for investments made in future rounds. If I was an investor and my first investment was in a B round, for example, I would set the first round as the B, then use the columns for each subsequent round.</t>
  </si>
  <si>
    <t>[39] The methods used for calculating IRRs across multiple scenarios are a little tedious, thus they are carried out down here just to make things a little clearner visually. Personal preference.</t>
  </si>
  <si>
    <t>[29] the "0% raise for the last round is necessary to make the model work, if you want to extend to more rounds just add in another column and extend</t>
  </si>
  <si>
    <t>For each round…</t>
  </si>
  <si>
    <t>Amount raised</t>
  </si>
  <si>
    <t>at a premoney valuation</t>
  </si>
  <si>
    <t>% that raise next round</t>
  </si>
  <si>
    <t>% that fail</t>
  </si>
  <si>
    <t>% that sell</t>
  </si>
  <si>
    <t># Issued and Outstanding</t>
  </si>
  <si>
    <t>Example: Conversion of a Convertible Note or SAFE with the issuance of a qualified Equity financing, using $ Invested conversion method</t>
  </si>
  <si>
    <t>v 2.1 - 6 September 2018</t>
  </si>
  <si>
    <t>3 - Conversion, All: Edited Y18 on Conversion, Premoney, Conversion, % Invested, and Conversion, $ Invested, to sum all the % ownerships in that column. Previously it missed the ownership of the last row in those columns. No impact to $ calcs, just the presentation of that %.</t>
  </si>
  <si>
    <t>v 2.2 - 11 October 2018</t>
  </si>
  <si>
    <t>4 - Exit Waterfall Distribution and Exit Waterfall: Fixed the test for "Convert to Common?" for all classes of shareholders to adjust the participating preferred with a cap option. Previously, at lower exit valuations, it was not allocating participation above the liquidation preference, replaced the test conditions with a new test; instead of testing to see if the implied proceeds if convert to common is &gt; the liquidation preference, it tests to see if there is leftover residual to allocate, by testing for the leftover residual at this stage after liquidation preferences from all shareholder classes. That's a long explanation, but I provide it just for context, it's a fairly simple edit to the formula, just change it for each "Convert to Common?" line on both of those sheets.</t>
  </si>
  <si>
    <t>Exit Waterfall: both Exit Waterfall sheets were edited to remove the circular references introduced in v2.2. No changes to the calcs, just changed the structure so that everyone doesn't have to see the circular references until they are actually needed based on the inputs and options used.</t>
  </si>
  <si>
    <t>[9]</t>
  </si>
  <si>
    <t>[12]</t>
  </si>
  <si>
    <t>[13]</t>
  </si>
  <si>
    <t>DISCLAIMER</t>
  </si>
  <si>
    <t>Investments in the Company, if offered, will only be offered to a selected number of accredited investors, and only on the basis of a private offering memorandum for the Company. There are significant risks that are not presented and disclosed in this Investor Presentation.  These risks could have a significant negative impact on the performance of the Company.</t>
  </si>
  <si>
    <t>This Investor Presentation contains forward-looking statements regarding our business plans and prospects and financial conditions, all statements, other than statements of historical fact, in this Investor Presentation, and the attached exhibits, including, among other things, statements regarding our competitive strengths, business strategy, financial projections and plans and objectives of management are forward-looking statements. Although we believe that the expectations reflected in such forward-looking statements are reasonable, there can be no assurance that such expectations will prove to be correct.  Forward-looking statements are inherently subject to risks and uncertainties, many of which cannot be predicted with accuracy and some of which might not even be anticipated.  Future events and actual results, financial or otherwise, could differ materially from those set forth in, or contemplated by, the forward-looking statements in this Investor Presentation, and, as such, the forward-looking statements contained herein should not be relied upon when making your investment decision.  We undertake no obligation to update or revise any forward-looking statements.</t>
  </si>
  <si>
    <t>The financial projections in this Investor Presentation present, to the best of management’s knowledge and belief, the Company’s expected financial position, results of operations, and cash flows for the forecast period.  Accordingly, the financial projections reflect its judgment, as of the date of these financial projections, of the expected conditions and its expected course of action following the sale of securities by the Company.  The assumptions disclosed herein are those that management believes are significant to the financial projections.  There will usually be differences between the projected and actual results, because events and circumstances frequently do not occur as expected, and those differences may be material.  Since the projections are based upon assumptions about circumstances and events that have not yet taken place regarding costs, income, expenses and federal tax matters, which are subject to variations and economic events as future operations actually occur, they do not necessarily reflect the results that will be achieved and should not be relied upon. In all cases, the targeted returns are not predictions or projections that the results in the pro forma financials will be achieved nor of the performance of any investment, and are expressly subject to all assumptions embedded in the pro forma financials and the risk factors disclosed herein. This investment has a high degree of risk, and there can be no assurances that all or any of the assumptions will be true or that an investment’s actual performance will bear any relation to these hypothetical illustrations.</t>
  </si>
  <si>
    <t xml:space="preserve">This information contained in this Investor Presentation includes proprietary information, is strictly confidential, and is not to be used or distributed to others without the express written consent of the Company. </t>
  </si>
  <si>
    <t>This document has been prepared solely for information purposes and is being furnished solely for use by prospective purchasers in considering their interest in obtaining additional information and making their own evaluation of the Company and does not contain all of the information that a prospective purchaser may desire.  This information reflects various assumptions by the Company concerning anticipated results, which assumptions may or may not prove to be correct, and the Company has no obligation to update such information.  The only information that will have any legal effect will be that specifically contained in definitive documentation. This Investor Presentation has been submitted confidentially to a limited number of investors so that they can consider their interest in obtaining additional information and making their own evaluation of the Company.  No offers to purchase the securities of the Company will be accepted prior to (1) the receipt by recipient of a complete private offering memorandum and (2) determination by the Company that the recipient is an appropriate purchaser in light of standards contained in U.S. Securities laws after a full evaluation of recipient by the Company.  The Company has not authorized its use for any other purpose.  This Investor Presentation may not be copied or reproduced in whole or in part.  By accepting a copy of this Investor Presentation, the recipient agrees that neither it nor any of its representatives, agents or employees shall use it for any other purpose or divulge to any party any confidential information about the Company.</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</si>
  <si>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</si>
  <si>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[12] Fully-diluted reflects the number of shares that would be issued for all outstanding convertibles, if they were converted. Without more info, it is assumed that they convert at their valuation cap.</t>
  </si>
  <si>
    <t># Fully Diluted Shares [12]</t>
  </si>
  <si>
    <t># Fully Diluted Shares [13]</t>
  </si>
  <si>
    <t>[13] Structurally, this example assumes all convertibles convert in this round, so there are no unconverted investments, and thus issued and outstanding = fully diluted</t>
  </si>
  <si>
    <t># Fully Diluted Shares [4]</t>
  </si>
  <si>
    <t>[4] Fully-diluted reflects the number of shares that would be issued for all outstanding convertibles, if they were converted. Without more info, it is assumed that they convert at their valuation cap.</t>
  </si>
  <si>
    <t>Instructional Sheets: Little edits throughout, more notes. Added "Fully Diluted" to all the Convertible instructional sheets to match the main cap table, and because it's important to show fully-diluted. Added a sheet to show the combination of an option pool and convertible issuance (and conversion).</t>
  </si>
  <si>
    <t>Cap Table: Reorganized the assumptions layout to bring them in line with the Cap Table, deleting the Assumptions sheet and bringing them into the Cap Table sheet.. Why? I think in practice it is better - in this case - to bring the assumptions closer to the cap table. The cap table always involved a bit of manual inputs around the investments per investor, and previously it took a bit of back and forth between the sheets to adjust the inputs.This also makes it the same, structurally, as the instructional sheets, which I always like using as my base when I build custom cap tables. Reorganizing the inputs makes it a little less "plug and play", but I don't think cap tables are ever plug and play, so removing the sheen makes this a bit more usable, in my opinion.</t>
  </si>
  <si>
    <t>Cap Table: Just a note: Previously, this tool was the same cap table used in the Standard Model. However, going forward, the Standard Model will use a simplified structure for its cap table. The reason is that I don't always advocate for including a detailed cap table in the Standard Model, and it created an additional layer of compleity that was not always necessary in a forecast model. The simplified structure in the Standard Model can be used with this more detailed Cap Table model if desired, contact hello@foresight.is with any questions.</t>
  </si>
  <si>
    <t># Fully Diluted Shares [5]</t>
  </si>
  <si>
    <t># Fully Diluted Shares [6]</t>
  </si>
  <si>
    <t>[5] Fully-diluted reflects the number of shares that would be issued for all outstanding convertibles, if they were converted. Without more info, it is assumed that they convert at their valuation cap.</t>
  </si>
  <si>
    <t>[6] Structurally, this example assumes all convertibles convert in this round, so there are no unconverted investments, and thus issued and outstanding = fully diluted</t>
  </si>
  <si>
    <t>[7] Fully-diluted reflects the number of shares that would be issued for all outstanding convertibles, if they were converted. Without more info, it is assumed that they convert at their valuation cap.</t>
  </si>
  <si>
    <t>[8] Structurally, this example assumes all convertibles convert in this round, so there are no unconverted investments, and thus issued and outstanding = fully diluted</t>
  </si>
  <si>
    <t># Fully Diluted Shares [7]</t>
  </si>
  <si>
    <t># Fully Diluted Shares [8]</t>
  </si>
  <si>
    <t>[9] The formula is a little over-complicated in this scenario; the IFERROR is testing to see if it can calculated the options using the share price and the round, if not, it uses the % using the # of shares (issued and outstanding) to calculate. This is for the scenario when an option pool is issued with a convertible issuance, thus there is no valuation to use for the share price.</t>
  </si>
  <si>
    <t>% Ownership, Fully-Diluted</t>
  </si>
  <si>
    <t>% Ownership, Issued and Outstanding</t>
  </si>
  <si>
    <t>Method for note conversion</t>
  </si>
  <si>
    <t>[10] In this example ,you can select with conversion method to use, simply by using the dropdown. See each instructional sheet for more details on each method. % ownership and $ invested will require you to turn on iterations for the calculations to work correctly.</t>
  </si>
  <si>
    <t>[11]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</si>
  <si>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Iterations required?</t>
  </si>
  <si>
    <t>Valuation Check</t>
  </si>
  <si>
    <t>[12] This checks to make sure the effective postmoney valuation calculated in the round equals the cap table. If this is not equal to zero, check your settings. Most likely, you need to turn on iterations by selecting "yes" in the dropdown in [11], and turning on Iterations in Excel under Preferences &gt; Calculation &gt; Limit Iterations (check the box)</t>
  </si>
  <si>
    <t>v 2.3 - 17 January 2019</t>
  </si>
  <si>
    <t>v 2.4 - 4 February 2019</t>
  </si>
  <si>
    <t>4 - Option Pool + Convention: Edits to the Fully-diluted shares calculations, each round in this sheet was incorrectly calculating fully-diluted shares. This calc is situational specific, so you may need to change the formula if you are using this sheet for other rounds, not converting the notes in the second round, or other scenarios. Check the results to make sure they make sense to you.</t>
  </si>
  <si>
    <t>v 2.5 - 18 March 2019</t>
  </si>
  <si>
    <t>Cap Table: R73 (postmoney valuation, first funding round) drew it's calcs from the incorrect column. Thank you George for finding this simple error.</t>
  </si>
  <si>
    <t>Cap Table: Edited a couple # shares calcs for line 7 in all rounds, fixing a stray "0" that should have had a calculation in those cells</t>
  </si>
  <si>
    <t>Cap Table and all 3 - Conversion sheets and 4 - Option Pool and Conversion: Switched the "Converted in Round" calcs for all rounds to use monthly interest rate instead of annual, as it would fail to pick up interest earned on conversions that happen less than a year from issuance of the convertible, and undercalculate accrued interest for periods that do not match annual intervals.</t>
  </si>
  <si>
    <t>Example: Conversion of a Convertible Note or SAFE with the issuance of a qualified Equity financing, specifically for the Y Combinator Postmoney SAFE</t>
  </si>
  <si>
    <t>New sheet, 3 - Conversion, Postmoney, and edits to 4 - Option Pool: Added a new sheet to clearly show how to use the new Y Combinator Postmoney SAFE. The core Cap Table sheet already supports it, but now the instructional sheets provide a better guide on how to set it up with the core Cap Table sheet. Also made one small edit on Cap Table to optionally calculate fully-diluted shares on a premoney or postmoney basis. Yes, I know this edit is done on a global basis, which reflects an assumption that all SAFEs are either premoney or postmoney. If this assumption turns out to be an issue it can be edited to be more granular, and if it is requested I will change this.</t>
  </si>
  <si>
    <t>SAFE Investor</t>
  </si>
  <si>
    <t>Equity Investor</t>
  </si>
  <si>
    <t>[5] Fully-diluted reflects the number of shares that would be issued for all outstanding convertibles, if they were converted. Without more info, it is assumed that they convert at their valuation cap. For the Postmoney SAFE, the fully-diluted fully-diluted calc is slightly different to reflect the % ownership post-conversion.</t>
  </si>
  <si>
    <t>postmoney</t>
  </si>
  <si>
    <t>See more about the Y Combinator Postmoney SAFE at https://www.ycombinator.com/documents/ and the Safe User Guide https://www.ycombinator.com/docs/Post%20Money%20Safe%20User%20Guide.pdf</t>
  </si>
  <si>
    <t>Convert SAFE (or Note) on premoney or postmoney</t>
  </si>
  <si>
    <t xml:space="preserve">[2] In effect, this is holding the postmoney valuation constant and subtracting the investment and the value of the conversion to calculate the premoney valuation, and thus the new share price for the investment and all the conversions. </t>
  </si>
  <si>
    <t>Cap Table and relevant instructional sheets with option pools: Added condition for calculation of postmoney option pool # of shares to test to see if there is a valuation, and if not, to calculate the # of shares based on the issued and outstanding prior to the round. This corrects for the zero shares that would have been estimated in the case of a zero valuation.</t>
  </si>
  <si>
    <t>Cap Table: Added new columns to optionally calculate total dilution from postmoney SAFEs per round in order to calculate fully-diluted; changed $ converted in round to pick up SAFEs, and changed share price to handle postmoney SAFEs using previous round fully-diluted instead of issued and outstanding to calculate price per share.</t>
  </si>
  <si>
    <t>Cap Table: Edited the summary columns - at the very end of the sheet - to correctly pull in the shares, options, and fully-diluted per round, for the Summary and Exit Waterfall sheets.</t>
  </si>
  <si>
    <t>Exit Waterfall, and 5 - Exit Waterfall: Edited the "Cap of Proceeds / Invested Capital" and "Cap on Participation" rows, respectively, to reflect pulling from invested capital and not liquidation preferences. Previously, no issues if liquidation preferences = invested capital, but if liquidation preferences were a multiple of invested capital, and participating preferred with a cap was used, it would calculate the cap incorrectly.</t>
  </si>
  <si>
    <t>v 2.54 - 15 January 2020</t>
  </si>
  <si>
    <t>v 2.53 - 26 December 2019</t>
  </si>
  <si>
    <t>v 2.52 - 18 June 2019</t>
  </si>
  <si>
    <t>v 2.51 - 17 June 2019</t>
  </si>
  <si>
    <t>Exit Waterfall and 5 - Exit Waterfal Distribution: Edited the calcs for Participating Preferred with a Cap options so that it accurately showed how participation for this option works.</t>
  </si>
  <si>
    <t>Exit Waterfall and 5 - Exit Waterfall Distribution: Reordered the rows for each shareholder class and edited to show how participation and conversion works a bit clearer; previously, I included in "convert to common" the participation of preferred shares that weren't *converting* but just *participating* in the common distributions. The math was correct, but I updated it so that the delineation between participation and conversion is clearer. In a similar vein, I created the participation calculations show that they show the results for all three participation options simultaneously, even if they are not used for that particular shareholder class, as an aid to help explain the calcs and show the differences in results from the options.</t>
  </si>
  <si>
    <t>Investor</t>
  </si>
  <si>
    <t>% of Granted Options Exercised, since last round</t>
  </si>
  <si>
    <t>yes</t>
  </si>
  <si>
    <t>Copyright 2020 Unstructured Ventures, LLC</t>
  </si>
  <si>
    <t>LICENSE</t>
  </si>
  <si>
    <t>SUPPORT</t>
  </si>
  <si>
    <t>Support independent entrepreneurs.</t>
  </si>
  <si>
    <t>Use of this model signifies acceptance of license</t>
  </si>
  <si>
    <t>SKU</t>
  </si>
  <si>
    <t>tool</t>
  </si>
  <si>
    <t>foresight.is</t>
  </si>
  <si>
    <t>hello</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</si>
  <si>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</si>
  <si>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</si>
  <si>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</si>
  <si>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</si>
  <si>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</si>
  <si>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</si>
  <si>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</si>
  <si>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</si>
  <si>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</si>
  <si>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</si>
  <si>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</si>
  <si>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</si>
  <si>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</si>
  <si>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</si>
  <si>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</si>
  <si>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</si>
  <si>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</si>
  <si>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</si>
  <si>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</si>
  <si>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Waterfall Distribution of Proceeds</t>
  </si>
  <si>
    <t>This is an example waterfall distribution, primarily created to show how different preference structures impacts distribution of proceeds</t>
  </si>
  <si>
    <t>Exit Valuation</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</si>
  <si>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</si>
  <si>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Exit Date</t>
  </si>
  <si>
    <t>Assumed 2 years in future from today (which will also be two years from the last investment round on the cap table if the dates are unchanged). Change for your specific situation or expectation</t>
  </si>
  <si>
    <t>Waterfall Analysis</t>
  </si>
  <si>
    <t>Increase and decrease of enterprise values examined in waterfall, per step. You can also overwrite the exit valuations directly and use whatever values you want.</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</si>
  <si>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</si>
  <si>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</si>
  <si>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</si>
  <si>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</si>
  <si>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</si>
  <si>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</si>
  <si>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</si>
  <si>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</si>
  <si>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Options Exercised</t>
  </si>
  <si>
    <t>Assuming all issued and outstanding options are vested and exercised</t>
  </si>
  <si>
    <t>Note that the ungranted and unexercised options are cancelled, and not included in the fully-diluted shares at exit.</t>
  </si>
  <si>
    <t>Total Fully-Diluted Shares</t>
  </si>
  <si>
    <t>% of Fully-Diluted Shares</t>
  </si>
  <si>
    <t>Invested and Converted Capital</t>
  </si>
  <si>
    <t>Investments through convertible instruments should be tracked under the share class that they own, not the round they invested in</t>
  </si>
  <si>
    <t>not including costs to purchase options in the invested capital</t>
  </si>
  <si>
    <t>Invested Capital (Sum of above)</t>
  </si>
  <si>
    <t>this is a check of the invested capital from above matches the share price * issued and outstanding shares</t>
  </si>
  <si>
    <t>Invested Capital (Shares * Share Price)</t>
  </si>
  <si>
    <t xml:space="preserve">This detail is important and gets used in defining the liquidation preferences. By default it is calculated </t>
  </si>
  <si>
    <t>Share Price per Round</t>
  </si>
  <si>
    <t>This detail is important and gets used in defining the liquidation preferences</t>
  </si>
  <si>
    <t>Investment Date</t>
  </si>
  <si>
    <t>Assumes all investments in the same share class have the same date, feel free to adjust, or assume an "average" investment date</t>
  </si>
  <si>
    <t>Dividends</t>
  </si>
  <si>
    <t>For dividends that are paid at exit, as a distribution to shareholders.</t>
  </si>
  <si>
    <t>Type of Dividends / Interest</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</si>
  <si>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</si>
  <si>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</si>
  <si>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</si>
  <si>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</si>
  <si>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</si>
  <si>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</si>
  <si>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This is a reference calculation that I use when calculating the participation for the full participating and participating with a cap options, if iterative calculations are turned off.</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</si>
  <si>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</si>
  <si>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</si>
  <si>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</si>
  <si>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</si>
  <si>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</si>
  <si>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</si>
  <si>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</si>
  <si>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Seniority of Shareholder Classes</t>
  </si>
  <si>
    <t>by default, the model assumes each shareholder class is senior to the round before it. This section allows you to break from that assumption, and create groups to treat some shareholder classes as pari-passu, or to re-order the seniority</t>
  </si>
  <si>
    <t>Shareholder Class</t>
  </si>
  <si>
    <t>from the shareholder classes above</t>
  </si>
  <si>
    <t>Per Share Class above, treat as Senior or Pari-Passu to</t>
  </si>
  <si>
    <t>set which round is senior to, or pari-passu to, the other rounds. By default it assumes each subsequent round is senior to the previous, but this structure allows you to determine the seniority or pari-passu treatment completely flexibly</t>
  </si>
  <si>
    <t>Shares per Calculation Block</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</si>
  <si>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</si>
  <si>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Invested Capital per Calculation Block</t>
  </si>
  <si>
    <t>calculated per calculation block from the shares allocated to each block</t>
  </si>
  <si>
    <t>Liquidation Preferences per Calculation Block</t>
  </si>
  <si>
    <t>Participating Rights assumed per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</si>
  <si>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</si>
  <si>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Average Cap on Participation</t>
  </si>
  <si>
    <t>calculated using the weighted average of shares allocated to each calculation block</t>
  </si>
  <si>
    <t>Average Conversion Ratio, 1 Preferred Share to N Common Shares</t>
  </si>
  <si>
    <t>weighted average of conversion ratio for shares allocated to this calculation block</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</si>
  <si>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</si>
  <si>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for all shares allocated to this calculation block</t>
  </si>
  <si>
    <t>Average Investment Date, per Calculation Block</t>
  </si>
  <si>
    <t>Name for Calculation Block</t>
  </si>
  <si>
    <t>in case you want to rename the calculation blocks, if you move around the seniority of the shareholder classes.</t>
  </si>
  <si>
    <t>Share Allocation, % of Calculation Blocks per Shareholder Class</t>
  </si>
  <si>
    <t>this section allocates the shareholder classes to the calculation blocks. This is used to calculate the proceeds to shareholders after the proceeds to each calculation block has happened.</t>
  </si>
  <si>
    <t>Total per Calculation Block</t>
  </si>
  <si>
    <t>Liquidation Preferences Allocation, % of Calculation Blocks per Shareholder Class</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</si>
  <si>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</si>
  <si>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Exit Waterfall, showing distribution to shares</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</si>
  <si>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</si>
  <si>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</si>
  <si>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</si>
  <si>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</si>
  <si>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</si>
  <si>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Distribution to equity shareholders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</si>
  <si>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</si>
  <si>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</si>
  <si>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 Multiple on Invested Capital (Exit price / Invested Capital)</t>
  </si>
  <si>
    <t>Calculated the overall MOIC, not necessary, just to show.</t>
  </si>
  <si>
    <t>Price per Share</t>
  </si>
  <si>
    <t>average; distribution to shareholders may vary based on the waterfall and distributions to different classes of shareholders</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</si>
  <si>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</si>
  <si>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</si>
  <si>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</si>
  <si>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</si>
  <si>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</si>
  <si>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</si>
  <si>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</si>
  <si>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</si>
  <si>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</si>
  <si>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this is a helper calc to show more detailed information; if it was nonparticipating, what would the proceeds be?</t>
  </si>
  <si>
    <t>this is a helper calc to show more detailed information; if it was full participating, what would the proceeds be?</t>
  </si>
  <si>
    <t>this is a helper calc to show more detailed information; if it was participating with a cap, what would the proceeds be?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</si>
  <si>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</si>
  <si>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</si>
  <si>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</si>
  <si>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"yes" means the shares have participation rights, "no" means they do not, or that they are not exercising those rights and are converting to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</si>
  <si>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</si>
  <si>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</si>
  <si>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</si>
  <si>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</si>
  <si>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</si>
  <si>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</si>
  <si>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</si>
  <si>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</si>
  <si>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</si>
  <si>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This is used if dividends are declared to preferred shareholders and paid at exit</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</si>
  <si>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</si>
  <si>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</si>
  <si>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</si>
  <si>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</si>
  <si>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</si>
  <si>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</si>
  <si>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</si>
  <si>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</si>
  <si>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</si>
  <si>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</si>
  <si>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</si>
  <si>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</si>
  <si>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</si>
  <si>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Check: Proceeds to Calculation Blocks = Proceeds to Shareholder Classes?</t>
  </si>
  <si>
    <t>A check to make sure total proceeds to the calculation blocks = total proceeds to the shareholder classes. Should equal zero in all cells in this row</t>
  </si>
  <si>
    <t>Summary - Proceeds per share</t>
  </si>
  <si>
    <t>Detail - Liquidation Preferences</t>
  </si>
  <si>
    <t>This detail helps understand what preferences are used; it is also used for the estimates in the "non-circulars" calculations.</t>
  </si>
  <si>
    <t>Optional: Debt Repayments to Investors</t>
  </si>
  <si>
    <t>this is to capture debt repayments (convertible notes, etc.) that are not captured through the distribution to equity shareholders. This is a manual input section, as many debt repayments are highly specific to the situation.</t>
  </si>
  <si>
    <t>expectations is that the debt repayment would be the same across all exit ranges, but flexibility is here to allow repayment to vary</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</si>
  <si>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</si>
  <si>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</si>
  <si>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</si>
  <si>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Check, proceeds to individual shareholders = proceeds to shareholder classes?</t>
  </si>
  <si>
    <t>Exit Waterfall, showing ROI to shareholders</t>
  </si>
  <si>
    <t>The formula calculates the return (proceeds - invested capital) in aggregate for all classes of shares each shareholder owns.</t>
  </si>
  <si>
    <t>A chart that shows the % of proceeds distributed to each shareholder class. Helpful as a quick visualization</t>
  </si>
  <si>
    <t>A chart that shows the total proceeds distributed to each shareholder class. Helpful as a quick visualization</t>
  </si>
  <si>
    <t>Options for Dropdowns</t>
  </si>
  <si>
    <t>Do not delete</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</si>
  <si>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</si>
  <si>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</si>
  <si>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</si>
  <si>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</si>
  <si>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</si>
  <si>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</si>
  <si>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</si>
  <si>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</si>
  <si>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</si>
  <si>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Investment Vehicle</t>
  </si>
  <si>
    <t>cap</t>
  </si>
  <si>
    <t>table</t>
  </si>
  <si>
    <t>postmoney SAFE</t>
  </si>
  <si>
    <t>equity</t>
  </si>
  <si>
    <t>premoney SAFE</t>
  </si>
  <si>
    <t>original issuance</t>
  </si>
  <si>
    <t>Total postmoney SAFE dilution</t>
  </si>
  <si>
    <t>Total shares issued, not postmoney SAFE conversions</t>
  </si>
  <si>
    <t xml:space="preserve">[7]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 </t>
  </si>
  <si>
    <t>[8]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</si>
  <si>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[14]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</si>
  <si>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[13]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t>
  </si>
  <si>
    <t>[8]</t>
  </si>
  <si>
    <t>[14]</t>
  </si>
  <si>
    <t>Company Name</t>
  </si>
  <si>
    <t>LICENSE AGREEMENT</t>
  </si>
  <si>
    <t>[15] New feature in April 2020, this allows you to grant, transfer, or cancel shares. Enter positive for new shares  for this investor, enter a negative number for shares cancelled or transferred to someone else.</t>
  </si>
  <si>
    <t>Options Granted</t>
  </si>
  <si>
    <t># Shares</t>
  </si>
  <si>
    <t># Options</t>
  </si>
  <si>
    <t># Issued and Outstanding [16]</t>
  </si>
  <si>
    <t>[16] Issued and Outstanding includes all options, assuming all options are expected to be granted</t>
  </si>
  <si>
    <t># Options Issued</t>
  </si>
  <si>
    <t>Options Available</t>
  </si>
  <si>
    <t># Shares or Options Granted, Cancelled, or Transferred [15]</t>
  </si>
  <si>
    <t>Total postmoney SAFE dilution, converting this round</t>
  </si>
  <si>
    <t>Total shares issued, not postmoney SAFE conversions, converting this round</t>
  </si>
  <si>
    <t>Example: First Issuance of an Equity Round, with an Option Pool created in the Premoney Valuation (also called a Postmoney Option Pool)</t>
  </si>
  <si>
    <t>Example: First Issuance of an Equity Round, with an Option Pool created in the Postmoney Valuation, also called a Premoney Option Pool</t>
  </si>
  <si>
    <t>v 2.55 - 20 April 2020</t>
  </si>
  <si>
    <t>5 - Exit Waterfall - finished latest set of revisions with new structure, which allows for pari-passu treatment of rounds, proceeds from dividends, manual editing for proceeds from payments for unconverted convertibles, amng other optimizations. This new structure involves a number of edits to make the tool better as an instructional tool, with more explainers and notes, more features to handle situations that users have requested, and a slightly slimmer footprint (meaning, less rounds) so that the tool is overall easier to use.</t>
  </si>
  <si>
    <t>Cap Table, Exit Waterfall, Summary - Deleted. The base cap table model was replaced with the new 1 - Cap Table sheet, towards the goal to build in some new features, but also make it a better instructional tool and easier to edit for situations. Big picture, I believe that cap tables are better managed in sofware, and tools like Carta, Capshare, and Captable.io are all good options for people to manage detailed cap tables. Spreadsheet-based solutions are difficult to manage, update, and keep accurate. But spreadsheets are great for analysis, and so I refocused the goal of this tool on teaching, instructions, and a footprint that's easier to use for analysis and scenario modeling. In the new base cap table sheet - "1 - Cap Table" - the model introduces a couple new features to help it handle postmoney SAFEs better and more automatically, a clearer way to handle share grants, transfers, and cancellations, options exercising, and warrants. It's also easier to use for analyzing exported cap tables from Carta, Capshare, and Captable.io, by exporting the share register and linking them into the opening cap table (and exit waterfall) for scenario modeling of future rounds and proceeds distributions at exit. I recognize that some may like the deleted sheets, but based on my usage of this tool with entrepreneurs over the past few years, I think this is a solution that will be easier to use and a better fit with how spreadsheets should really be used for modeling cap tables.</t>
  </si>
  <si>
    <t>4 - Conversion, Postmoney - Edited how the postmoney conversion is handled so that it no longer requires all SAFEs to be postmoney SAFEs, and now can convert convertible notes, premoney SAFEs, and postmoney SAFEs all in the same structure.</t>
  </si>
  <si>
    <t>Example: Base Cap Table to model how share ownership changes over time, with options for issuing and converting convertibles (notes and SAFEs) and equity, issuing premoney and postmoney option pools.</t>
  </si>
  <si>
    <t>TBD</t>
  </si>
  <si>
    <t xml:space="preserve">% New Postmoney Option Pool, in Premoney Valuation </t>
  </si>
  <si>
    <t xml:space="preserve">% New Premoney Option Pool, in Postmoney Valuation </t>
  </si>
  <si>
    <t>Seed Round [17]</t>
  </si>
  <si>
    <t>[18] This is named "A Round" by default, but you can change to whatever you like. This round structure does not have inputs for new convertible instruments in this round, but does convert outstanding convertibles, if desired.</t>
  </si>
  <si>
    <t>A Round [18]</t>
  </si>
  <si>
    <t>Currency Symbol</t>
  </si>
  <si>
    <t>[19]</t>
  </si>
  <si>
    <t>[19] The currency symbol can be changed here, this applies for all symbols used on this sheet. No calculations here are currency-specific, just be sure to make all numbers denominated in the same currency.</t>
  </si>
  <si>
    <t># Warrants, Outstanding [20]</t>
  </si>
  <si>
    <t>[20] Refers to the number of warrants outstanding at the end of the round, so that they can be factored into fully-diluted shares.</t>
  </si>
  <si>
    <t>[21] Refers to number of warrants issued during the round, so can be factored into fully-diluted shares. You might notice that there is no structure for exercising warrants and recognizing the exercise price as invested capital; that is by design, both as a simplification and as a bit of practicality.</t>
  </si>
  <si>
    <t># Warrants Issued or Cancelled [21]</t>
  </si>
  <si>
    <t>[17] This is named "Seed Round" by default, but you can name this whatever you like. Many people will setup the initial cap table - columns B through I - to reflect multiple rounds of investment, and then the first round to be the first round they want to scenario model. This round can handle new equity and new convertible investments. I also recommend that if someone has an existing cap table with a mix of equity, shares, and unconverted convertibles, to put all the equity and shares in the initial setup - columns B through I - and the convertibles in this round. Then, you can model future equity rounds in the "A Round" block, and the model will automatically handle all the conversion calculations.</t>
  </si>
  <si>
    <r>
      <rPr>
        <b/>
        <sz val="14"/>
        <color theme="1"/>
        <rFont val="Avenir Book"/>
        <family val="2"/>
      </rPr>
      <t xml:space="preserve">1 - Base Cap Table </t>
    </r>
    <r>
      <rPr>
        <sz val="14"/>
        <color theme="1"/>
        <rFont val="Avenir Book"/>
        <family val="2"/>
      </rPr>
      <t>is the default, fully-featured Cap Table that has the full range of features explained in the instructional sheets already built in. It demonstrates issuing an option pool (in premoney and/or postmoney) and note issuance and conversions, with options for all four note/SAFE conversion methods. This is the model you can use to outline your cap table through a number of rounds and situations.</t>
    </r>
  </si>
  <si>
    <r>
      <rPr>
        <b/>
        <sz val="14"/>
        <color theme="1"/>
        <rFont val="Avenir Book"/>
        <family val="2"/>
      </rPr>
      <t>2 - Equity Issuance</t>
    </r>
    <r>
      <rPr>
        <sz val="14"/>
        <color theme="1"/>
        <rFont val="Avenir Book"/>
        <family val="2"/>
      </rPr>
      <t xml:space="preserve"> is an example cap table that demonstrates a simple issuance of a first round of equity</t>
    </r>
  </si>
  <si>
    <r>
      <rPr>
        <b/>
        <sz val="14"/>
        <color theme="1"/>
        <rFont val="Avenir Book"/>
        <family val="2"/>
      </rPr>
      <t>2 - Equity Issuance Round 2</t>
    </r>
    <r>
      <rPr>
        <sz val="14"/>
        <color theme="1"/>
        <rFont val="Avenir Book"/>
        <family val="2"/>
      </rPr>
      <t xml:space="preserve"> is an example cap table that builds on the first issuance to show what happens with a second round of equity</t>
    </r>
  </si>
  <si>
    <r>
      <rPr>
        <b/>
        <sz val="14"/>
        <color theme="1"/>
        <rFont val="Avenir Book"/>
        <family val="2"/>
      </rPr>
      <t>3 - Premoney Option Pool</t>
    </r>
    <r>
      <rPr>
        <sz val="14"/>
        <color theme="1"/>
        <rFont val="Avenir Book"/>
        <family val="2"/>
      </rPr>
      <t xml:space="preserve"> demonstrates creating an option pool in the premoney (explanation on the sheet)</t>
    </r>
  </si>
  <si>
    <r>
      <rPr>
        <b/>
        <sz val="14"/>
        <color theme="1"/>
        <rFont val="Avenir Book"/>
        <family val="2"/>
      </rPr>
      <t>3 - Postmoney Option Pool</t>
    </r>
    <r>
      <rPr>
        <sz val="14"/>
        <color theme="1"/>
        <rFont val="Avenir Book"/>
        <family val="2"/>
      </rPr>
      <t xml:space="preserve"> demonstrates creating an option pool in the postmoney (explanation on the sheet)</t>
    </r>
  </si>
  <si>
    <r>
      <rPr>
        <b/>
        <sz val="14"/>
        <color theme="1"/>
        <rFont val="Avenir Book"/>
        <family val="2"/>
      </rPr>
      <t>3 - Option Pool, 2nd Round</t>
    </r>
    <r>
      <rPr>
        <sz val="14"/>
        <color theme="1"/>
        <rFont val="Avenir Book"/>
        <family val="2"/>
      </rPr>
      <t xml:space="preserve"> demonstrates how an option pool is added to in a second round of financing, and is built to handle both premoney and postmoney option pools</t>
    </r>
  </si>
  <si>
    <r>
      <rPr>
        <b/>
        <sz val="14"/>
        <color theme="1"/>
        <rFont val="Avenir Book"/>
        <family val="2"/>
      </rPr>
      <t>4 - Convertible Issuance</t>
    </r>
    <r>
      <rPr>
        <sz val="14"/>
        <color theme="1"/>
        <rFont val="Avenir Book"/>
        <family val="2"/>
      </rPr>
      <t xml:space="preserve"> demonstrates issuing a new convertible note.</t>
    </r>
  </si>
  <si>
    <r>
      <rPr>
        <b/>
        <sz val="14"/>
        <color theme="1"/>
        <rFont val="Avenir Book"/>
        <family val="2"/>
      </rPr>
      <t>4 - Conversion, Premoney</t>
    </r>
    <r>
      <rPr>
        <sz val="14"/>
        <color theme="1"/>
        <rFont val="Avenir Book"/>
        <family val="2"/>
      </rPr>
      <t xml:space="preserve"> demonstrates converting a convertible instrument at the next round using the premoney method (v1 of the Cap Table Tool only used this method)</t>
    </r>
  </si>
  <si>
    <r>
      <rPr>
        <b/>
        <sz val="14"/>
        <color theme="1"/>
        <rFont val="Avenir Book"/>
        <family val="2"/>
      </rPr>
      <t xml:space="preserve">4 - Conversion, Postmoney </t>
    </r>
    <r>
      <rPr>
        <sz val="14"/>
        <color theme="1"/>
        <rFont val="Avenir Book"/>
        <family val="2"/>
      </rPr>
      <t>demonstrates converting a postmoney SAFE using the method for calculating the share price under these documents</t>
    </r>
  </si>
  <si>
    <r>
      <rPr>
        <b/>
        <sz val="14"/>
        <color theme="1"/>
        <rFont val="Avenir Book"/>
        <family val="2"/>
      </rPr>
      <t>4 - Conversion, % Ownership</t>
    </r>
    <r>
      <rPr>
        <sz val="14"/>
        <color theme="1"/>
        <rFont val="Avenir Book"/>
        <family val="2"/>
      </rPr>
      <t xml:space="preserve"> demonstrates converting a convertible instrument at the next round using the percentage ownership method</t>
    </r>
  </si>
  <si>
    <r>
      <rPr>
        <b/>
        <sz val="14"/>
        <color theme="1"/>
        <rFont val="Avenir Book"/>
        <family val="2"/>
      </rPr>
      <t>4 - Conversion, $ Invested</t>
    </r>
    <r>
      <rPr>
        <sz val="14"/>
        <color theme="1"/>
        <rFont val="Avenir Book"/>
        <family val="2"/>
      </rPr>
      <t xml:space="preserve"> demonstrates converting a convertible instrument at the next round using the dollars-invested method</t>
    </r>
  </si>
  <si>
    <r>
      <rPr>
        <b/>
        <sz val="14"/>
        <color theme="1"/>
        <rFont val="Avenir Book"/>
        <family val="2"/>
      </rPr>
      <t>5 - Exit Waterfall Distribution</t>
    </r>
    <r>
      <rPr>
        <sz val="14"/>
        <color theme="1"/>
        <rFont val="Avenir Book"/>
        <family val="2"/>
      </rPr>
      <t xml:space="preserve"> shows how the shareholders earn proceeds at different valuations based on a variety of assumptions about the terms of their shareclasses. This is the most detailed and most complex part of the instructional sheets. It is a standalone sheet, and can be easily used with any of the cap table examples or your own model.</t>
    </r>
  </si>
  <si>
    <r>
      <rPr>
        <b/>
        <sz val="14"/>
        <color theme="1"/>
        <rFont val="Avenir Book"/>
        <family val="2"/>
      </rPr>
      <t>6 - VC Valuation</t>
    </r>
    <r>
      <rPr>
        <sz val="14"/>
        <color theme="1"/>
        <rFont val="Avenir Book"/>
        <family val="2"/>
      </rPr>
      <t xml:space="preserve"> is a separate tool, not connected to the other instructional sheets, that creates a valuation and returns (proceeds, ROI, IRR) forecast for a given investment. Optionally, this can create probability-weighted values.</t>
    </r>
  </si>
  <si>
    <t>1) Each sheet is independent of each other, and all can be safely deleted to only keep the sheets you want to use. 
2) Any number in blue with grey shaded background is an input (i.e. an assumption or data point that can be changed), anything in black is the result of a formula. Change blue at will, change anything in black with caution.
3) All cells and formulas are unlocked - as in all Foresight models - so that you can make edits as needed and completely understand what is going on.
4) All assumptions are illustrative ONLY, do not assume they are market data or standard.
5) As with all templates, feel free to create your own model from scratch, using this as a guide. 
6) Note: There are a couple "yes/no" dropdowns for turning on circular references in a couple sheets. Essentially, I build models to not require circulars, but some calculations on cap tables require iterative calculations (i.e. the calculation is based on something referring to the calculation), so to do this you must turn on iterative calculations in Excel / Google Sheets to handle the calcs. The formulas are written so that there is a non-iterative variation, but for some situations you will need to turn on circular references to get the exact calculation. By default, these flags are "no" so that you do not get a note about circular references in the model.</t>
  </si>
  <si>
    <t>GUIDE</t>
  </si>
  <si>
    <t>If you download or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</si>
  <si>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The cap table, exit waterfall, and venture valuation tools are intended to be instructional tools to analyze scenarios and rounds. 
I created a number of sheets to show how specific aspects of cap tables can be modeled in isolation, particularly because for many people building your own cap table is the right way to do it - not to use a template, but to build your own cap table (and exit waterfall) specific to your situation. 
The base cap table and exit waterfall can also be used to scenario modeling future rounds and exit distributions to shareholders, and built to be easy to use from an export of a share register from Carta, Capshare, or Captable.io.
Once you're running a company, I highly suggest using an online cap table management platform, such as:
- Carta (formerly eShares) (https://carta.com/)
- Captable (https://captable.io/ )
- Capshare (http://www.capshare.com)</t>
  </si>
  <si>
    <t>Investment Date [22]</t>
  </si>
  <si>
    <t>[22] By default, the investment date for each instrument links to the date for the overall round. But this can be changed, specifically to group together convertibles that are issued on different dates, so that the interest can be calculated correctly. Otherwise, the date is not used in any calcs.</t>
  </si>
  <si>
    <t>% of Options Exercised</t>
  </si>
  <si>
    <t>Optional: Options Strike Price</t>
  </si>
  <si>
    <t>Calculation to allow for options or warrants to not be executed based on price per share for each exit valuation. There is prebuilt logic here, but you may have to adjust for your particular situation</t>
  </si>
  <si>
    <t># of Options Not Exercised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</si>
</sst>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_(* #,##0_);_(* \(#,##0\);_(* &quot;-&quot;??_);_(@_)"/>
    <numFmt numFmtId="165" formatCode="_(* #,##0.0_);_(* \(#,##0.0\);_(* &quot;-&quot;??_);_(@_)"/>
    <numFmt numFmtId="166" formatCode="_(* #,##0.00000_);_(* \(#,##0.00000\);_(* &quot;-&quot;??_);_(@_)"/>
    <numFmt numFmtId="167" formatCode="_-* #,##0_-;\-* #,##0_-;_-* &quot;-&quot;??_-;_-@_-"/>
    <numFmt numFmtId="168" formatCode="_-* #,##0.00_-;\-* #,##0.00_-;_-* &quot;-&quot;??_-;_-@_-"/>
    <numFmt numFmtId="169" formatCode="0.0%"/>
    <numFmt numFmtId="170" formatCode="0.00000"/>
    <numFmt numFmtId="171" formatCode="_(* #,##0.0000_);_(* \(#,##0.0000\);_(* &quot;-&quot;??_);_(@_)"/>
    <numFmt numFmtId="172" formatCode="0.00000%"/>
    <numFmt numFmtId="173" formatCode="_(* #,##0.0000000_);_(* \(#,##0.0000000\);_(* &quot;-&quot;??_);_(@_)"/>
    <numFmt numFmtId="174" formatCode="_(* #,##0.000_);_(* \(#,##0.000\);_(* &quot;-&quot;??_);_(@_)"/>
    <numFmt numFmtId="175" formatCode="0.000%"/>
    <numFmt numFmtId="176" formatCode="_(* #,##0_);_(* \(#,##0\);_(* &quot;-&quot;?????_);_(@_)"/>
    <numFmt numFmtId="177" formatCode="&quot;[&quot;0&quot;]&quot;"/>
  </numFmts>
  <fonts count="39">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scheme val="minor"/>
    </font>
    <font>
      <sz val="12"/>
      <color theme="1"/>
      <name val="Calibri"/>
      <family val="2"/>
      <scheme val="minor"/>
    </font>
    <font>
      <sz val="12"/>
      <color theme="1"/>
      <name val="Calibri"/>
      <family val="2"/>
      <scheme val="minor"/>
    </font>
    <font>
      <sz val="8"/>
      <name val="Tahoma"/>
      <family val="2"/>
    </font>
    <font>
      <sz val="10"/>
      <name val="Arial"/>
      <family val="2"/>
    </font>
    <font>
      <b/>
      <sz val="8"/>
      <color indexed="9"/>
      <name val="Tahoma"/>
      <family val="2"/>
    </font>
    <font>
      <b/>
      <sz val="8"/>
      <color indexed="8"/>
      <name val="Tahoma"/>
      <family val="2"/>
    </font>
    <font>
      <sz val="10"/>
      <color rgb="FF000000"/>
      <name val="Arial"/>
      <family val="2"/>
    </font>
    <font>
      <u/>
      <sz val="12"/>
      <color theme="10"/>
      <name val="Calibri"/>
      <family val="2"/>
      <scheme val="minor"/>
    </font>
    <font>
      <u/>
      <sz val="12"/>
      <color theme="11"/>
      <name val="Calibri"/>
      <family val="2"/>
      <scheme val="minor"/>
    </font>
    <font>
      <sz val="12"/>
      <color theme="1"/>
      <name val="Avenir Book"/>
      <family val="2"/>
    </font>
    <font>
      <b/>
      <sz val="12"/>
      <color theme="1"/>
      <name val="Avenir Book"/>
      <family val="2"/>
    </font>
    <font>
      <sz val="12"/>
      <color rgb="FF0000FF"/>
      <name val="Avenir Book"/>
      <family val="2"/>
    </font>
    <font>
      <sz val="12"/>
      <color rgb="FF3366FF"/>
      <name val="Avenir Book"/>
      <family val="2"/>
    </font>
    <font>
      <sz val="12"/>
      <name val="Avenir Book"/>
      <family val="2"/>
    </font>
    <font>
      <i/>
      <sz val="12"/>
      <color theme="1"/>
      <name val="Avenir Book"/>
      <family val="2"/>
    </font>
    <font>
      <sz val="12"/>
      <color theme="1"/>
      <name val="Arial Narrow"/>
      <family val="2"/>
    </font>
    <font>
      <sz val="11"/>
      <color indexed="8"/>
      <name val="Calibri"/>
      <family val="2"/>
      <scheme val="minor"/>
    </font>
    <font>
      <b/>
      <sz val="15"/>
      <color theme="3"/>
      <name val="Calibri"/>
      <family val="2"/>
      <charset val="238"/>
      <scheme val="minor"/>
    </font>
    <font>
      <b/>
      <sz val="14"/>
      <color theme="1"/>
      <name val="Avenir Book"/>
      <family val="2"/>
    </font>
    <font>
      <b/>
      <sz val="28"/>
      <color theme="1" tint="0.34998626667073579"/>
      <name val="Cambria"/>
      <family val="2"/>
      <scheme val="major"/>
    </font>
    <font>
      <sz val="8"/>
      <color theme="1" tint="0.24994659260841701"/>
      <name val="Calibri"/>
      <family val="2"/>
      <scheme val="minor"/>
    </font>
    <font>
      <b/>
      <u/>
      <sz val="12"/>
      <color theme="1"/>
      <name val="Avenir Book"/>
      <family val="2"/>
    </font>
    <font>
      <sz val="11"/>
      <name val="Arial"/>
      <family val="1"/>
    </font>
    <font>
      <sz val="14"/>
      <color theme="1"/>
      <name val="Avenir Book"/>
      <family val="2"/>
    </font>
    <font>
      <i/>
      <sz val="14"/>
      <color theme="1"/>
      <name val="Avenir Book"/>
      <family val="2"/>
    </font>
    <font>
      <sz val="14"/>
      <color rgb="FF0000FF"/>
      <name val="Avenir Book"/>
      <family val="2"/>
    </font>
    <font>
      <sz val="14"/>
      <name val="Avenir Book"/>
      <family val="2"/>
    </font>
    <font>
      <b/>
      <i/>
      <sz val="14"/>
      <color theme="1"/>
      <name val="Avenir Book"/>
      <family val="2"/>
    </font>
    <font>
      <sz val="14"/>
      <color rgb="FF3366FF"/>
      <name val="Avenir Book"/>
      <family val="2"/>
    </font>
    <font>
      <b/>
      <u/>
      <sz val="14"/>
      <color theme="1"/>
      <name val="Avenir Book"/>
      <family val="2"/>
    </font>
    <font>
      <sz val="14"/>
      <color rgb="FF000000"/>
      <name val="Avenir Book"/>
      <family val="2"/>
    </font>
  </fonts>
  <fills count="7">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9"/>
        <bgColor indexed="9"/>
      </patternFill>
    </fill>
    <fill>
      <patternFill patternType="solid">
        <fgColor theme="0" tint="-4.9989318521683403E-2"/>
        <bgColor indexed="64"/>
      </patternFill>
    </fill>
    <fill>
      <patternFill patternType="solid">
        <fgColor theme="8" tint="0.7999816888943144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medium">
        <color auto="1"/>
      </top>
      <bottom style="medium">
        <color auto="1"/>
      </bottom>
      <diagonal/>
    </border>
    <border>
      <left/>
      <right/>
      <top/>
      <bottom style="medium">
        <color auto="1"/>
      </bottom>
      <diagonal/>
    </border>
    <border>
      <left/>
      <right/>
      <top/>
      <bottom style="thick">
        <color theme="4"/>
      </bottom>
      <diagonal/>
    </border>
  </borders>
  <cellStyleXfs count="5931">
    <xf numFmtId="0" fontId="0" fillId="0" borderId="0"/>
    <xf numFmtId="43" fontId="9" fillId="0" borderId="0" applyFont="0" applyFill="0" applyBorder="0" applyAlignment="0" applyProtection="0"/>
    <xf numFmtId="9" fontId="9" fillId="0" borderId="0" applyFont="0" applyFill="0" applyBorder="0" applyAlignment="0" applyProtection="0"/>
    <xf numFmtId="37" fontId="10" fillId="2" borderId="3" applyBorder="0" applyProtection="0">
      <alignment vertical="center"/>
    </xf>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11" fillId="0" borderId="0" applyFont="0" applyFill="0" applyBorder="0" applyAlignment="0" applyProtection="0"/>
    <xf numFmtId="37" fontId="12" fillId="3" borderId="4" applyBorder="0">
      <alignment horizontal="left" vertical="center" indent="1"/>
    </xf>
    <xf numFmtId="37" fontId="13" fillId="0" borderId="5">
      <alignment vertical="center"/>
    </xf>
    <xf numFmtId="0" fontId="13" fillId="4" borderId="6" applyNumberFormat="0">
      <alignment horizontal="left" vertical="top" indent="1"/>
    </xf>
    <xf numFmtId="0" fontId="13" fillId="2" borderId="0" applyBorder="0">
      <alignment horizontal="left" vertical="center" indent="1"/>
    </xf>
    <xf numFmtId="0" fontId="13" fillId="0" borderId="6" applyNumberFormat="0" applyFill="0">
      <alignment horizontal="centerContinuous" vertical="top"/>
    </xf>
    <xf numFmtId="0" fontId="14" fillId="0" borderId="0"/>
    <xf numFmtId="9" fontId="9"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2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5" fillId="0" borderId="7" applyNumberFormat="0" applyFill="0" applyAlignment="0" applyProtection="0"/>
    <xf numFmtId="0" fontId="27" fillId="0" borderId="0" applyNumberFormat="0" applyFill="0" applyBorder="0" applyProtection="0">
      <alignment vertical="top"/>
    </xf>
    <xf numFmtId="0" fontId="6" fillId="0" borderId="0"/>
    <xf numFmtId="0" fontId="6" fillId="0" borderId="0"/>
    <xf numFmtId="0" fontId="28"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3" fillId="0" borderId="0"/>
    <xf numFmtId="0" fontId="5" fillId="0" borderId="0"/>
    <xf numFmtId="9" fontId="23"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3"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3"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 fillId="0" borderId="0"/>
    <xf numFmtId="0" fontId="23" fillId="0" borderId="0"/>
    <xf numFmtId="0" fontId="1" fillId="0" borderId="0"/>
    <xf numFmtId="43" fontId="30" fillId="0" borderId="0" applyFont="0" applyFill="0" applyBorder="0" applyAlignment="0" applyProtection="0"/>
  </cellStyleXfs>
  <cellXfs count="236">
    <xf numFmtId="0" fontId="0" fillId="0" borderId="0" xfId="0"/>
    <xf numFmtId="0" fontId="17" fillId="0" borderId="0" xfId="0" applyFont="1"/>
    <xf numFmtId="166" fontId="17" fillId="0" borderId="0" xfId="1" applyNumberFormat="1" applyFont="1"/>
    <xf numFmtId="164" fontId="17" fillId="0" borderId="0" xfId="1" applyNumberFormat="1" applyFont="1"/>
    <xf numFmtId="9" fontId="17" fillId="0" borderId="0" xfId="2" applyFont="1"/>
    <xf numFmtId="164" fontId="17" fillId="0" borderId="0" xfId="0" applyNumberFormat="1" applyFont="1"/>
    <xf numFmtId="9" fontId="17" fillId="0" borderId="2" xfId="2" applyFont="1" applyBorder="1"/>
    <xf numFmtId="164" fontId="17" fillId="0" borderId="2" xfId="1" applyNumberFormat="1" applyFont="1" applyBorder="1"/>
    <xf numFmtId="43" fontId="17" fillId="0" borderId="0" xfId="1" applyFont="1"/>
    <xf numFmtId="0" fontId="17" fillId="0" borderId="0" xfId="0" applyFont="1" applyFill="1"/>
    <xf numFmtId="164" fontId="20" fillId="5" borderId="2" xfId="1" applyNumberFormat="1" applyFont="1" applyFill="1" applyBorder="1"/>
    <xf numFmtId="164" fontId="20" fillId="5" borderId="0" xfId="1" applyNumberFormat="1" applyFont="1" applyFill="1"/>
    <xf numFmtId="164" fontId="21" fillId="0" borderId="0" xfId="1" applyNumberFormat="1" applyFont="1" applyFill="1"/>
    <xf numFmtId="167" fontId="17" fillId="0" borderId="0" xfId="1332" applyNumberFormat="1" applyFont="1"/>
    <xf numFmtId="0" fontId="18" fillId="0" borderId="0" xfId="1332" applyNumberFormat="1" applyFont="1" applyAlignment="1">
      <alignment wrapText="1"/>
    </xf>
    <xf numFmtId="0" fontId="17" fillId="0" borderId="0" xfId="1332" applyNumberFormat="1" applyFont="1" applyAlignment="1">
      <alignment wrapText="1"/>
    </xf>
    <xf numFmtId="0" fontId="18" fillId="0" borderId="0" xfId="0" applyFont="1"/>
    <xf numFmtId="14" fontId="19" fillId="5" borderId="0" xfId="1" applyNumberFormat="1" applyFont="1" applyFill="1" applyAlignment="1">
      <alignment horizontal="right"/>
    </xf>
    <xf numFmtId="43" fontId="17" fillId="0" borderId="1" xfId="1" applyFont="1" applyBorder="1" applyAlignment="1">
      <alignment horizontal="center" wrapText="1"/>
    </xf>
    <xf numFmtId="43" fontId="17" fillId="0" borderId="1" xfId="1" applyFont="1" applyBorder="1" applyAlignment="1">
      <alignment horizontal="left" wrapText="1"/>
    </xf>
    <xf numFmtId="169" fontId="20" fillId="5" borderId="0" xfId="2" applyNumberFormat="1" applyFont="1" applyFill="1"/>
    <xf numFmtId="0" fontId="29" fillId="0" borderId="0" xfId="0" applyFont="1"/>
    <xf numFmtId="0" fontId="22" fillId="0" borderId="0" xfId="0" applyFont="1"/>
    <xf numFmtId="169" fontId="17" fillId="0" borderId="0" xfId="2" applyNumberFormat="1" applyFont="1"/>
    <xf numFmtId="169" fontId="17" fillId="0" borderId="0" xfId="0" applyNumberFormat="1" applyFont="1"/>
    <xf numFmtId="170" fontId="17" fillId="0" borderId="0" xfId="0" applyNumberFormat="1" applyFont="1"/>
    <xf numFmtId="0" fontId="17" fillId="0" borderId="2" xfId="0" applyFont="1" applyBorder="1"/>
    <xf numFmtId="169" fontId="17" fillId="0" borderId="2" xfId="2" applyNumberFormat="1" applyFont="1" applyBorder="1"/>
    <xf numFmtId="9" fontId="20" fillId="5" borderId="0" xfId="2" applyNumberFormat="1" applyFont="1" applyFill="1"/>
    <xf numFmtId="9" fontId="17" fillId="0" borderId="0" xfId="0" applyNumberFormat="1" applyFont="1"/>
    <xf numFmtId="0" fontId="17" fillId="0" borderId="1" xfId="0" applyFont="1" applyBorder="1" applyAlignment="1">
      <alignment horizontal="center"/>
    </xf>
    <xf numFmtId="0" fontId="17" fillId="0" borderId="0" xfId="0" applyFont="1" applyAlignment="1">
      <alignment horizontal="center"/>
    </xf>
    <xf numFmtId="0" fontId="17" fillId="0" borderId="0" xfId="0" quotePrefix="1" applyFont="1"/>
    <xf numFmtId="0" fontId="17" fillId="0" borderId="2" xfId="0" applyFont="1" applyBorder="1" applyAlignment="1">
      <alignment horizontal="right"/>
    </xf>
    <xf numFmtId="0" fontId="17" fillId="0" borderId="0" xfId="0" applyFont="1" applyAlignment="1">
      <alignment horizontal="right"/>
    </xf>
    <xf numFmtId="43" fontId="17" fillId="0" borderId="0" xfId="1" applyFont="1" applyAlignment="1">
      <alignment horizontal="right"/>
    </xf>
    <xf numFmtId="172" fontId="17" fillId="0" borderId="0" xfId="0" applyNumberFormat="1" applyFont="1"/>
    <xf numFmtId="173" fontId="17" fillId="0" borderId="0" xfId="1" applyNumberFormat="1" applyFont="1"/>
    <xf numFmtId="164" fontId="19" fillId="5" borderId="0" xfId="1" applyNumberFormat="1" applyFont="1" applyFill="1" applyAlignment="1">
      <alignment horizontal="right"/>
    </xf>
    <xf numFmtId="164" fontId="17" fillId="0" borderId="0" xfId="0" applyNumberFormat="1" applyFont="1" applyFill="1"/>
    <xf numFmtId="14" fontId="20" fillId="5" borderId="0" xfId="1" applyNumberFormat="1" applyFont="1" applyFill="1" applyAlignment="1">
      <alignment horizontal="right"/>
    </xf>
    <xf numFmtId="43" fontId="17" fillId="0" borderId="0" xfId="0" applyNumberFormat="1" applyFont="1"/>
    <xf numFmtId="164" fontId="17" fillId="0" borderId="0" xfId="0" applyNumberFormat="1" applyFont="1" applyAlignment="1">
      <alignment horizontal="right"/>
    </xf>
    <xf numFmtId="2" fontId="17" fillId="0" borderId="0" xfId="0" applyNumberFormat="1" applyFont="1"/>
    <xf numFmtId="164" fontId="19" fillId="5" borderId="0" xfId="1" applyNumberFormat="1" applyFont="1" applyFill="1"/>
    <xf numFmtId="9" fontId="19" fillId="5" borderId="0" xfId="2" applyNumberFormat="1" applyFont="1" applyFill="1"/>
    <xf numFmtId="169" fontId="19" fillId="5" borderId="0" xfId="2" applyNumberFormat="1" applyFont="1" applyFill="1"/>
    <xf numFmtId="164" fontId="19" fillId="5" borderId="2" xfId="1" applyNumberFormat="1" applyFont="1" applyFill="1" applyBorder="1"/>
    <xf numFmtId="169" fontId="17" fillId="0" borderId="0" xfId="1" applyNumberFormat="1" applyFont="1"/>
    <xf numFmtId="0" fontId="26" fillId="0" borderId="0" xfId="5928" applyFont="1" applyAlignment="1">
      <alignment wrapText="1"/>
    </xf>
    <xf numFmtId="0" fontId="31" fillId="0" borderId="0" xfId="5928" applyFont="1"/>
    <xf numFmtId="0" fontId="32" fillId="0" borderId="0" xfId="5928" applyFont="1" applyAlignment="1">
      <alignment wrapText="1"/>
    </xf>
    <xf numFmtId="0" fontId="31" fillId="0" borderId="0" xfId="5928" applyFont="1" applyAlignment="1">
      <alignment wrapText="1"/>
    </xf>
    <xf numFmtId="43" fontId="26" fillId="0" borderId="0" xfId="5730" applyFont="1"/>
    <xf numFmtId="43" fontId="31" fillId="0" borderId="0" xfId="5730" applyFont="1" applyAlignment="1">
      <alignment horizontal="center"/>
    </xf>
    <xf numFmtId="177" fontId="31" fillId="0" borderId="0" xfId="5730" applyNumberFormat="1" applyFont="1" applyFill="1" applyAlignment="1">
      <alignment horizontal="center"/>
    </xf>
    <xf numFmtId="0" fontId="31" fillId="0" borderId="0" xfId="5730" applyNumberFormat="1" applyFont="1" applyAlignment="1">
      <alignment horizontal="left"/>
    </xf>
    <xf numFmtId="43" fontId="31" fillId="0" borderId="0" xfId="5730" applyFont="1"/>
    <xf numFmtId="0" fontId="31" fillId="0" borderId="0" xfId="5929" applyFont="1"/>
    <xf numFmtId="43" fontId="32" fillId="0" borderId="0" xfId="5730" applyFont="1"/>
    <xf numFmtId="43" fontId="33" fillId="5" borderId="0" xfId="5730" applyFont="1" applyFill="1" applyAlignment="1">
      <alignment horizontal="center"/>
    </xf>
    <xf numFmtId="164" fontId="33" fillId="5" borderId="0" xfId="5730" applyNumberFormat="1" applyFont="1" applyFill="1"/>
    <xf numFmtId="14" fontId="33" fillId="5" borderId="0" xfId="5730" applyNumberFormat="1" applyFont="1" applyFill="1" applyAlignment="1">
      <alignment horizontal="right"/>
    </xf>
    <xf numFmtId="9" fontId="33" fillId="5" borderId="0" xfId="5729" applyFont="1" applyFill="1"/>
    <xf numFmtId="0" fontId="31" fillId="0" borderId="0" xfId="5929" applyFont="1" applyAlignment="1">
      <alignment horizontal="center"/>
    </xf>
    <xf numFmtId="164" fontId="33" fillId="5" borderId="0" xfId="5730" applyNumberFormat="1" applyFont="1" applyFill="1" applyAlignment="1">
      <alignment horizontal="right"/>
    </xf>
    <xf numFmtId="43" fontId="31" fillId="0" borderId="0" xfId="5730" applyFont="1" applyAlignment="1">
      <alignment horizontal="right"/>
    </xf>
    <xf numFmtId="0" fontId="31" fillId="0" borderId="0" xfId="5730" applyNumberFormat="1" applyFont="1"/>
    <xf numFmtId="164" fontId="33" fillId="5" borderId="1" xfId="5730" applyNumberFormat="1" applyFont="1" applyFill="1" applyBorder="1" applyAlignment="1">
      <alignment horizontal="right"/>
    </xf>
    <xf numFmtId="43" fontId="31" fillId="0" borderId="1" xfId="5730" applyFont="1" applyBorder="1" applyAlignment="1">
      <alignment horizontal="right"/>
    </xf>
    <xf numFmtId="164" fontId="31" fillId="0" borderId="0" xfId="5730" applyNumberFormat="1" applyFont="1" applyAlignment="1">
      <alignment horizontal="center"/>
    </xf>
    <xf numFmtId="43" fontId="31" fillId="0" borderId="0" xfId="5730" applyFont="1" applyFill="1"/>
    <xf numFmtId="164" fontId="31" fillId="0" borderId="2" xfId="5730" applyNumberFormat="1" applyFont="1" applyBorder="1" applyAlignment="1">
      <alignment horizontal="center"/>
    </xf>
    <xf numFmtId="9" fontId="31" fillId="0" borderId="0" xfId="5729" applyFont="1" applyBorder="1" applyAlignment="1">
      <alignment horizontal="right"/>
    </xf>
    <xf numFmtId="43" fontId="32" fillId="0" borderId="0" xfId="5730" applyFont="1" applyFill="1"/>
    <xf numFmtId="164" fontId="31" fillId="0" borderId="0" xfId="5930" applyNumberFormat="1" applyFont="1" applyAlignment="1">
      <alignment horizontal="center"/>
    </xf>
    <xf numFmtId="164" fontId="34" fillId="0" borderId="0" xfId="5730" applyNumberFormat="1" applyFont="1" applyFill="1" applyAlignment="1">
      <alignment horizontal="center"/>
    </xf>
    <xf numFmtId="171" fontId="33" fillId="5" borderId="0" xfId="5730" applyNumberFormat="1" applyFont="1" applyFill="1"/>
    <xf numFmtId="164" fontId="34" fillId="0" borderId="0" xfId="5730" applyNumberFormat="1" applyFont="1" applyFill="1" applyAlignment="1">
      <alignment horizontal="right"/>
    </xf>
    <xf numFmtId="165" fontId="33" fillId="5" borderId="0" xfId="5730" applyNumberFormat="1" applyFont="1" applyFill="1"/>
    <xf numFmtId="166" fontId="31" fillId="0" borderId="0" xfId="5730" applyNumberFormat="1" applyFont="1"/>
    <xf numFmtId="43" fontId="32" fillId="0" borderId="0" xfId="5730" applyFont="1" applyAlignment="1">
      <alignment horizontal="center"/>
    </xf>
    <xf numFmtId="165" fontId="33" fillId="5" borderId="0" xfId="5730" applyNumberFormat="1" applyFont="1" applyFill="1" applyAlignment="1">
      <alignment horizontal="left"/>
    </xf>
    <xf numFmtId="0" fontId="31" fillId="0" borderId="0" xfId="5929" applyFont="1" applyAlignment="1">
      <alignment horizontal="left"/>
    </xf>
    <xf numFmtId="165" fontId="34" fillId="0" borderId="0" xfId="5730" applyNumberFormat="1" applyFont="1" applyFill="1"/>
    <xf numFmtId="43" fontId="33" fillId="5" borderId="0" xfId="5730" applyFont="1" applyFill="1" applyAlignment="1">
      <alignment horizontal="right"/>
    </xf>
    <xf numFmtId="43" fontId="31" fillId="0" borderId="0" xfId="5730" applyFont="1" applyFill="1" applyAlignment="1">
      <alignment horizontal="center"/>
    </xf>
    <xf numFmtId="43" fontId="33" fillId="0" borderId="0" xfId="5730" applyFont="1" applyFill="1" applyAlignment="1">
      <alignment horizontal="right"/>
    </xf>
    <xf numFmtId="43" fontId="31" fillId="0" borderId="0" xfId="5730" applyFont="1" applyFill="1" applyAlignment="1">
      <alignment horizontal="right"/>
    </xf>
    <xf numFmtId="164" fontId="31" fillId="0" borderId="0" xfId="5929" applyNumberFormat="1" applyFont="1"/>
    <xf numFmtId="164" fontId="31" fillId="0" borderId="0" xfId="5929" applyNumberFormat="1" applyFont="1" applyAlignment="1">
      <alignment horizontal="left"/>
    </xf>
    <xf numFmtId="164" fontId="31" fillId="0" borderId="0" xfId="5929" applyNumberFormat="1" applyFont="1" applyAlignment="1">
      <alignment horizontal="right"/>
    </xf>
    <xf numFmtId="43" fontId="31" fillId="0" borderId="0" xfId="5730" applyFont="1" applyBorder="1"/>
    <xf numFmtId="9" fontId="31" fillId="0" borderId="0" xfId="5729" applyFont="1" applyBorder="1"/>
    <xf numFmtId="14" fontId="34" fillId="0" borderId="0" xfId="5730" applyNumberFormat="1" applyFont="1" applyFill="1" applyAlignment="1">
      <alignment horizontal="right"/>
    </xf>
    <xf numFmtId="43" fontId="33" fillId="5" borderId="0" xfId="5730" applyFont="1" applyFill="1" applyBorder="1" applyAlignment="1">
      <alignment horizontal="right"/>
    </xf>
    <xf numFmtId="0" fontId="32" fillId="0" borderId="0" xfId="5929" applyFont="1"/>
    <xf numFmtId="9" fontId="31" fillId="0" borderId="0" xfId="5729" applyFont="1"/>
    <xf numFmtId="9" fontId="31" fillId="0" borderId="2" xfId="5729" applyFont="1" applyBorder="1"/>
    <xf numFmtId="43" fontId="35" fillId="0" borderId="0" xfId="5730" applyFont="1"/>
    <xf numFmtId="43" fontId="31" fillId="0" borderId="0" xfId="5730" applyFont="1" applyAlignment="1">
      <alignment horizontal="left"/>
    </xf>
    <xf numFmtId="43" fontId="31" fillId="0" borderId="0" xfId="5730" applyFont="1" applyBorder="1" applyAlignment="1">
      <alignment horizontal="center"/>
    </xf>
    <xf numFmtId="164" fontId="31" fillId="0" borderId="0" xfId="5930" applyNumberFormat="1" applyFont="1" applyAlignment="1">
      <alignment horizontal="left"/>
    </xf>
    <xf numFmtId="164" fontId="31" fillId="0" borderId="0" xfId="5730" applyNumberFormat="1" applyFont="1" applyFill="1" applyBorder="1" applyAlignment="1">
      <alignment horizontal="center"/>
    </xf>
    <xf numFmtId="166" fontId="31" fillId="0" borderId="0" xfId="5929" applyNumberFormat="1" applyFont="1"/>
    <xf numFmtId="43" fontId="31" fillId="0" borderId="0" xfId="5929" applyNumberFormat="1" applyFont="1" applyAlignment="1">
      <alignment horizontal="center"/>
    </xf>
    <xf numFmtId="171" fontId="31" fillId="0" borderId="0" xfId="5929" applyNumberFormat="1" applyFont="1"/>
    <xf numFmtId="0" fontId="31" fillId="0" borderId="0" xfId="5730" applyNumberFormat="1" applyFont="1" applyFill="1" applyAlignment="1">
      <alignment horizontal="left"/>
    </xf>
    <xf numFmtId="164" fontId="31" fillId="0" borderId="0" xfId="5730" applyNumberFormat="1" applyFont="1" applyFill="1" applyAlignment="1">
      <alignment horizontal="right"/>
    </xf>
    <xf numFmtId="164" fontId="31" fillId="0" borderId="0" xfId="5730" applyNumberFormat="1" applyFont="1" applyFill="1"/>
    <xf numFmtId="166" fontId="31" fillId="0" borderId="0" xfId="5730" applyNumberFormat="1" applyFont="1" applyFill="1"/>
    <xf numFmtId="43" fontId="31" fillId="0" borderId="0" xfId="5929" applyNumberFormat="1" applyFont="1"/>
    <xf numFmtId="43" fontId="31" fillId="0" borderId="0" xfId="5929" applyNumberFormat="1" applyFont="1" applyAlignment="1">
      <alignment horizontal="left"/>
    </xf>
    <xf numFmtId="164" fontId="31" fillId="0" borderId="2" xfId="5929" applyNumberFormat="1" applyFont="1" applyBorder="1"/>
    <xf numFmtId="43" fontId="32" fillId="0" borderId="0" xfId="5730" applyFont="1" applyFill="1" applyAlignment="1">
      <alignment horizontal="center"/>
    </xf>
    <xf numFmtId="164" fontId="32" fillId="0" borderId="0" xfId="5929" applyNumberFormat="1" applyFont="1"/>
    <xf numFmtId="0" fontId="32" fillId="0" borderId="0" xfId="5730" applyNumberFormat="1" applyFont="1" applyFill="1"/>
    <xf numFmtId="174" fontId="31" fillId="0" borderId="0" xfId="5730" applyNumberFormat="1" applyFont="1"/>
    <xf numFmtId="43" fontId="31" fillId="0" borderId="0" xfId="5730" applyFont="1" applyFill="1" applyAlignment="1">
      <alignment horizontal="left"/>
    </xf>
    <xf numFmtId="43" fontId="32" fillId="0" borderId="0" xfId="5930" applyFont="1"/>
    <xf numFmtId="43" fontId="31" fillId="0" borderId="0" xfId="5930" applyFont="1"/>
    <xf numFmtId="43" fontId="31" fillId="0" borderId="0" xfId="5930" applyFont="1" applyFill="1"/>
    <xf numFmtId="0" fontId="35" fillId="0" borderId="0" xfId="5929" applyFont="1"/>
    <xf numFmtId="9" fontId="31" fillId="0" borderId="0" xfId="5729" applyFont="1" applyFill="1" applyAlignment="1">
      <alignment horizontal="right"/>
    </xf>
    <xf numFmtId="43" fontId="34" fillId="0" borderId="0" xfId="5730" applyFont="1" applyFill="1" applyAlignment="1">
      <alignment horizontal="left"/>
    </xf>
    <xf numFmtId="177" fontId="31" fillId="0" borderId="0" xfId="5929" applyNumberFormat="1" applyFont="1"/>
    <xf numFmtId="0" fontId="31" fillId="0" borderId="0" xfId="0" applyFont="1" applyAlignment="1">
      <alignment horizontal="center"/>
    </xf>
    <xf numFmtId="0" fontId="26" fillId="0" borderId="0" xfId="0" applyFont="1"/>
    <xf numFmtId="0" fontId="26" fillId="0" borderId="0" xfId="0" applyFont="1" applyAlignment="1">
      <alignment horizontal="center"/>
    </xf>
    <xf numFmtId="43" fontId="31" fillId="0" borderId="0" xfId="4450" applyFont="1"/>
    <xf numFmtId="0" fontId="31" fillId="0" borderId="0" xfId="0" applyFont="1"/>
    <xf numFmtId="0" fontId="31" fillId="0" borderId="0" xfId="0" applyNumberFormat="1" applyFont="1"/>
    <xf numFmtId="0" fontId="32" fillId="0" borderId="0" xfId="0" applyFont="1"/>
    <xf numFmtId="0" fontId="31" fillId="0" borderId="0" xfId="0" applyFont="1" applyAlignment="1">
      <alignment horizontal="right"/>
    </xf>
    <xf numFmtId="175" fontId="31" fillId="0" borderId="0" xfId="0" applyNumberFormat="1" applyFont="1"/>
    <xf numFmtId="9" fontId="36" fillId="5" borderId="0" xfId="4451" applyFont="1" applyFill="1" applyBorder="1" applyAlignment="1">
      <alignment horizontal="right"/>
    </xf>
    <xf numFmtId="169" fontId="34" fillId="0" borderId="0" xfId="4451" applyNumberFormat="1" applyFont="1" applyFill="1" applyAlignment="1">
      <alignment horizontal="right"/>
    </xf>
    <xf numFmtId="169" fontId="36" fillId="5" borderId="0" xfId="4451" applyNumberFormat="1" applyFont="1" applyFill="1" applyAlignment="1">
      <alignment horizontal="right"/>
    </xf>
    <xf numFmtId="169" fontId="31" fillId="0" borderId="0" xfId="0" applyNumberFormat="1" applyFont="1"/>
    <xf numFmtId="169" fontId="31" fillId="0" borderId="0" xfId="4451" applyNumberFormat="1" applyFont="1"/>
    <xf numFmtId="165" fontId="34" fillId="0" borderId="0" xfId="4450" applyNumberFormat="1" applyFont="1" applyFill="1"/>
    <xf numFmtId="165" fontId="36" fillId="5" borderId="0" xfId="4450" applyNumberFormat="1" applyFont="1" applyFill="1"/>
    <xf numFmtId="164" fontId="36" fillId="5" borderId="0" xfId="4450" applyNumberFormat="1" applyFont="1" applyFill="1"/>
    <xf numFmtId="15" fontId="36" fillId="5" borderId="0" xfId="4451" applyNumberFormat="1" applyFont="1" applyFill="1" applyAlignment="1">
      <alignment horizontal="right"/>
    </xf>
    <xf numFmtId="15" fontId="34" fillId="0" borderId="0" xfId="4451" applyNumberFormat="1" applyFont="1" applyFill="1" applyAlignment="1">
      <alignment horizontal="right"/>
    </xf>
    <xf numFmtId="43" fontId="33" fillId="5" borderId="0" xfId="1" applyNumberFormat="1" applyFont="1" applyFill="1" applyAlignment="1">
      <alignment horizontal="center"/>
    </xf>
    <xf numFmtId="164" fontId="34" fillId="0" borderId="0" xfId="4450" applyNumberFormat="1" applyFont="1" applyFill="1"/>
    <xf numFmtId="164" fontId="31" fillId="0" borderId="0" xfId="0" applyNumberFormat="1" applyFont="1"/>
    <xf numFmtId="43" fontId="31" fillId="0" borderId="0" xfId="0" applyNumberFormat="1" applyFont="1" applyAlignment="1">
      <alignment horizontal="center"/>
    </xf>
    <xf numFmtId="0" fontId="31" fillId="0" borderId="0" xfId="4451" applyNumberFormat="1" applyFont="1"/>
    <xf numFmtId="174" fontId="31" fillId="0" borderId="0" xfId="4450" applyNumberFormat="1" applyFont="1"/>
    <xf numFmtId="9" fontId="31" fillId="0" borderId="0" xfId="2" applyFont="1"/>
    <xf numFmtId="0" fontId="31" fillId="0" borderId="0" xfId="0" applyFont="1" applyFill="1"/>
    <xf numFmtId="0" fontId="31" fillId="0" borderId="0" xfId="0" applyFont="1" applyFill="1" applyAlignment="1">
      <alignment horizontal="center"/>
    </xf>
    <xf numFmtId="169" fontId="34" fillId="0" borderId="0" xfId="4451" applyNumberFormat="1" applyFont="1" applyFill="1"/>
    <xf numFmtId="169" fontId="31" fillId="0" borderId="0" xfId="0" applyNumberFormat="1" applyFont="1" applyFill="1"/>
    <xf numFmtId="169" fontId="31" fillId="0" borderId="0" xfId="4451" applyNumberFormat="1" applyFont="1" applyFill="1"/>
    <xf numFmtId="9" fontId="36" fillId="5" borderId="0" xfId="4249" applyFont="1" applyFill="1"/>
    <xf numFmtId="43" fontId="36" fillId="5" borderId="0" xfId="4450" applyNumberFormat="1" applyFont="1" applyFill="1"/>
    <xf numFmtId="15" fontId="31" fillId="0" borderId="0" xfId="0" applyNumberFormat="1" applyFont="1"/>
    <xf numFmtId="164" fontId="31" fillId="0" borderId="0" xfId="4450" applyNumberFormat="1" applyFont="1"/>
    <xf numFmtId="9" fontId="31" fillId="0" borderId="0" xfId="0" applyNumberFormat="1" applyFont="1"/>
    <xf numFmtId="164" fontId="26" fillId="0" borderId="0" xfId="4450" applyNumberFormat="1" applyFont="1" applyAlignment="1">
      <alignment horizontal="center"/>
    </xf>
    <xf numFmtId="164" fontId="31" fillId="0" borderId="0" xfId="4450" applyNumberFormat="1" applyFont="1" applyAlignment="1">
      <alignment horizontal="center"/>
    </xf>
    <xf numFmtId="9" fontId="31" fillId="0" borderId="0" xfId="4249" applyFont="1"/>
    <xf numFmtId="0" fontId="31" fillId="0" borderId="0" xfId="4248" applyNumberFormat="1" applyFont="1"/>
    <xf numFmtId="43" fontId="31" fillId="0" borderId="0" xfId="4450" applyNumberFormat="1" applyFont="1" applyAlignment="1">
      <alignment horizontal="right"/>
    </xf>
    <xf numFmtId="9" fontId="31" fillId="0" borderId="0" xfId="2" applyFont="1" applyAlignment="1">
      <alignment horizontal="right"/>
    </xf>
    <xf numFmtId="43" fontId="31" fillId="0" borderId="0" xfId="0" applyNumberFormat="1" applyFont="1" applyFill="1" applyAlignment="1">
      <alignment horizontal="center"/>
    </xf>
    <xf numFmtId="9" fontId="31" fillId="0" borderId="0" xfId="2" applyFont="1" applyFill="1" applyAlignment="1">
      <alignment horizontal="right"/>
    </xf>
    <xf numFmtId="164" fontId="31" fillId="0" borderId="0" xfId="4450" applyNumberFormat="1" applyFont="1" applyAlignment="1">
      <alignment horizontal="right"/>
    </xf>
    <xf numFmtId="43" fontId="31" fillId="0" borderId="0" xfId="1" applyFont="1" applyAlignment="1">
      <alignment horizontal="right"/>
    </xf>
    <xf numFmtId="9" fontId="31" fillId="0" borderId="0" xfId="2" applyNumberFormat="1" applyFont="1" applyAlignment="1">
      <alignment horizontal="right"/>
    </xf>
    <xf numFmtId="43" fontId="31" fillId="0" borderId="0" xfId="0" applyNumberFormat="1" applyFont="1"/>
    <xf numFmtId="0" fontId="37" fillId="0" borderId="0" xfId="0" applyFont="1"/>
    <xf numFmtId="164" fontId="31" fillId="0" borderId="0" xfId="0" applyNumberFormat="1" applyFont="1" applyAlignment="1">
      <alignment horizontal="right"/>
    </xf>
    <xf numFmtId="164" fontId="31" fillId="0" borderId="0" xfId="1" applyNumberFormat="1" applyFont="1"/>
    <xf numFmtId="43" fontId="19" fillId="5" borderId="0" xfId="1" applyFont="1" applyFill="1" applyAlignment="1">
      <alignment horizontal="right"/>
    </xf>
    <xf numFmtId="0" fontId="31" fillId="0" borderId="0" xfId="5731" applyFont="1" applyAlignment="1">
      <alignment wrapText="1"/>
    </xf>
    <xf numFmtId="0" fontId="26" fillId="0" borderId="0" xfId="5731" applyFont="1" applyAlignment="1">
      <alignment wrapText="1"/>
    </xf>
    <xf numFmtId="170" fontId="17" fillId="0" borderId="0" xfId="0" applyNumberFormat="1" applyFont="1" applyFill="1"/>
    <xf numFmtId="43" fontId="31" fillId="0" borderId="1" xfId="1" applyFont="1" applyBorder="1" applyAlignment="1">
      <alignment horizontal="left" wrapText="1"/>
    </xf>
    <xf numFmtId="43" fontId="31" fillId="0" borderId="1" xfId="1" applyFont="1" applyBorder="1" applyAlignment="1">
      <alignment horizontal="center" wrapText="1"/>
    </xf>
    <xf numFmtId="43" fontId="31" fillId="0" borderId="1" xfId="5730" applyFont="1" applyBorder="1" applyAlignment="1">
      <alignment horizontal="center" wrapText="1"/>
    </xf>
    <xf numFmtId="0" fontId="31" fillId="0" borderId="1" xfId="0" applyFont="1" applyBorder="1" applyAlignment="1">
      <alignment horizontal="center"/>
    </xf>
    <xf numFmtId="164" fontId="33" fillId="5" borderId="0" xfId="1" applyNumberFormat="1" applyFont="1" applyFill="1"/>
    <xf numFmtId="164" fontId="34" fillId="0" borderId="0" xfId="1" applyNumberFormat="1" applyFont="1" applyFill="1"/>
    <xf numFmtId="169" fontId="31" fillId="0" borderId="0" xfId="2" applyNumberFormat="1" applyFont="1"/>
    <xf numFmtId="9" fontId="33" fillId="5" borderId="0" xfId="2" applyNumberFormat="1" applyFont="1" applyFill="1"/>
    <xf numFmtId="169" fontId="33" fillId="5" borderId="0" xfId="2" applyNumberFormat="1" applyFont="1" applyFill="1"/>
    <xf numFmtId="43" fontId="33" fillId="5" borderId="0" xfId="1" applyFont="1" applyFill="1" applyAlignment="1">
      <alignment horizontal="right"/>
    </xf>
    <xf numFmtId="170" fontId="31" fillId="0" borderId="0" xfId="0" applyNumberFormat="1" applyFont="1"/>
    <xf numFmtId="164" fontId="31" fillId="0" borderId="0" xfId="1" applyNumberFormat="1" applyFont="1" applyFill="1"/>
    <xf numFmtId="43" fontId="31" fillId="0" borderId="0" xfId="1" applyFont="1"/>
    <xf numFmtId="164" fontId="36" fillId="0" borderId="0" xfId="1" applyNumberFormat="1" applyFont="1" applyFill="1" applyBorder="1"/>
    <xf numFmtId="164" fontId="34" fillId="0" borderId="0" xfId="1" applyNumberFormat="1" applyFont="1" applyFill="1" applyBorder="1"/>
    <xf numFmtId="164" fontId="31" fillId="0" borderId="0" xfId="5730" applyNumberFormat="1" applyFont="1" applyFill="1" applyBorder="1"/>
    <xf numFmtId="0" fontId="31" fillId="0" borderId="0" xfId="0" applyFont="1" applyFill="1" applyBorder="1"/>
    <xf numFmtId="170" fontId="31" fillId="0" borderId="0" xfId="0" applyNumberFormat="1" applyFont="1" applyFill="1" applyBorder="1"/>
    <xf numFmtId="43" fontId="31" fillId="0" borderId="0" xfId="1" applyFont="1" applyFill="1" applyBorder="1"/>
    <xf numFmtId="164" fontId="31" fillId="0" borderId="0" xfId="1" applyNumberFormat="1" applyFont="1" applyFill="1" applyBorder="1"/>
    <xf numFmtId="164" fontId="31" fillId="0" borderId="0" xfId="0" applyNumberFormat="1" applyFont="1" applyFill="1" applyBorder="1"/>
    <xf numFmtId="169" fontId="31" fillId="0" borderId="0" xfId="2" applyNumberFormat="1" applyFont="1" applyFill="1" applyBorder="1"/>
    <xf numFmtId="164" fontId="34" fillId="0" borderId="0" xfId="5730" applyNumberFormat="1" applyFont="1" applyFill="1"/>
    <xf numFmtId="9" fontId="34" fillId="0" borderId="0" xfId="2" applyNumberFormat="1" applyFont="1" applyFill="1"/>
    <xf numFmtId="169" fontId="34" fillId="0" borderId="0" xfId="2" applyNumberFormat="1" applyFont="1" applyFill="1"/>
    <xf numFmtId="164" fontId="31" fillId="0" borderId="0" xfId="5730" applyNumberFormat="1" applyFont="1"/>
    <xf numFmtId="0" fontId="31" fillId="0" borderId="2" xfId="0" applyFont="1" applyBorder="1"/>
    <xf numFmtId="164" fontId="31" fillId="0" borderId="2" xfId="1" applyNumberFormat="1" applyFont="1" applyBorder="1"/>
    <xf numFmtId="9" fontId="31" fillId="0" borderId="2" xfId="2" applyFont="1" applyBorder="1"/>
    <xf numFmtId="0" fontId="35" fillId="0" borderId="0" xfId="0" applyFont="1"/>
    <xf numFmtId="176" fontId="31" fillId="0" borderId="0" xfId="1" applyNumberFormat="1" applyFont="1"/>
    <xf numFmtId="14" fontId="33" fillId="5" borderId="0" xfId="1" applyNumberFormat="1" applyFont="1" applyFill="1" applyAlignment="1">
      <alignment horizontal="right"/>
    </xf>
    <xf numFmtId="164" fontId="33" fillId="5" borderId="0" xfId="1" applyNumberFormat="1" applyFont="1" applyFill="1" applyAlignment="1">
      <alignment horizontal="right"/>
    </xf>
    <xf numFmtId="43" fontId="33" fillId="5" borderId="0" xfId="1" applyFont="1" applyFill="1"/>
    <xf numFmtId="14" fontId="34" fillId="0" borderId="0" xfId="1" applyNumberFormat="1" applyFont="1" applyFill="1" applyAlignment="1">
      <alignment horizontal="right"/>
    </xf>
    <xf numFmtId="43" fontId="31" fillId="0" borderId="0" xfId="5730" applyFont="1" applyBorder="1" applyAlignment="1">
      <alignment horizontal="left"/>
    </xf>
    <xf numFmtId="43" fontId="33" fillId="5" borderId="0" xfId="5730" applyFont="1" applyFill="1"/>
    <xf numFmtId="164" fontId="31" fillId="0" borderId="0" xfId="5730" applyNumberFormat="1" applyFont="1" applyBorder="1" applyAlignment="1">
      <alignment horizontal="center"/>
    </xf>
    <xf numFmtId="0" fontId="26" fillId="6" borderId="0" xfId="5732" applyFont="1" applyFill="1"/>
    <xf numFmtId="0" fontId="31" fillId="6" borderId="0" xfId="5927" applyFont="1" applyFill="1"/>
    <xf numFmtId="0" fontId="31" fillId="6" borderId="0" xfId="5732" applyFont="1" applyFill="1"/>
    <xf numFmtId="0" fontId="31" fillId="6" borderId="0" xfId="5732" applyFont="1" applyFill="1" applyAlignment="1">
      <alignment wrapText="1"/>
    </xf>
    <xf numFmtId="0" fontId="31" fillId="6" borderId="0" xfId="5928" applyFont="1" applyFill="1" applyAlignment="1" applyProtection="1">
      <alignment wrapText="1"/>
      <protection hidden="1"/>
    </xf>
    <xf numFmtId="0" fontId="38" fillId="6" borderId="0" xfId="5928" applyFont="1" applyFill="1" applyAlignment="1" applyProtection="1">
      <alignment wrapText="1"/>
      <protection hidden="1"/>
    </xf>
    <xf numFmtId="0" fontId="37" fillId="6" borderId="0" xfId="5927" applyFont="1" applyFill="1"/>
    <xf numFmtId="0" fontId="37" fillId="6" borderId="0" xfId="5927" applyFont="1" applyFill="1" applyAlignment="1">
      <alignment vertical="top" wrapText="1"/>
    </xf>
    <xf numFmtId="0" fontId="31" fillId="6" borderId="0" xfId="5732" applyFont="1" applyFill="1" applyAlignment="1" applyProtection="1">
      <alignment wrapText="1"/>
      <protection hidden="1"/>
    </xf>
    <xf numFmtId="0" fontId="31" fillId="6" borderId="0" xfId="5927" applyFont="1" applyFill="1" applyAlignment="1">
      <alignment vertical="top" wrapText="1"/>
    </xf>
    <xf numFmtId="0" fontId="37" fillId="6" borderId="0" xfId="5927" applyFont="1" applyFill="1" applyAlignment="1">
      <alignment wrapText="1"/>
    </xf>
    <xf numFmtId="0" fontId="26" fillId="6" borderId="0" xfId="5927" applyFont="1" applyFill="1" applyAlignment="1">
      <alignment wrapText="1"/>
    </xf>
    <xf numFmtId="0" fontId="31" fillId="6" borderId="0" xfId="5927" applyFont="1" applyFill="1" applyAlignment="1">
      <alignment wrapText="1"/>
    </xf>
    <xf numFmtId="0" fontId="31" fillId="6" borderId="0" xfId="1524" applyFont="1" applyFill="1" applyAlignment="1">
      <alignment wrapText="1"/>
    </xf>
    <xf numFmtId="0" fontId="31" fillId="6" borderId="0" xfId="5927" applyFont="1" applyFill="1" applyAlignment="1">
      <alignment horizontal="left" vertical="top" wrapText="1"/>
    </xf>
    <xf numFmtId="0" fontId="26" fillId="6" borderId="0" xfId="1524" applyFont="1" applyFill="1" applyAlignment="1">
      <alignment wrapText="1"/>
    </xf>
    <xf numFmtId="0" fontId="26" fillId="6" borderId="0" xfId="5927" applyFont="1" applyFill="1"/>
  </cellXfs>
  <cellStyles count="5931">
    <cellStyle name="amount" xfId="3" xr:uid="{00000000-0005-0000-0000-000000000000}"/>
    <cellStyle name="Comma" xfId="1" builtinId="3"/>
    <cellStyle name="Comma 10" xfId="1333" xr:uid="{00000000-0005-0000-0000-000002000000}"/>
    <cellStyle name="Comma 10 2" xfId="4247" xr:uid="{00000000-0005-0000-0000-000003000000}"/>
    <cellStyle name="Comma 10 2 2" xfId="5430" xr:uid="{00000000-0005-0000-0000-000004000000}"/>
    <cellStyle name="Comma 10 2 3" xfId="5730" xr:uid="{00000000-0005-0000-0000-000005000000}"/>
    <cellStyle name="Comma 10 3" xfId="5727" xr:uid="{00000000-0005-0000-0000-000006000000}"/>
    <cellStyle name="Comma 11" xfId="1334" xr:uid="{00000000-0005-0000-0000-000007000000}"/>
    <cellStyle name="Comma 11 2" xfId="1335" xr:uid="{00000000-0005-0000-0000-000008000000}"/>
    <cellStyle name="Comma 11 2 2" xfId="1336" xr:uid="{00000000-0005-0000-0000-000009000000}"/>
    <cellStyle name="Comma 11 2 2 2" xfId="1525" xr:uid="{00000000-0005-0000-0000-00000A000000}"/>
    <cellStyle name="Comma 11 2 2 2 2" xfId="1526" xr:uid="{00000000-0005-0000-0000-00000B000000}"/>
    <cellStyle name="Comma 11 2 2 2 2 2" xfId="1527" xr:uid="{00000000-0005-0000-0000-00000C000000}"/>
    <cellStyle name="Comma 11 2 2 2 2 2 2" xfId="1528" xr:uid="{00000000-0005-0000-0000-00000D000000}"/>
    <cellStyle name="Comma 11 2 2 3" xfId="1529" xr:uid="{00000000-0005-0000-0000-00000E000000}"/>
    <cellStyle name="Comma 11 2 2 3 2" xfId="1530" xr:uid="{00000000-0005-0000-0000-00000F000000}"/>
    <cellStyle name="Comma 11 2 2 4" xfId="3906" xr:uid="{00000000-0005-0000-0000-000010000000}"/>
    <cellStyle name="Comma 11 2 2 4 2" xfId="3907" xr:uid="{00000000-0005-0000-0000-000011000000}"/>
    <cellStyle name="Comma 11 2 2 4 2 2" xfId="5431" xr:uid="{00000000-0005-0000-0000-000012000000}"/>
    <cellStyle name="Comma 11 2 2 4 3" xfId="5432" xr:uid="{00000000-0005-0000-0000-000013000000}"/>
    <cellStyle name="Comma 11 2 2 5" xfId="3908" xr:uid="{00000000-0005-0000-0000-000014000000}"/>
    <cellStyle name="Comma 11 2 2 5 2" xfId="5433" xr:uid="{00000000-0005-0000-0000-000015000000}"/>
    <cellStyle name="Comma 11 2 2 6" xfId="5434" xr:uid="{00000000-0005-0000-0000-000016000000}"/>
    <cellStyle name="Comma 11 2 2 7" xfId="5435" xr:uid="{00000000-0005-0000-0000-000017000000}"/>
    <cellStyle name="Comma 11 2 3" xfId="1337" xr:uid="{00000000-0005-0000-0000-000018000000}"/>
    <cellStyle name="Comma 11 2 3 2" xfId="1531" xr:uid="{00000000-0005-0000-0000-000019000000}"/>
    <cellStyle name="Comma 11 2 3 2 2" xfId="1532" xr:uid="{00000000-0005-0000-0000-00001A000000}"/>
    <cellStyle name="Comma 11 2 3 3" xfId="3909" xr:uid="{00000000-0005-0000-0000-00001B000000}"/>
    <cellStyle name="Comma 11 2 3 3 2" xfId="5436" xr:uid="{00000000-0005-0000-0000-00001C000000}"/>
    <cellStyle name="Comma 11 2 3 4" xfId="5437" xr:uid="{00000000-0005-0000-0000-00001D000000}"/>
    <cellStyle name="Comma 11 2 4" xfId="1533" xr:uid="{00000000-0005-0000-0000-00001E000000}"/>
    <cellStyle name="Comma 11 2 4 2" xfId="1534" xr:uid="{00000000-0005-0000-0000-00001F000000}"/>
    <cellStyle name="Comma 11 2 4 2 2" xfId="1535" xr:uid="{00000000-0005-0000-0000-000020000000}"/>
    <cellStyle name="Comma 11 2 4 2 3" xfId="1536" xr:uid="{00000000-0005-0000-0000-000021000000}"/>
    <cellStyle name="Comma 11 2 4 2 3 2" xfId="1537" xr:uid="{00000000-0005-0000-0000-000022000000}"/>
    <cellStyle name="Comma 11 2 5" xfId="1538" xr:uid="{00000000-0005-0000-0000-000023000000}"/>
    <cellStyle name="Comma 11 2 6" xfId="1539" xr:uid="{00000000-0005-0000-0000-000024000000}"/>
    <cellStyle name="Comma 11 2 6 2" xfId="1540" xr:uid="{00000000-0005-0000-0000-000025000000}"/>
    <cellStyle name="Comma 11 2 7" xfId="3910" xr:uid="{00000000-0005-0000-0000-000026000000}"/>
    <cellStyle name="Comma 11 2 7 2" xfId="3911" xr:uid="{00000000-0005-0000-0000-000027000000}"/>
    <cellStyle name="Comma 11 2 7 2 2" xfId="5438" xr:uid="{00000000-0005-0000-0000-000028000000}"/>
    <cellStyle name="Comma 11 2 7 3" xfId="5439" xr:uid="{00000000-0005-0000-0000-000029000000}"/>
    <cellStyle name="Comma 11 2 8" xfId="5440" xr:uid="{00000000-0005-0000-0000-00002A000000}"/>
    <cellStyle name="Comma 12" xfId="1338" xr:uid="{00000000-0005-0000-0000-00002B000000}"/>
    <cellStyle name="Comma 12 2" xfId="1339" xr:uid="{00000000-0005-0000-0000-00002C000000}"/>
    <cellStyle name="Comma 12 2 10" xfId="5441" xr:uid="{00000000-0005-0000-0000-00002D000000}"/>
    <cellStyle name="Comma 12 2 2" xfId="1340" xr:uid="{00000000-0005-0000-0000-00002E000000}"/>
    <cellStyle name="Comma 12 2 2 2" xfId="3912" xr:uid="{00000000-0005-0000-0000-00002F000000}"/>
    <cellStyle name="Comma 12 2 2 2 2" xfId="3913" xr:uid="{00000000-0005-0000-0000-000030000000}"/>
    <cellStyle name="Comma 12 2 2 2 2 2" xfId="5442" xr:uid="{00000000-0005-0000-0000-000031000000}"/>
    <cellStyle name="Comma 12 2 2 2 3" xfId="5443" xr:uid="{00000000-0005-0000-0000-000032000000}"/>
    <cellStyle name="Comma 12 2 2 3" xfId="3914" xr:uid="{00000000-0005-0000-0000-000033000000}"/>
    <cellStyle name="Comma 12 2 2 4" xfId="5444" xr:uid="{00000000-0005-0000-0000-000034000000}"/>
    <cellStyle name="Comma 12 2 2 5" xfId="5445" xr:uid="{00000000-0005-0000-0000-000035000000}"/>
    <cellStyle name="Comma 12 2 3" xfId="1341" xr:uid="{00000000-0005-0000-0000-000036000000}"/>
    <cellStyle name="Comma 12 2 3 2" xfId="1541" xr:uid="{00000000-0005-0000-0000-000037000000}"/>
    <cellStyle name="Comma 12 2 3 2 2" xfId="1542" xr:uid="{00000000-0005-0000-0000-000038000000}"/>
    <cellStyle name="Comma 12 2 3 2 3" xfId="1543" xr:uid="{00000000-0005-0000-0000-000039000000}"/>
    <cellStyle name="Comma 12 2 3 2 4" xfId="3915" xr:uid="{00000000-0005-0000-0000-00003A000000}"/>
    <cellStyle name="Comma 12 2 3 2 5" xfId="5446" xr:uid="{00000000-0005-0000-0000-00003B000000}"/>
    <cellStyle name="Comma 12 2 3 2 6" xfId="5447" xr:uid="{00000000-0005-0000-0000-00003C000000}"/>
    <cellStyle name="Comma 12 2 3 3" xfId="3905" xr:uid="{00000000-0005-0000-0000-00003D000000}"/>
    <cellStyle name="Comma 12 2 4" xfId="1544" xr:uid="{00000000-0005-0000-0000-00003E000000}"/>
    <cellStyle name="Comma 12 2 5" xfId="1545" xr:uid="{00000000-0005-0000-0000-00003F000000}"/>
    <cellStyle name="Comma 12 2 5 2" xfId="1546" xr:uid="{00000000-0005-0000-0000-000040000000}"/>
    <cellStyle name="Comma 12 2 6" xfId="1547" xr:uid="{00000000-0005-0000-0000-000041000000}"/>
    <cellStyle name="Comma 12 2 7" xfId="1548" xr:uid="{00000000-0005-0000-0000-000042000000}"/>
    <cellStyle name="Comma 12 2 7 2" xfId="1549" xr:uid="{00000000-0005-0000-0000-000043000000}"/>
    <cellStyle name="Comma 12 2 8" xfId="3916" xr:uid="{00000000-0005-0000-0000-000044000000}"/>
    <cellStyle name="Comma 12 2 8 2" xfId="3917" xr:uid="{00000000-0005-0000-0000-000045000000}"/>
    <cellStyle name="Comma 12 2 8 2 2" xfId="5448" xr:uid="{00000000-0005-0000-0000-000046000000}"/>
    <cellStyle name="Comma 12 2 8 3" xfId="5449" xr:uid="{00000000-0005-0000-0000-000047000000}"/>
    <cellStyle name="Comma 12 2 9" xfId="5450" xr:uid="{00000000-0005-0000-0000-000048000000}"/>
    <cellStyle name="Comma 12 3" xfId="1342" xr:uid="{00000000-0005-0000-0000-000049000000}"/>
    <cellStyle name="Comma 12 4" xfId="1343" xr:uid="{00000000-0005-0000-0000-00004A000000}"/>
    <cellStyle name="Comma 12 5" xfId="1344" xr:uid="{00000000-0005-0000-0000-00004B000000}"/>
    <cellStyle name="Comma 12 5 2" xfId="1550" xr:uid="{00000000-0005-0000-0000-00004C000000}"/>
    <cellStyle name="Comma 12 5 2 2" xfId="1551" xr:uid="{00000000-0005-0000-0000-00004D000000}"/>
    <cellStyle name="Comma 12 5 2 3" xfId="1552" xr:uid="{00000000-0005-0000-0000-00004E000000}"/>
    <cellStyle name="Comma 12 5 2 4" xfId="1553" xr:uid="{00000000-0005-0000-0000-00004F000000}"/>
    <cellStyle name="Comma 12 5 2 5" xfId="3904" xr:uid="{00000000-0005-0000-0000-000050000000}"/>
    <cellStyle name="Comma 12 5 2 6" xfId="5427" xr:uid="{00000000-0005-0000-0000-000051000000}"/>
    <cellStyle name="Comma 12 5 3" xfId="3918" xr:uid="{00000000-0005-0000-0000-000052000000}"/>
    <cellStyle name="Comma 12 5 3 2" xfId="5451" xr:uid="{00000000-0005-0000-0000-000053000000}"/>
    <cellStyle name="Comma 12 5 4" xfId="5452" xr:uid="{00000000-0005-0000-0000-000054000000}"/>
    <cellStyle name="Comma 12 6" xfId="1345" xr:uid="{00000000-0005-0000-0000-000055000000}"/>
    <cellStyle name="Comma 12 6 2" xfId="1554" xr:uid="{00000000-0005-0000-0000-000056000000}"/>
    <cellStyle name="Comma 12 6 2 2" xfId="1555" xr:uid="{00000000-0005-0000-0000-000057000000}"/>
    <cellStyle name="Comma 12 6 3" xfId="1556" xr:uid="{00000000-0005-0000-0000-000058000000}"/>
    <cellStyle name="Comma 12 6 4" xfId="3919" xr:uid="{00000000-0005-0000-0000-000059000000}"/>
    <cellStyle name="Comma 12 6 4 2" xfId="5453" xr:uid="{00000000-0005-0000-0000-00005A000000}"/>
    <cellStyle name="Comma 12 7" xfId="1557" xr:uid="{00000000-0005-0000-0000-00005B000000}"/>
    <cellStyle name="Comma 12 7 2" xfId="1558" xr:uid="{00000000-0005-0000-0000-00005C000000}"/>
    <cellStyle name="Comma 12 8" xfId="1559" xr:uid="{00000000-0005-0000-0000-00005D000000}"/>
    <cellStyle name="Comma 13" xfId="1346" xr:uid="{00000000-0005-0000-0000-00005E000000}"/>
    <cellStyle name="Comma 13 2" xfId="1347" xr:uid="{00000000-0005-0000-0000-00005F000000}"/>
    <cellStyle name="Comma 13 3" xfId="1560" xr:uid="{00000000-0005-0000-0000-000060000000}"/>
    <cellStyle name="Comma 13 3 2" xfId="1561" xr:uid="{00000000-0005-0000-0000-000061000000}"/>
    <cellStyle name="Comma 13 3 2 2" xfId="1562" xr:uid="{00000000-0005-0000-0000-000062000000}"/>
    <cellStyle name="Comma 13 3 2 2 2" xfId="1563" xr:uid="{00000000-0005-0000-0000-000063000000}"/>
    <cellStyle name="Comma 13 3 2 2 3" xfId="3920" xr:uid="{00000000-0005-0000-0000-000064000000}"/>
    <cellStyle name="Comma 13 4" xfId="1564" xr:uid="{00000000-0005-0000-0000-000065000000}"/>
    <cellStyle name="Comma 13 4 2" xfId="1565" xr:uid="{00000000-0005-0000-0000-000066000000}"/>
    <cellStyle name="Comma 13 5" xfId="1566" xr:uid="{00000000-0005-0000-0000-000067000000}"/>
    <cellStyle name="Comma 13 6" xfId="1567" xr:uid="{00000000-0005-0000-0000-000068000000}"/>
    <cellStyle name="Comma 13 6 2" xfId="1568" xr:uid="{00000000-0005-0000-0000-000069000000}"/>
    <cellStyle name="Comma 13 7" xfId="3921" xr:uid="{00000000-0005-0000-0000-00006A000000}"/>
    <cellStyle name="Comma 13 7 2" xfId="3922" xr:uid="{00000000-0005-0000-0000-00006B000000}"/>
    <cellStyle name="Comma 13 7 2 2" xfId="5454" xr:uid="{00000000-0005-0000-0000-00006C000000}"/>
    <cellStyle name="Comma 13 7 3" xfId="5455" xr:uid="{00000000-0005-0000-0000-00006D000000}"/>
    <cellStyle name="Comma 13 8" xfId="5456" xr:uid="{00000000-0005-0000-0000-00006E000000}"/>
    <cellStyle name="Comma 13 9" xfId="5457" xr:uid="{00000000-0005-0000-0000-00006F000000}"/>
    <cellStyle name="Comma 14" xfId="1348" xr:uid="{00000000-0005-0000-0000-000070000000}"/>
    <cellStyle name="Comma 14 2" xfId="5458" xr:uid="{00000000-0005-0000-0000-000071000000}"/>
    <cellStyle name="Comma 15" xfId="1349" xr:uid="{00000000-0005-0000-0000-000072000000}"/>
    <cellStyle name="Comma 15 2" xfId="1350" xr:uid="{00000000-0005-0000-0000-000073000000}"/>
    <cellStyle name="Comma 15 3" xfId="1351" xr:uid="{00000000-0005-0000-0000-000074000000}"/>
    <cellStyle name="Comma 15 4" xfId="1569" xr:uid="{00000000-0005-0000-0000-000075000000}"/>
    <cellStyle name="Comma 15 4 2" xfId="1570" xr:uid="{00000000-0005-0000-0000-000076000000}"/>
    <cellStyle name="Comma 15 5" xfId="1571" xr:uid="{00000000-0005-0000-0000-000077000000}"/>
    <cellStyle name="Comma 16" xfId="1352" xr:uid="{00000000-0005-0000-0000-000078000000}"/>
    <cellStyle name="Comma 17" xfId="3897" xr:uid="{00000000-0005-0000-0000-000079000000}"/>
    <cellStyle name="Comma 17 2" xfId="4248" xr:uid="{00000000-0005-0000-0000-00007A000000}"/>
    <cellStyle name="Comma 17 2 2" xfId="4450" xr:uid="{00000000-0005-0000-0000-00007B000000}"/>
    <cellStyle name="Comma 17 2 2 2" xfId="5459" xr:uid="{00000000-0005-0000-0000-00007C000000}"/>
    <cellStyle name="Comma 18" xfId="4245" xr:uid="{00000000-0005-0000-0000-00007D000000}"/>
    <cellStyle name="Comma 18 2" xfId="5460" xr:uid="{00000000-0005-0000-0000-00007E000000}"/>
    <cellStyle name="Comma 18 3" xfId="5728" xr:uid="{00000000-0005-0000-0000-00007F000000}"/>
    <cellStyle name="Comma 19" xfId="5461" xr:uid="{00000000-0005-0000-0000-000080000000}"/>
    <cellStyle name="Comma 2" xfId="4" xr:uid="{00000000-0005-0000-0000-000081000000}"/>
    <cellStyle name="Comma 2 2" xfId="5" xr:uid="{00000000-0005-0000-0000-000082000000}"/>
    <cellStyle name="Comma 2 2 2" xfId="1353" xr:uid="{00000000-0005-0000-0000-000083000000}"/>
    <cellStyle name="Comma 2 2 2 2" xfId="1354" xr:uid="{00000000-0005-0000-0000-000084000000}"/>
    <cellStyle name="Comma 2 2 2 2 2" xfId="1355" xr:uid="{00000000-0005-0000-0000-000085000000}"/>
    <cellStyle name="Comma 2 2 2 2 3" xfId="1356" xr:uid="{00000000-0005-0000-0000-000086000000}"/>
    <cellStyle name="Comma 2 2 2 2 3 10" xfId="5462" xr:uid="{00000000-0005-0000-0000-000087000000}"/>
    <cellStyle name="Comma 2 2 2 2 3 2" xfId="1357" xr:uid="{00000000-0005-0000-0000-000088000000}"/>
    <cellStyle name="Comma 2 2 2 2 3 3" xfId="1572" xr:uid="{00000000-0005-0000-0000-000089000000}"/>
    <cellStyle name="Comma 2 2 2 2 3 3 2" xfId="1573" xr:uid="{00000000-0005-0000-0000-00008A000000}"/>
    <cellStyle name="Comma 2 2 2 2 3 3 2 2" xfId="1574" xr:uid="{00000000-0005-0000-0000-00008B000000}"/>
    <cellStyle name="Comma 2 2 2 2 3 3 2 3" xfId="1575" xr:uid="{00000000-0005-0000-0000-00008C000000}"/>
    <cellStyle name="Comma 2 2 2 2 3 4" xfId="1576" xr:uid="{00000000-0005-0000-0000-00008D000000}"/>
    <cellStyle name="Comma 2 2 2 2 3 4 2" xfId="1577" xr:uid="{00000000-0005-0000-0000-00008E000000}"/>
    <cellStyle name="Comma 2 2 2 2 3 5" xfId="1578" xr:uid="{00000000-0005-0000-0000-00008F000000}"/>
    <cellStyle name="Comma 2 2 2 2 3 6" xfId="1579" xr:uid="{00000000-0005-0000-0000-000090000000}"/>
    <cellStyle name="Comma 2 2 2 2 3 6 2" xfId="1580" xr:uid="{00000000-0005-0000-0000-000091000000}"/>
    <cellStyle name="Comma 2 2 2 2 3 6 2 2" xfId="1581" xr:uid="{00000000-0005-0000-0000-000092000000}"/>
    <cellStyle name="Comma 2 2 2 2 3 6 3" xfId="3923" xr:uid="{00000000-0005-0000-0000-000093000000}"/>
    <cellStyle name="Comma 2 2 2 2 3 6 3 2" xfId="5463" xr:uid="{00000000-0005-0000-0000-000094000000}"/>
    <cellStyle name="Comma 2 2 2 2 3 7" xfId="1582" xr:uid="{00000000-0005-0000-0000-000095000000}"/>
    <cellStyle name="Comma 2 2 2 2 3 7 2" xfId="1583" xr:uid="{00000000-0005-0000-0000-000096000000}"/>
    <cellStyle name="Comma 2 2 2 2 3 8" xfId="3924" xr:uid="{00000000-0005-0000-0000-000097000000}"/>
    <cellStyle name="Comma 2 2 2 2 3 8 2" xfId="3925" xr:uid="{00000000-0005-0000-0000-000098000000}"/>
    <cellStyle name="Comma 2 2 2 2 3 8 2 2" xfId="5464" xr:uid="{00000000-0005-0000-0000-000099000000}"/>
    <cellStyle name="Comma 2 2 2 2 3 8 3" xfId="5465" xr:uid="{00000000-0005-0000-0000-00009A000000}"/>
    <cellStyle name="Comma 2 2 2 2 3 9" xfId="5466" xr:uid="{00000000-0005-0000-0000-00009B000000}"/>
    <cellStyle name="Comma 2 2 2 2 4" xfId="1358" xr:uid="{00000000-0005-0000-0000-00009C000000}"/>
    <cellStyle name="Comma 2 2 2 2 4 2" xfId="1584" xr:uid="{00000000-0005-0000-0000-00009D000000}"/>
    <cellStyle name="Comma 2 2 2 2 4 2 2" xfId="1585" xr:uid="{00000000-0005-0000-0000-00009E000000}"/>
    <cellStyle name="Comma 2 2 2 2 4 2 2 2" xfId="1586" xr:uid="{00000000-0005-0000-0000-00009F000000}"/>
    <cellStyle name="Comma 2 2 2 2 4 2 2 2 2" xfId="1587" xr:uid="{00000000-0005-0000-0000-0000A0000000}"/>
    <cellStyle name="Comma 2 2 2 2 5" xfId="1359" xr:uid="{00000000-0005-0000-0000-0000A1000000}"/>
    <cellStyle name="Comma 2 2 2 2 5 2" xfId="1360" xr:uid="{00000000-0005-0000-0000-0000A2000000}"/>
    <cellStyle name="Comma 2 2 2 2 5 2 2" xfId="1588" xr:uid="{00000000-0005-0000-0000-0000A3000000}"/>
    <cellStyle name="Comma 2 2 2 2 5 2 3" xfId="1589" xr:uid="{00000000-0005-0000-0000-0000A4000000}"/>
    <cellStyle name="Comma 2 2 2 2 5 2 4" xfId="3926" xr:uid="{00000000-0005-0000-0000-0000A5000000}"/>
    <cellStyle name="Comma 2 2 2 2 5 2 4 2" xfId="5467" xr:uid="{00000000-0005-0000-0000-0000A6000000}"/>
    <cellStyle name="Comma 2 2 2 2 5 3" xfId="1361" xr:uid="{00000000-0005-0000-0000-0000A7000000}"/>
    <cellStyle name="Comma 2 2 2 2 5 4" xfId="1590" xr:uid="{00000000-0005-0000-0000-0000A8000000}"/>
    <cellStyle name="Comma 2 2 2 2 5 5" xfId="1591" xr:uid="{00000000-0005-0000-0000-0000A9000000}"/>
    <cellStyle name="Comma 2 2 2 3" xfId="1362" xr:uid="{00000000-0005-0000-0000-0000AA000000}"/>
    <cellStyle name="Comma 2 2 2 3 2" xfId="1363" xr:uid="{00000000-0005-0000-0000-0000AB000000}"/>
    <cellStyle name="Comma 2 2 2 3 2 2" xfId="1592" xr:uid="{00000000-0005-0000-0000-0000AC000000}"/>
    <cellStyle name="Comma 2 2 2 3 2 3" xfId="1593" xr:uid="{00000000-0005-0000-0000-0000AD000000}"/>
    <cellStyle name="Comma 2 2 2 3 3" xfId="1364" xr:uid="{00000000-0005-0000-0000-0000AE000000}"/>
    <cellStyle name="Comma 2 2 2 3 3 2" xfId="1594" xr:uid="{00000000-0005-0000-0000-0000AF000000}"/>
    <cellStyle name="Comma 2 2 2 3 3 3" xfId="1595" xr:uid="{00000000-0005-0000-0000-0000B0000000}"/>
    <cellStyle name="Comma 2 2 2 3 3 4" xfId="3927" xr:uid="{00000000-0005-0000-0000-0000B1000000}"/>
    <cellStyle name="Comma 2 2 2 3 3 4 2" xfId="5468" xr:uid="{00000000-0005-0000-0000-0000B2000000}"/>
    <cellStyle name="Comma 2 2 2 3 4" xfId="1596" xr:uid="{00000000-0005-0000-0000-0000B3000000}"/>
    <cellStyle name="Comma 2 2 2 3 5" xfId="1597" xr:uid="{00000000-0005-0000-0000-0000B4000000}"/>
    <cellStyle name="Comma 2 2 2 4" xfId="1365" xr:uid="{00000000-0005-0000-0000-0000B5000000}"/>
    <cellStyle name="Comma 2 2 2 4 2" xfId="5469" xr:uid="{00000000-0005-0000-0000-0000B6000000}"/>
    <cellStyle name="Comma 2 2 3" xfId="1366" xr:uid="{00000000-0005-0000-0000-0000B7000000}"/>
    <cellStyle name="Comma 2 2 3 2" xfId="1367" xr:uid="{00000000-0005-0000-0000-0000B8000000}"/>
    <cellStyle name="Comma 2 2 3 2 2" xfId="1368" xr:uid="{00000000-0005-0000-0000-0000B9000000}"/>
    <cellStyle name="Comma 2 2 3 2 2 2" xfId="1369" xr:uid="{00000000-0005-0000-0000-0000BA000000}"/>
    <cellStyle name="Comma 2 2 3 2 2 3" xfId="1370" xr:uid="{00000000-0005-0000-0000-0000BB000000}"/>
    <cellStyle name="Comma 2 2 3 2 2 3 2" xfId="1598" xr:uid="{00000000-0005-0000-0000-0000BC000000}"/>
    <cellStyle name="Comma 2 2 3 2 2 3 2 2" xfId="1599" xr:uid="{00000000-0005-0000-0000-0000BD000000}"/>
    <cellStyle name="Comma 2 2 3 2 2 3 3" xfId="3928" xr:uid="{00000000-0005-0000-0000-0000BE000000}"/>
    <cellStyle name="Comma 2 2 3 2 2 3 3 2" xfId="5470" xr:uid="{00000000-0005-0000-0000-0000BF000000}"/>
    <cellStyle name="Comma 2 2 3 2 2 4" xfId="1600" xr:uid="{00000000-0005-0000-0000-0000C0000000}"/>
    <cellStyle name="Comma 2 2 3 2 2 5" xfId="1601" xr:uid="{00000000-0005-0000-0000-0000C1000000}"/>
    <cellStyle name="Comma 2 2 3 2 2 6" xfId="1602" xr:uid="{00000000-0005-0000-0000-0000C2000000}"/>
    <cellStyle name="Comma 2 2 3 2 2 6 2" xfId="1603" xr:uid="{00000000-0005-0000-0000-0000C3000000}"/>
    <cellStyle name="Comma 2 2 3 2 2 7" xfId="3929" xr:uid="{00000000-0005-0000-0000-0000C4000000}"/>
    <cellStyle name="Comma 2 2 3 2 2 8" xfId="5471" xr:uid="{00000000-0005-0000-0000-0000C5000000}"/>
    <cellStyle name="Comma 2 3" xfId="5930" xr:uid="{27563E7B-A974-0A46-8EAC-BE538274C08D}"/>
    <cellStyle name="Comma 20" xfId="5472" xr:uid="{00000000-0005-0000-0000-0000C6000000}"/>
    <cellStyle name="Comma 21" xfId="5473" xr:uid="{00000000-0005-0000-0000-0000C7000000}"/>
    <cellStyle name="Comma 22" xfId="5725" xr:uid="{00000000-0005-0000-0000-0000C8000000}"/>
    <cellStyle name="Comma 3" xfId="6" xr:uid="{00000000-0005-0000-0000-0000C9000000}"/>
    <cellStyle name="Comma 4" xfId="1332" xr:uid="{00000000-0005-0000-0000-0000CA000000}"/>
    <cellStyle name="Comma 4 2" xfId="1371" xr:uid="{00000000-0005-0000-0000-0000CB000000}"/>
    <cellStyle name="Comma 4 2 2" xfId="1372" xr:uid="{00000000-0005-0000-0000-0000CC000000}"/>
    <cellStyle name="Comma 4 2 2 2" xfId="1373" xr:uid="{00000000-0005-0000-0000-0000CD000000}"/>
    <cellStyle name="Comma 4 2 2 3" xfId="1374" xr:uid="{00000000-0005-0000-0000-0000CE000000}"/>
    <cellStyle name="Comma 4 2 2 4" xfId="1604" xr:uid="{00000000-0005-0000-0000-0000CF000000}"/>
    <cellStyle name="Comma 4 2 2 4 2" xfId="1605" xr:uid="{00000000-0005-0000-0000-0000D0000000}"/>
    <cellStyle name="Comma 4 2 2 4 2 2" xfId="1606" xr:uid="{00000000-0005-0000-0000-0000D1000000}"/>
    <cellStyle name="Comma 4 2 2 4 2 2 2" xfId="1607" xr:uid="{00000000-0005-0000-0000-0000D2000000}"/>
    <cellStyle name="Comma 4 2 2 4 2 2 3" xfId="1608" xr:uid="{00000000-0005-0000-0000-0000D3000000}"/>
    <cellStyle name="Comma 4 2 2 5" xfId="1609" xr:uid="{00000000-0005-0000-0000-0000D4000000}"/>
    <cellStyle name="Comma 4 3" xfId="1375" xr:uid="{00000000-0005-0000-0000-0000D5000000}"/>
    <cellStyle name="Comma 4 3 2" xfId="1376" xr:uid="{00000000-0005-0000-0000-0000D6000000}"/>
    <cellStyle name="Comma 4 4" xfId="1377" xr:uid="{00000000-0005-0000-0000-0000D7000000}"/>
    <cellStyle name="Comma 4 4 2" xfId="1378" xr:uid="{00000000-0005-0000-0000-0000D8000000}"/>
    <cellStyle name="Comma 4 4 3" xfId="1379" xr:uid="{00000000-0005-0000-0000-0000D9000000}"/>
    <cellStyle name="Comma 4 4 4" xfId="1610" xr:uid="{00000000-0005-0000-0000-0000DA000000}"/>
    <cellStyle name="Comma 4 4 4 2" xfId="1611" xr:uid="{00000000-0005-0000-0000-0000DB000000}"/>
    <cellStyle name="Comma 4 4 5" xfId="1612" xr:uid="{00000000-0005-0000-0000-0000DC000000}"/>
    <cellStyle name="Comma 4 5" xfId="1380" xr:uid="{00000000-0005-0000-0000-0000DD000000}"/>
    <cellStyle name="Comma 5" xfId="1381" xr:uid="{00000000-0005-0000-0000-0000DE000000}"/>
    <cellStyle name="Comma 6" xfId="1382" xr:uid="{00000000-0005-0000-0000-0000DF000000}"/>
    <cellStyle name="Comma 6 2" xfId="1383" xr:uid="{00000000-0005-0000-0000-0000E0000000}"/>
    <cellStyle name="Comma 6 2 2" xfId="1384" xr:uid="{00000000-0005-0000-0000-0000E1000000}"/>
    <cellStyle name="Comma 7" xfId="1385" xr:uid="{00000000-0005-0000-0000-0000E2000000}"/>
    <cellStyle name="Comma 7 2" xfId="1386" xr:uid="{00000000-0005-0000-0000-0000E3000000}"/>
    <cellStyle name="Comma 7 2 2" xfId="1387" xr:uid="{00000000-0005-0000-0000-0000E4000000}"/>
    <cellStyle name="Comma 7 2 3" xfId="1388" xr:uid="{00000000-0005-0000-0000-0000E5000000}"/>
    <cellStyle name="Comma 7 2 4" xfId="1613" xr:uid="{00000000-0005-0000-0000-0000E6000000}"/>
    <cellStyle name="Comma 7 2 4 2" xfId="1614" xr:uid="{00000000-0005-0000-0000-0000E7000000}"/>
    <cellStyle name="Comma 7 2 4 2 2" xfId="1615" xr:uid="{00000000-0005-0000-0000-0000E8000000}"/>
    <cellStyle name="Comma 7 2 4 2 2 2" xfId="1616" xr:uid="{00000000-0005-0000-0000-0000E9000000}"/>
    <cellStyle name="Comma 7 2 4 2 2 3" xfId="1617" xr:uid="{00000000-0005-0000-0000-0000EA000000}"/>
    <cellStyle name="Comma 7 2 5" xfId="1618" xr:uid="{00000000-0005-0000-0000-0000EB000000}"/>
    <cellStyle name="Comma 7 3" xfId="1619" xr:uid="{00000000-0005-0000-0000-0000EC000000}"/>
    <cellStyle name="Comma 7 3 2" xfId="1620" xr:uid="{00000000-0005-0000-0000-0000ED000000}"/>
    <cellStyle name="Comma 7 3 3" xfId="1621" xr:uid="{00000000-0005-0000-0000-0000EE000000}"/>
    <cellStyle name="Comma 8" xfId="1389" xr:uid="{00000000-0005-0000-0000-0000EF000000}"/>
    <cellStyle name="Comma 8 2" xfId="1390" xr:uid="{00000000-0005-0000-0000-0000F0000000}"/>
    <cellStyle name="Comma 8 3" xfId="1391" xr:uid="{00000000-0005-0000-0000-0000F1000000}"/>
    <cellStyle name="Comma 8 3 2" xfId="1622" xr:uid="{00000000-0005-0000-0000-0000F2000000}"/>
    <cellStyle name="Comma 8 3 3" xfId="1623" xr:uid="{00000000-0005-0000-0000-0000F3000000}"/>
    <cellStyle name="Comma 8 3 4" xfId="3930" xr:uid="{00000000-0005-0000-0000-0000F4000000}"/>
    <cellStyle name="Comma 8 3 4 2" xfId="5474" xr:uid="{00000000-0005-0000-0000-0000F5000000}"/>
    <cellStyle name="Comma 8 4" xfId="1392" xr:uid="{00000000-0005-0000-0000-0000F6000000}"/>
    <cellStyle name="Comma 8 5" xfId="1624" xr:uid="{00000000-0005-0000-0000-0000F7000000}"/>
    <cellStyle name="Comma 8 6" xfId="1625" xr:uid="{00000000-0005-0000-0000-0000F8000000}"/>
    <cellStyle name="Comma 9" xfId="1075" xr:uid="{00000000-0005-0000-0000-0000F9000000}"/>
    <cellStyle name="Comma 9 2" xfId="1393" xr:uid="{00000000-0005-0000-0000-0000FA000000}"/>
    <cellStyle name="Currency 2" xfId="7" xr:uid="{00000000-0005-0000-0000-0000FB000000}"/>
    <cellStyle name="Currency 3" xfId="1394" xr:uid="{00000000-0005-0000-0000-0000FC000000}"/>
    <cellStyle name="Currency 4" xfId="1395" xr:uid="{00000000-0005-0000-0000-0000FD000000}"/>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1"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34" builtinId="9" hidden="1"/>
    <cellStyle name="Followed Hyperlink" xfId="5736" builtinId="9" hidden="1"/>
    <cellStyle name="Followed Hyperlink" xfId="5737" builtinId="9" hidden="1"/>
    <cellStyle name="Followed Hyperlink" xfId="5738" builtinId="9" hidden="1"/>
    <cellStyle name="Followed Hyperlink" xfId="5739"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768" builtinId="9" hidden="1"/>
    <cellStyle name="Followed Hyperlink" xfId="5769" builtinId="9" hidden="1"/>
    <cellStyle name="Followed Hyperlink" xfId="5770" builtinId="9" hidden="1"/>
    <cellStyle name="Followed Hyperlink" xfId="5771" builtinId="9" hidden="1"/>
    <cellStyle name="Followed Hyperlink" xfId="5772" builtinId="9" hidden="1"/>
    <cellStyle name="Followed Hyperlink" xfId="5773"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801" builtinId="9" hidden="1"/>
    <cellStyle name="Followed Hyperlink" xfId="5802" builtinId="9" hidden="1"/>
    <cellStyle name="Followed Hyperlink" xfId="5803" builtinId="9" hidden="1"/>
    <cellStyle name="Followed Hyperlink" xfId="5804" builtinId="9" hidden="1"/>
    <cellStyle name="Followed Hyperlink" xfId="5805"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32"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38" builtinId="9" hidden="1"/>
    <cellStyle name="Followed Hyperlink" xfId="5839"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867" builtinId="9" hidden="1"/>
    <cellStyle name="Followed Hyperlink" xfId="5868" builtinId="9" hidden="1"/>
    <cellStyle name="Followed Hyperlink" xfId="5869" builtinId="9" hidden="1"/>
    <cellStyle name="Followed Hyperlink" xfId="5870" builtinId="9" hidden="1"/>
    <cellStyle name="Followed Hyperlink" xfId="5871"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header" xfId="8" xr:uid="{00000000-0005-0000-0000-00001D0C0000}"/>
    <cellStyle name="Header Total" xfId="9" xr:uid="{00000000-0005-0000-0000-00001E0C0000}"/>
    <cellStyle name="Header1" xfId="10" xr:uid="{00000000-0005-0000-0000-00001F0C0000}"/>
    <cellStyle name="Header2" xfId="11" xr:uid="{00000000-0005-0000-0000-0000200C0000}"/>
    <cellStyle name="Header3" xfId="12" xr:uid="{00000000-0005-0000-0000-0000210C0000}"/>
    <cellStyle name="Heading 1 2" xfId="1626" xr:uid="{00000000-0005-0000-0000-0000220C0000}"/>
    <cellStyle name="Heading 1 3" xfId="1627" xr:uid="{00000000-0005-0000-0000-0000230C0000}"/>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33" builtinId="8" hidden="1"/>
    <cellStyle name="Hyperlink" xfId="5735" builtinId="8" hidden="1"/>
    <cellStyle name="Normal" xfId="0" builtinId="0"/>
    <cellStyle name="Normal 10" xfId="1396" xr:uid="{00000000-0005-0000-0000-000085160000}"/>
    <cellStyle name="Normal 11" xfId="1397" xr:uid="{00000000-0005-0000-0000-000086160000}"/>
    <cellStyle name="Normal 11 2" xfId="1628" xr:uid="{00000000-0005-0000-0000-000087160000}"/>
    <cellStyle name="Normal 11 3" xfId="1629" xr:uid="{00000000-0005-0000-0000-000088160000}"/>
    <cellStyle name="Normal 11 4" xfId="5475" xr:uid="{00000000-0005-0000-0000-000089160000}"/>
    <cellStyle name="Normal 12" xfId="1630" xr:uid="{00000000-0005-0000-0000-00008A160000}"/>
    <cellStyle name="Normal 13" xfId="3899" xr:uid="{00000000-0005-0000-0000-00008B160000}"/>
    <cellStyle name="Normal 13 2" xfId="5476" xr:uid="{00000000-0005-0000-0000-00008C160000}"/>
    <cellStyle name="Normal 14" xfId="5477" xr:uid="{00000000-0005-0000-0000-00008D160000}"/>
    <cellStyle name="Normal 2" xfId="13" xr:uid="{00000000-0005-0000-0000-00008E160000}"/>
    <cellStyle name="Normal 2 2" xfId="5928" xr:uid="{114777DB-1B4B-7B49-94CD-8DCE925ECA6A}"/>
    <cellStyle name="Normal 2 3" xfId="5929" xr:uid="{9BFF298B-590A-334F-AC33-F3D7D8CE2087}"/>
    <cellStyle name="Normal 3" xfId="1398" xr:uid="{00000000-0005-0000-0000-00008F160000}"/>
    <cellStyle name="Normal 3 2" xfId="5731" xr:uid="{00000000-0005-0000-0000-000090160000}"/>
    <cellStyle name="Normal 4" xfId="1399" xr:uid="{00000000-0005-0000-0000-000091160000}"/>
    <cellStyle name="Normal 4 2" xfId="1631" xr:uid="{00000000-0005-0000-0000-000092160000}"/>
    <cellStyle name="Normal 4 2 2" xfId="1632" xr:uid="{00000000-0005-0000-0000-000093160000}"/>
    <cellStyle name="Normal 4 2 2 2" xfId="1633" xr:uid="{00000000-0005-0000-0000-000094160000}"/>
    <cellStyle name="Normal 4 2 2 2 2" xfId="1634" xr:uid="{00000000-0005-0000-0000-000095160000}"/>
    <cellStyle name="Normal 5" xfId="1400" xr:uid="{00000000-0005-0000-0000-000096160000}"/>
    <cellStyle name="Normal 6" xfId="1401" xr:uid="{00000000-0005-0000-0000-000097160000}"/>
    <cellStyle name="Normal 6 2" xfId="5478" xr:uid="{00000000-0005-0000-0000-000098160000}"/>
    <cellStyle name="Normal 7" xfId="1402" xr:uid="{00000000-0005-0000-0000-000099160000}"/>
    <cellStyle name="Normal 7 2" xfId="1403" xr:uid="{00000000-0005-0000-0000-00009A160000}"/>
    <cellStyle name="Normal 7 2 2" xfId="1635" xr:uid="{00000000-0005-0000-0000-00009B160000}"/>
    <cellStyle name="Normal 7 2 3" xfId="1636" xr:uid="{00000000-0005-0000-0000-00009C160000}"/>
    <cellStyle name="Normal 7 3" xfId="1404" xr:uid="{00000000-0005-0000-0000-00009D160000}"/>
    <cellStyle name="Normal 7 3 2" xfId="1637" xr:uid="{00000000-0005-0000-0000-00009E160000}"/>
    <cellStyle name="Normal 7 3 2 2" xfId="1638" xr:uid="{00000000-0005-0000-0000-00009F160000}"/>
    <cellStyle name="Normal 7 3 3" xfId="3931" xr:uid="{00000000-0005-0000-0000-0000A0160000}"/>
    <cellStyle name="Normal 7 3 3 2" xfId="5479" xr:uid="{00000000-0005-0000-0000-0000A1160000}"/>
    <cellStyle name="Normal 7 4" xfId="1639" xr:uid="{00000000-0005-0000-0000-0000A2160000}"/>
    <cellStyle name="Normal 7 4 2" xfId="1640" xr:uid="{00000000-0005-0000-0000-0000A3160000}"/>
    <cellStyle name="Normal 7 4 2 2" xfId="1641" xr:uid="{00000000-0005-0000-0000-0000A4160000}"/>
    <cellStyle name="Normal 7 4 2 3" xfId="1642" xr:uid="{00000000-0005-0000-0000-0000A5160000}"/>
    <cellStyle name="Normal 7 4 2 3 2" xfId="1643" xr:uid="{00000000-0005-0000-0000-0000A6160000}"/>
    <cellStyle name="Normal 7 5" xfId="1644" xr:uid="{00000000-0005-0000-0000-0000A7160000}"/>
    <cellStyle name="Normal 8" xfId="1405" xr:uid="{00000000-0005-0000-0000-0000A8160000}"/>
    <cellStyle name="Normal 8 2" xfId="1406" xr:uid="{00000000-0005-0000-0000-0000A9160000}"/>
    <cellStyle name="Normal 8 2 2" xfId="1407" xr:uid="{00000000-0005-0000-0000-0000AA160000}"/>
    <cellStyle name="Normal 8 2 2 2" xfId="1645" xr:uid="{00000000-0005-0000-0000-0000AB160000}"/>
    <cellStyle name="Normal 8 2 2 2 2" xfId="1646" xr:uid="{00000000-0005-0000-0000-0000AC160000}"/>
    <cellStyle name="Normal 8 2 2 2 2 2" xfId="1647" xr:uid="{00000000-0005-0000-0000-0000AD160000}"/>
    <cellStyle name="Normal 8 2 2 2 3" xfId="5429" xr:uid="{00000000-0005-0000-0000-0000AE160000}"/>
    <cellStyle name="Normal 8 2 2 3" xfId="3902" xr:uid="{00000000-0005-0000-0000-0000AF160000}"/>
    <cellStyle name="Normal 8 2 2 3 2" xfId="5480" xr:uid="{00000000-0005-0000-0000-0000B0160000}"/>
    <cellStyle name="Normal 8 2 3" xfId="1524" xr:uid="{00000000-0005-0000-0000-0000B1160000}"/>
    <cellStyle name="Normal 8 2 3 2" xfId="1648" xr:uid="{00000000-0005-0000-0000-0000B2160000}"/>
    <cellStyle name="Normal 8 2 3 3" xfId="3932" xr:uid="{00000000-0005-0000-0000-0000B3160000}"/>
    <cellStyle name="Normal 8 2 3 3 2" xfId="5481" xr:uid="{00000000-0005-0000-0000-0000B4160000}"/>
    <cellStyle name="Normal 8 2 3 4" xfId="5927" xr:uid="{B76E3A60-39A1-1942-8002-D4619D53535D}"/>
    <cellStyle name="Normal 8 2 4" xfId="1649" xr:uid="{00000000-0005-0000-0000-0000B5160000}"/>
    <cellStyle name="Normal 8 2 4 2" xfId="1650" xr:uid="{00000000-0005-0000-0000-0000B6160000}"/>
    <cellStyle name="Normal 8 2 5" xfId="1651" xr:uid="{00000000-0005-0000-0000-0000B7160000}"/>
    <cellStyle name="Normal 8 2 5 2" xfId="3933" xr:uid="{00000000-0005-0000-0000-0000B8160000}"/>
    <cellStyle name="Normal 8 2 5 2 2" xfId="5482" xr:uid="{00000000-0005-0000-0000-0000B9160000}"/>
    <cellStyle name="Normal 8 2 5 3" xfId="3934" xr:uid="{00000000-0005-0000-0000-0000BA160000}"/>
    <cellStyle name="Normal 8 2 5 3 2" xfId="5483" xr:uid="{00000000-0005-0000-0000-0000BB160000}"/>
    <cellStyle name="Normal 8 2 6" xfId="3900" xr:uid="{00000000-0005-0000-0000-0000BC160000}"/>
    <cellStyle name="Normal 8 2 6 2" xfId="4251" xr:uid="{00000000-0005-0000-0000-0000BD160000}"/>
    <cellStyle name="Normal 8 2 6 2 2" xfId="4453" xr:uid="{00000000-0005-0000-0000-0000BE160000}"/>
    <cellStyle name="Normal 8 2 6 3" xfId="5484" xr:uid="{00000000-0005-0000-0000-0000BF160000}"/>
    <cellStyle name="Normal 8 2 7" xfId="5426" xr:uid="{00000000-0005-0000-0000-0000C0160000}"/>
    <cellStyle name="Normal 8 2 8" xfId="5732" xr:uid="{00000000-0005-0000-0000-0000C1160000}"/>
    <cellStyle name="Normal 9" xfId="1408" xr:uid="{00000000-0005-0000-0000-0000C2160000}"/>
    <cellStyle name="Normal 9 2" xfId="1409" xr:uid="{00000000-0005-0000-0000-0000C3160000}"/>
    <cellStyle name="Normal 9 3" xfId="1652" xr:uid="{00000000-0005-0000-0000-0000C4160000}"/>
    <cellStyle name="Percent" xfId="2" builtinId="5"/>
    <cellStyle name="Percent 10" xfId="1410" xr:uid="{00000000-0005-0000-0000-0000C6160000}"/>
    <cellStyle name="Percent 10 2" xfId="1411" xr:uid="{00000000-0005-0000-0000-0000C7160000}"/>
    <cellStyle name="Percent 10 3" xfId="5485" xr:uid="{00000000-0005-0000-0000-0000C8160000}"/>
    <cellStyle name="Percent 11" xfId="1412" xr:uid="{00000000-0005-0000-0000-0000C9160000}"/>
    <cellStyle name="Percent 11 2" xfId="1413" xr:uid="{00000000-0005-0000-0000-0000CA160000}"/>
    <cellStyle name="Percent 11 3" xfId="1414" xr:uid="{00000000-0005-0000-0000-0000CB160000}"/>
    <cellStyle name="Percent 11 4" xfId="1653" xr:uid="{00000000-0005-0000-0000-0000CC160000}"/>
    <cellStyle name="Percent 11 4 2" xfId="1654" xr:uid="{00000000-0005-0000-0000-0000CD160000}"/>
    <cellStyle name="Percent 11 4 2 2" xfId="1655" xr:uid="{00000000-0005-0000-0000-0000CE160000}"/>
    <cellStyle name="Percent 11 4 2 3" xfId="1656" xr:uid="{00000000-0005-0000-0000-0000CF160000}"/>
    <cellStyle name="Percent 11 5" xfId="1657" xr:uid="{00000000-0005-0000-0000-0000D0160000}"/>
    <cellStyle name="Percent 12" xfId="1415" xr:uid="{00000000-0005-0000-0000-0000D1160000}"/>
    <cellStyle name="Percent 13" xfId="1416" xr:uid="{00000000-0005-0000-0000-0000D2160000}"/>
    <cellStyle name="Percent 14" xfId="3898" xr:uid="{00000000-0005-0000-0000-0000D3160000}"/>
    <cellStyle name="Percent 14 2" xfId="4249" xr:uid="{00000000-0005-0000-0000-0000D4160000}"/>
    <cellStyle name="Percent 14 2 2" xfId="4451" xr:uid="{00000000-0005-0000-0000-0000D5160000}"/>
    <cellStyle name="Percent 14 2 2 2" xfId="5486" xr:uid="{00000000-0005-0000-0000-0000D6160000}"/>
    <cellStyle name="Percent 15" xfId="3901" xr:uid="{00000000-0005-0000-0000-0000D7160000}"/>
    <cellStyle name="Percent 16" xfId="4246" xr:uid="{00000000-0005-0000-0000-0000D8160000}"/>
    <cellStyle name="Percent 16 2" xfId="5487" xr:uid="{00000000-0005-0000-0000-0000D9160000}"/>
    <cellStyle name="Percent 16 3" xfId="5729" xr:uid="{00000000-0005-0000-0000-0000DA160000}"/>
    <cellStyle name="Percent 17" xfId="5488" xr:uid="{00000000-0005-0000-0000-0000DB160000}"/>
    <cellStyle name="Percent 18" xfId="5489" xr:uid="{00000000-0005-0000-0000-0000DC160000}"/>
    <cellStyle name="Percent 19" xfId="5726" xr:uid="{00000000-0005-0000-0000-0000DD160000}"/>
    <cellStyle name="Percent 2" xfId="14" xr:uid="{00000000-0005-0000-0000-0000DE160000}"/>
    <cellStyle name="Percent 3" xfId="1417" xr:uid="{00000000-0005-0000-0000-0000DF160000}"/>
    <cellStyle name="Percent 3 2" xfId="1418" xr:uid="{00000000-0005-0000-0000-0000E0160000}"/>
    <cellStyle name="Percent 3 3" xfId="1419" xr:uid="{00000000-0005-0000-0000-0000E1160000}"/>
    <cellStyle name="Percent 3 4" xfId="1658" xr:uid="{00000000-0005-0000-0000-0000E2160000}"/>
    <cellStyle name="Percent 3 5" xfId="1659" xr:uid="{00000000-0005-0000-0000-0000E3160000}"/>
    <cellStyle name="Percent 4" xfId="1420" xr:uid="{00000000-0005-0000-0000-0000E4160000}"/>
    <cellStyle name="Percent 5" xfId="1421" xr:uid="{00000000-0005-0000-0000-0000E5160000}"/>
    <cellStyle name="Percent 5 2" xfId="1422" xr:uid="{00000000-0005-0000-0000-0000E6160000}"/>
    <cellStyle name="Percent 5 2 2" xfId="1423" xr:uid="{00000000-0005-0000-0000-0000E7160000}"/>
    <cellStyle name="Percent 5 2 3" xfId="1424" xr:uid="{00000000-0005-0000-0000-0000E8160000}"/>
    <cellStyle name="Percent 5 2 3 2" xfId="1660" xr:uid="{00000000-0005-0000-0000-0000E9160000}"/>
    <cellStyle name="Percent 5 2 3 3" xfId="1661" xr:uid="{00000000-0005-0000-0000-0000EA160000}"/>
    <cellStyle name="Percent 5 2 3 4" xfId="1662" xr:uid="{00000000-0005-0000-0000-0000EB160000}"/>
    <cellStyle name="Percent 5 2 3 5" xfId="1663" xr:uid="{00000000-0005-0000-0000-0000EC160000}"/>
    <cellStyle name="Percent 5 2 3 6" xfId="3903" xr:uid="{00000000-0005-0000-0000-0000ED160000}"/>
    <cellStyle name="Percent 5 2 3 6 2" xfId="4250" xr:uid="{00000000-0005-0000-0000-0000EE160000}"/>
    <cellStyle name="Percent 5 2 3 6 2 2" xfId="4452" xr:uid="{00000000-0005-0000-0000-0000EF160000}"/>
    <cellStyle name="Percent 5 2 3 7" xfId="5428" xr:uid="{00000000-0005-0000-0000-0000F0160000}"/>
    <cellStyle name="Percent 5 2 4" xfId="1425" xr:uid="{00000000-0005-0000-0000-0000F1160000}"/>
    <cellStyle name="Percent 5 2 5" xfId="1664" xr:uid="{00000000-0005-0000-0000-0000F2160000}"/>
    <cellStyle name="Percent 5 2 6" xfId="1665" xr:uid="{00000000-0005-0000-0000-0000F3160000}"/>
    <cellStyle name="Percent 5 3" xfId="1426" xr:uid="{00000000-0005-0000-0000-0000F4160000}"/>
    <cellStyle name="Percent 5 3 2" xfId="1427" xr:uid="{00000000-0005-0000-0000-0000F5160000}"/>
    <cellStyle name="Percent 5 3 2 2" xfId="1666" xr:uid="{00000000-0005-0000-0000-0000F6160000}"/>
    <cellStyle name="Percent 5 3 2 3" xfId="1667" xr:uid="{00000000-0005-0000-0000-0000F7160000}"/>
    <cellStyle name="Percent 5 3 3" xfId="1428" xr:uid="{00000000-0005-0000-0000-0000F8160000}"/>
    <cellStyle name="Percent 5 3 3 2" xfId="1668" xr:uid="{00000000-0005-0000-0000-0000F9160000}"/>
    <cellStyle name="Percent 5 3 3 3" xfId="1669" xr:uid="{00000000-0005-0000-0000-0000FA160000}"/>
    <cellStyle name="Percent 5 3 3 4" xfId="3935" xr:uid="{00000000-0005-0000-0000-0000FB160000}"/>
    <cellStyle name="Percent 5 3 3 4 2" xfId="5490" xr:uid="{00000000-0005-0000-0000-0000FC160000}"/>
    <cellStyle name="Percent 5 3 4" xfId="1670" xr:uid="{00000000-0005-0000-0000-0000FD160000}"/>
    <cellStyle name="Percent 5 3 4 2" xfId="1671" xr:uid="{00000000-0005-0000-0000-0000FE160000}"/>
    <cellStyle name="Percent 5 3 4 2 2" xfId="1672" xr:uid="{00000000-0005-0000-0000-0000FF160000}"/>
    <cellStyle name="Percent 5 3 4 2 3" xfId="1673" xr:uid="{00000000-0005-0000-0000-000000170000}"/>
    <cellStyle name="Percent 5 3 5" xfId="1674" xr:uid="{00000000-0005-0000-0000-000001170000}"/>
    <cellStyle name="Percent 6" xfId="1429" xr:uid="{00000000-0005-0000-0000-000002170000}"/>
    <cellStyle name="Percent 6 2" xfId="1430" xr:uid="{00000000-0005-0000-0000-000003170000}"/>
    <cellStyle name="Percent 6 2 2" xfId="1675" xr:uid="{00000000-0005-0000-0000-000004170000}"/>
    <cellStyle name="Percent 6 2 3" xfId="1676" xr:uid="{00000000-0005-0000-0000-000005170000}"/>
    <cellStyle name="Percent 6 2 4" xfId="3936" xr:uid="{00000000-0005-0000-0000-000006170000}"/>
    <cellStyle name="Percent 6 2 4 2" xfId="5491" xr:uid="{00000000-0005-0000-0000-000007170000}"/>
    <cellStyle name="Percent 6 3" xfId="1431" xr:uid="{00000000-0005-0000-0000-000008170000}"/>
    <cellStyle name="Percent 6 4" xfId="1677" xr:uid="{00000000-0005-0000-0000-000009170000}"/>
    <cellStyle name="Percent 6 5" xfId="1678" xr:uid="{00000000-0005-0000-0000-00000A170000}"/>
    <cellStyle name="Percent 7" xfId="1076" xr:uid="{00000000-0005-0000-0000-00000B170000}"/>
    <cellStyle name="Percent 7 2" xfId="1432" xr:uid="{00000000-0005-0000-0000-00000C170000}"/>
    <cellStyle name="Percent 8" xfId="1433" xr:uid="{00000000-0005-0000-0000-00000D170000}"/>
    <cellStyle name="Percent 8 2" xfId="1434" xr:uid="{00000000-0005-0000-0000-00000E170000}"/>
    <cellStyle name="Percent 8 2 2" xfId="1435" xr:uid="{00000000-0005-0000-0000-00000F170000}"/>
    <cellStyle name="Percent 8 2 2 2" xfId="1679" xr:uid="{00000000-0005-0000-0000-000010170000}"/>
    <cellStyle name="Percent 8 2 2 3" xfId="1680" xr:uid="{00000000-0005-0000-0000-000011170000}"/>
    <cellStyle name="Percent 8 2 2 4" xfId="5492" xr:uid="{00000000-0005-0000-0000-000012170000}"/>
    <cellStyle name="Percent 8 2 3" xfId="1436" xr:uid="{00000000-0005-0000-0000-000013170000}"/>
    <cellStyle name="Percent 8 2 3 2" xfId="1681" xr:uid="{00000000-0005-0000-0000-000014170000}"/>
    <cellStyle name="Percent 8 2 3 3" xfId="1682" xr:uid="{00000000-0005-0000-0000-000015170000}"/>
    <cellStyle name="Percent 8 2 3 4" xfId="3937" xr:uid="{00000000-0005-0000-0000-000016170000}"/>
    <cellStyle name="Percent 8 2 3 4 2" xfId="5493" xr:uid="{00000000-0005-0000-0000-000017170000}"/>
    <cellStyle name="Percent 8 2 4" xfId="1683" xr:uid="{00000000-0005-0000-0000-000018170000}"/>
    <cellStyle name="Percent 8 2 5" xfId="1684" xr:uid="{00000000-0005-0000-0000-000019170000}"/>
    <cellStyle name="Percent 8 2 6" xfId="1685" xr:uid="{00000000-0005-0000-0000-00001A170000}"/>
    <cellStyle name="Percent 9" xfId="1437" xr:uid="{00000000-0005-0000-0000-00001B170000}"/>
    <cellStyle name="Percent 9 2" xfId="1438" xr:uid="{00000000-0005-0000-0000-00001C170000}"/>
    <cellStyle name="Percent 9 3" xfId="1439" xr:uid="{00000000-0005-0000-0000-00001D170000}"/>
    <cellStyle name="Percent 9 3 2" xfId="1686" xr:uid="{00000000-0005-0000-0000-00001E170000}"/>
    <cellStyle name="Percent 9 3 2 2" xfId="1687" xr:uid="{00000000-0005-0000-0000-00001F170000}"/>
    <cellStyle name="Percent 9 3 3" xfId="3938" xr:uid="{00000000-0005-0000-0000-000020170000}"/>
    <cellStyle name="Percent 9 3 3 2" xfId="5494" xr:uid="{00000000-0005-0000-0000-000021170000}"/>
    <cellStyle name="Percent 9 4" xfId="1688" xr:uid="{00000000-0005-0000-0000-000022170000}"/>
    <cellStyle name="Percent 9 4 2" xfId="1689" xr:uid="{00000000-0005-0000-0000-000023170000}"/>
    <cellStyle name="Percent 9 4 2 2" xfId="1690" xr:uid="{00000000-0005-0000-0000-000024170000}"/>
    <cellStyle name="Percent 9 4 2 2 2" xfId="1691" xr:uid="{00000000-0005-0000-0000-000025170000}"/>
    <cellStyle name="Percent 9 5" xfId="1692" xr:uid="{00000000-0005-0000-0000-00002617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'5 - Exit Waterfall'!$B$205</c:f>
              <c:strCache>
                <c:ptCount val="1"/>
                <c:pt idx="0">
                  <c:v> Preferred, C </c:v>
                </c:pt>
              </c:strCache>
            </c:strRef>
          </c:tx>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Waterfall'!$E$205:$K$205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F58-EF49-A926-C71F41249B39}"/>
            </c:ext>
          </c:extLst>
        </c:ser>
        <c:ser>
          <c:idx val="1"/>
          <c:order val="1"/>
          <c:tx>
            <c:strRef>
              <c:f>'5 - Exit Waterfall'!$B$206</c:f>
              <c:strCache>
                <c:ptCount val="1"/>
                <c:pt idx="0">
                  <c:v> Preferred, B </c:v>
                </c:pt>
              </c:strCache>
            </c:strRef>
          </c:tx>
          <c:spPr>
            <a:ln w="25400">
              <a:noFill/>
            </a:ln>
          </c:spPr>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Waterfall'!$E$206:$K$206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F58-EF49-A926-C71F41249B39}"/>
            </c:ext>
          </c:extLst>
        </c:ser>
        <c:ser>
          <c:idx val="2"/>
          <c:order val="2"/>
          <c:tx>
            <c:strRef>
              <c:f>'5 - Exit Waterfall'!$B$207</c:f>
              <c:strCache>
                <c:ptCount val="1"/>
                <c:pt idx="0">
                  <c:v> Preferred, A </c:v>
                </c:pt>
              </c:strCache>
            </c:strRef>
          </c:tx>
          <c:spPr>
            <a:ln w="25400">
              <a:noFill/>
            </a:ln>
          </c:spPr>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Waterfall'!$E$207:$K$207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F58-EF49-A926-C71F41249B39}"/>
            </c:ext>
          </c:extLst>
        </c:ser>
        <c:ser>
          <c:idx val="3"/>
          <c:order val="3"/>
          <c:tx>
            <c:strRef>
              <c:f>'5 - Exit Waterfall'!$B$208</c:f>
              <c:strCache>
                <c:ptCount val="1"/>
                <c:pt idx="0">
                  <c:v> Preferred, Seed </c:v>
                </c:pt>
              </c:strCache>
            </c:strRef>
          </c:tx>
          <c:spPr>
            <a:ln w="25400">
              <a:noFill/>
            </a:ln>
          </c:spPr>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Waterfall'!$E$208:$K$208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F58-EF49-A926-C71F41249B39}"/>
            </c:ext>
          </c:extLst>
        </c:ser>
        <c:ser>
          <c:idx val="4"/>
          <c:order val="4"/>
          <c:tx>
            <c:strRef>
              <c:f>'5 - Exit Waterfall'!$B$209</c:f>
              <c:strCache>
                <c:ptCount val="1"/>
                <c:pt idx="0">
                  <c:v> Common (including Options) </c:v>
                </c:pt>
              </c:strCache>
            </c:strRef>
          </c:tx>
          <c:spPr>
            <a:ln w="25400">
              <a:noFill/>
            </a:ln>
          </c:spPr>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Waterfall'!$E$209:$K$209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7F58-EF49-A926-C71F41249B39}"/>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'5 - Exit Waterfall'!$B$205</c:f>
              <c:strCache>
                <c:ptCount val="1"/>
                <c:pt idx="0">
                  <c:v> Preferred, C </c:v>
                </c:pt>
              </c:strCache>
            </c:strRef>
          </c:tx>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Waterfall'!$E$205:$K$205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829-3340-869E-1BD4C93041A9}"/>
            </c:ext>
          </c:extLst>
        </c:ser>
        <c:ser>
          <c:idx val="1"/>
          <c:order val="1"/>
          <c:tx>
            <c:strRef>
              <c:f>'5 - Exit Waterfall'!$B$206</c:f>
              <c:strCache>
                <c:ptCount val="1"/>
                <c:pt idx="0">
                  <c:v> Preferred, B </c:v>
                </c:pt>
              </c:strCache>
            </c:strRef>
          </c:tx>
          <c:spPr>
            <a:ln w="25400">
              <a:noFill/>
            </a:ln>
          </c:spPr>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Waterfall'!$E$206:$K$206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A829-3340-869E-1BD4C93041A9}"/>
            </c:ext>
          </c:extLst>
        </c:ser>
        <c:ser>
          <c:idx val="2"/>
          <c:order val="2"/>
          <c:tx>
            <c:strRef>
              <c:f>'5 - Exit Waterfall'!$B$207</c:f>
              <c:strCache>
                <c:ptCount val="1"/>
                <c:pt idx="0">
                  <c:v> Preferred, A </c:v>
                </c:pt>
              </c:strCache>
            </c:strRef>
          </c:tx>
          <c:spPr>
            <a:ln w="25400">
              <a:noFill/>
            </a:ln>
          </c:spPr>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Waterfall'!$E$207:$K$207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A829-3340-869E-1BD4C93041A9}"/>
            </c:ext>
          </c:extLst>
        </c:ser>
        <c:ser>
          <c:idx val="3"/>
          <c:order val="3"/>
          <c:tx>
            <c:strRef>
              <c:f>'5 - Exit Waterfall'!$B$208</c:f>
              <c:strCache>
                <c:ptCount val="1"/>
                <c:pt idx="0">
                  <c:v> Preferred, Seed </c:v>
                </c:pt>
              </c:strCache>
            </c:strRef>
          </c:tx>
          <c:spPr>
            <a:ln w="25400">
              <a:noFill/>
            </a:ln>
          </c:spPr>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Waterfall'!$E$208:$K$208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A829-3340-869E-1BD4C93041A9}"/>
            </c:ext>
          </c:extLst>
        </c:ser>
        <c:ser>
          <c:idx val="4"/>
          <c:order val="4"/>
          <c:tx>
            <c:strRef>
              <c:f>'5 - Exit Waterfall'!$B$209</c:f>
              <c:strCache>
                <c:ptCount val="1"/>
                <c:pt idx="0">
                  <c:v> Common (including Options) </c:v>
                </c:pt>
              </c:strCache>
            </c:strRef>
          </c:tx>
          <c:spPr>
            <a:ln w="25400">
              <a:noFill/>
            </a:ln>
          </c:spPr>
          <c:cat>
            <c:numRef>
              <c:f>'5 - 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'5 - Exit Waterfall'!$E$209:$K$209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A829-3340-869E-1BD4C93041A9}"/>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311150</xdr:colOff>
      <xdr:row>265</xdr:row>
      <xdr:rowOff>76200</xdr:rowOff>
    </xdr:from>
    <xdr:to>
      <xdr:col>10</xdr:col>
      <xdr:colOff>1206500</xdr:colOff>
      <xdr:row>291</xdr:row>
      <xdr:rowOff>127000</xdr:rowOff>
    </xdr:to>
    <xdr:graphicFrame macro="">
      <xdr:nvGraphicFramePr>
        <xdr:cNvPr id="2" name="Chart 1">
          <a:extLst>
            <a:ext uri="{FF2B5EF4-FFF2-40B4-BE49-F238E27FC236}">
              <a16:creationId xmlns:a16="http://schemas.microsoft.com/office/drawing/2014/main" id="{1A77E364-707F-B841-AE2A-4B8CC7800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294</xdr:row>
      <xdr:rowOff>12700</xdr:rowOff>
    </xdr:from>
    <xdr:to>
      <xdr:col>11</xdr:col>
      <xdr:colOff>0</xdr:colOff>
      <xdr:row>324</xdr:row>
      <xdr:rowOff>139700</xdr:rowOff>
    </xdr:to>
    <xdr:graphicFrame macro="">
      <xdr:nvGraphicFramePr>
        <xdr:cNvPr id="3" name="Chart 2">
          <a:extLst>
            <a:ext uri="{FF2B5EF4-FFF2-40B4-BE49-F238E27FC236}">
              <a16:creationId xmlns:a16="http://schemas.microsoft.com/office/drawing/2014/main" id="{F6438B95-E796-634A-8494-D781D7084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1181100</xdr:colOff>
      <xdr:row>40</xdr:row>
      <xdr:rowOff>114300</xdr:rowOff>
    </xdr:from>
    <xdr:to>
      <xdr:col>4</xdr:col>
      <xdr:colOff>254000</xdr:colOff>
      <xdr:row>40</xdr:row>
      <xdr:rowOff>114300</xdr:rowOff>
    </xdr:to>
    <xdr:cxnSp macro="">
      <xdr:nvCxnSpPr>
        <xdr:cNvPr id="7" name="Straight Connector 6">
          <a:extLst>
            <a:ext uri="{FF2B5EF4-FFF2-40B4-BE49-F238E27FC236}">
              <a16:creationId xmlns:a16="http://schemas.microsoft.com/office/drawing/2014/main" id="{00000000-0008-0000-1200-000007000000}"/>
            </a:ext>
          </a:extLst>
        </xdr:cNvPr>
        <xdr:cNvCxnSpPr/>
      </xdr:nvCxnSpPr>
      <xdr:spPr>
        <a:xfrm>
          <a:off x="61976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1181100</xdr:colOff>
      <xdr:row>40</xdr:row>
      <xdr:rowOff>114300</xdr:rowOff>
    </xdr:from>
    <xdr:to>
      <xdr:col>5</xdr:col>
      <xdr:colOff>254000</xdr:colOff>
      <xdr:row>40</xdr:row>
      <xdr:rowOff>114300</xdr:rowOff>
    </xdr:to>
    <xdr:cxnSp macro="">
      <xdr:nvCxnSpPr>
        <xdr:cNvPr id="10" name="Straight Connector 9">
          <a:extLst>
            <a:ext uri="{FF2B5EF4-FFF2-40B4-BE49-F238E27FC236}">
              <a16:creationId xmlns:a16="http://schemas.microsoft.com/office/drawing/2014/main" id="{00000000-0008-0000-1200-00000A000000}"/>
            </a:ext>
          </a:extLst>
        </xdr:cNvPr>
        <xdr:cNvCxnSpPr/>
      </xdr:nvCxnSpPr>
      <xdr:spPr>
        <a:xfrm>
          <a:off x="75692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1168400</xdr:colOff>
      <xdr:row>40</xdr:row>
      <xdr:rowOff>101600</xdr:rowOff>
    </xdr:from>
    <xdr:to>
      <xdr:col>6</xdr:col>
      <xdr:colOff>241300</xdr:colOff>
      <xdr:row>40</xdr:row>
      <xdr:rowOff>101600</xdr:rowOff>
    </xdr:to>
    <xdr:cxnSp macro="">
      <xdr:nvCxnSpPr>
        <xdr:cNvPr id="11" name="Straight Connector 10">
          <a:extLst>
            <a:ext uri="{FF2B5EF4-FFF2-40B4-BE49-F238E27FC236}">
              <a16:creationId xmlns:a16="http://schemas.microsoft.com/office/drawing/2014/main" id="{00000000-0008-0000-1200-00000B000000}"/>
            </a:ext>
          </a:extLst>
        </xdr:cNvPr>
        <xdr:cNvCxnSpPr/>
      </xdr:nvCxnSpPr>
      <xdr:spPr>
        <a:xfrm>
          <a:off x="89281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1181100</xdr:colOff>
      <xdr:row>40</xdr:row>
      <xdr:rowOff>114300</xdr:rowOff>
    </xdr:from>
    <xdr:to>
      <xdr:col>7</xdr:col>
      <xdr:colOff>241300</xdr:colOff>
      <xdr:row>40</xdr:row>
      <xdr:rowOff>114300</xdr:rowOff>
    </xdr:to>
    <xdr:cxnSp macro="">
      <xdr:nvCxnSpPr>
        <xdr:cNvPr id="12" name="Straight Connector 11">
          <a:extLst>
            <a:ext uri="{FF2B5EF4-FFF2-40B4-BE49-F238E27FC236}">
              <a16:creationId xmlns:a16="http://schemas.microsoft.com/office/drawing/2014/main" id="{00000000-0008-0000-1200-00000C000000}"/>
            </a:ext>
          </a:extLst>
        </xdr:cNvPr>
        <xdr:cNvCxnSpPr/>
      </xdr:nvCxnSpPr>
      <xdr:spPr>
        <a:xfrm>
          <a:off x="103124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1193800</xdr:colOff>
      <xdr:row>40</xdr:row>
      <xdr:rowOff>101600</xdr:rowOff>
    </xdr:from>
    <xdr:to>
      <xdr:col>8</xdr:col>
      <xdr:colOff>254000</xdr:colOff>
      <xdr:row>40</xdr:row>
      <xdr:rowOff>101600</xdr:rowOff>
    </xdr:to>
    <xdr:cxnSp macro="">
      <xdr:nvCxnSpPr>
        <xdr:cNvPr id="13" name="Straight Connector 12">
          <a:extLst>
            <a:ext uri="{FF2B5EF4-FFF2-40B4-BE49-F238E27FC236}">
              <a16:creationId xmlns:a16="http://schemas.microsoft.com/office/drawing/2014/main" id="{00000000-0008-0000-1200-00000D000000}"/>
            </a:ext>
          </a:extLst>
        </xdr:cNvPr>
        <xdr:cNvCxnSpPr/>
      </xdr:nvCxnSpPr>
      <xdr:spPr>
        <a:xfrm>
          <a:off x="117094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381000</xdr:colOff>
      <xdr:row>39</xdr:row>
      <xdr:rowOff>38100</xdr:rowOff>
    </xdr:from>
    <xdr:to>
      <xdr:col>8</xdr:col>
      <xdr:colOff>1244600</xdr:colOff>
      <xdr:row>48</xdr:row>
      <xdr:rowOff>152400</xdr:rowOff>
    </xdr:to>
    <xdr:sp macro="" textlink="">
      <xdr:nvSpPr>
        <xdr:cNvPr id="2" name="Rectangle 1">
          <a:extLst>
            <a:ext uri="{FF2B5EF4-FFF2-40B4-BE49-F238E27FC236}">
              <a16:creationId xmlns:a16="http://schemas.microsoft.com/office/drawing/2014/main" id="{00000000-0008-0000-1200-000002000000}"/>
            </a:ext>
          </a:extLst>
        </xdr:cNvPr>
        <xdr:cNvSpPr/>
      </xdr:nvSpPr>
      <xdr:spPr>
        <a:xfrm>
          <a:off x="5003800" y="8458200"/>
          <a:ext cx="8140700" cy="2057400"/>
        </a:xfrm>
        <a:prstGeom prst="rect">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xit%20Waterfall%20Distribution%20by%20Foresigh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License"/>
      <sheetName val="Exit Waterfall"/>
      <sheetName val="Changelog"/>
    </sheetNames>
    <sheetDataSet>
      <sheetData sheetId="0"/>
      <sheetData sheetId="1"/>
      <sheetData sheetId="2">
        <row r="91">
          <cell r="E91">
            <v>6250</v>
          </cell>
          <cell r="F91">
            <v>12500</v>
          </cell>
          <cell r="G91">
            <v>25000</v>
          </cell>
          <cell r="H91">
            <v>50000</v>
          </cell>
          <cell r="I91">
            <v>75000</v>
          </cell>
          <cell r="J91">
            <v>112500</v>
          </cell>
          <cell r="K91">
            <v>168750</v>
          </cell>
        </row>
        <row r="205">
          <cell r="B205" t="str">
            <v>Preferred, C</v>
          </cell>
          <cell r="E205">
            <v>0</v>
          </cell>
          <cell r="F205">
            <v>0</v>
          </cell>
          <cell r="G205">
            <v>0</v>
          </cell>
          <cell r="H205">
            <v>0</v>
          </cell>
          <cell r="I205">
            <v>0</v>
          </cell>
          <cell r="J205">
            <v>0</v>
          </cell>
          <cell r="K205">
            <v>0</v>
          </cell>
        </row>
        <row r="206">
          <cell r="B206" t="str">
            <v>Preferred, B</v>
          </cell>
          <cell r="E206">
            <v>0</v>
          </cell>
          <cell r="F206">
            <v>0</v>
          </cell>
          <cell r="G206">
            <v>0</v>
          </cell>
          <cell r="H206">
            <v>0</v>
          </cell>
          <cell r="I206">
            <v>0</v>
          </cell>
          <cell r="J206">
            <v>0</v>
          </cell>
          <cell r="K206">
            <v>0</v>
          </cell>
        </row>
        <row r="207">
          <cell r="B207" t="str">
            <v>Preferred, A</v>
          </cell>
          <cell r="E207">
            <v>0</v>
          </cell>
          <cell r="F207">
            <v>0</v>
          </cell>
          <cell r="G207">
            <v>0</v>
          </cell>
          <cell r="H207">
            <v>0</v>
          </cell>
          <cell r="I207">
            <v>0</v>
          </cell>
          <cell r="J207">
            <v>0</v>
          </cell>
          <cell r="K207">
            <v>0</v>
          </cell>
        </row>
        <row r="208">
          <cell r="B208" t="str">
            <v>Preferred, Seed</v>
          </cell>
          <cell r="E208">
            <v>0</v>
          </cell>
          <cell r="F208">
            <v>0</v>
          </cell>
          <cell r="G208">
            <v>0</v>
          </cell>
          <cell r="H208">
            <v>0</v>
          </cell>
          <cell r="I208">
            <v>0</v>
          </cell>
          <cell r="J208">
            <v>0</v>
          </cell>
          <cell r="K208">
            <v>0</v>
          </cell>
        </row>
        <row r="209">
          <cell r="B209" t="str">
            <v>Common (including Options)</v>
          </cell>
          <cell r="E209">
            <v>0</v>
          </cell>
          <cell r="F209">
            <v>0</v>
          </cell>
          <cell r="G209">
            <v>0</v>
          </cell>
          <cell r="H209">
            <v>0</v>
          </cell>
          <cell r="I209">
            <v>0</v>
          </cell>
          <cell r="J209">
            <v>0</v>
          </cell>
          <cell r="K209">
            <v>0</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4B0D-E8FE-5A47-B915-70D24F679DC7}">
  <sheetPr>
    <pageSetUpPr fitToPage="1"/>
  </sheetPr>
  <dimension ref="B2:D47"/>
  <sheetViews>
    <sheetView showGridLines="0" tabSelected="1" workbookViewId="0">
      <selection activeCell="B1" sqref="B1"/>
    </sheetView>
  </sheetViews>
  <sheetFormatPr baseColWidth="10" defaultColWidth="9" defaultRowHeight="20"/>
  <cols>
    <col min="1" max="1" width="6.33203125" style="220" customWidth="1"/>
    <col min="2" max="2" width="79" style="220" customWidth="1"/>
    <col min="3" max="3" width="15.5" style="220" customWidth="1"/>
    <col min="4" max="4" width="87" style="220" customWidth="1"/>
    <col min="5" max="16384" width="9" style="220"/>
  </cols>
  <sheetData>
    <row r="2" spans="2:4">
      <c r="B2" s="219" t="str">
        <f>UPPER(B42)&amp;" "&amp;UPPER(B43)&amp;" "&amp;UPPER(B44)&amp;" "&amp;IF(ISBLANK(B45),""," FOR "&amp;UPPER(B45))</f>
        <v xml:space="preserve">CAP TABLE TOOL </v>
      </c>
      <c r="C2" s="219"/>
    </row>
    <row r="3" spans="2:4">
      <c r="B3" s="221"/>
      <c r="C3" s="221"/>
    </row>
    <row r="4" spans="2:4" ht="21">
      <c r="B4" s="222" t="s">
        <v>0</v>
      </c>
      <c r="C4" s="222"/>
    </row>
    <row r="5" spans="2:4" ht="21">
      <c r="B5" s="222" t="str">
        <f>"See more models at "&amp;"https://"&amp;B46</f>
        <v>See more models at https://foresight.is</v>
      </c>
      <c r="C5" s="222"/>
    </row>
    <row r="6" spans="2:4" ht="21">
      <c r="B6" s="222" t="str">
        <f>B47&amp;"@"&amp;B46&amp;" - @tdavidson"</f>
        <v>hello@foresight.is - @tdavidson</v>
      </c>
      <c r="C6" s="222"/>
    </row>
    <row r="7" spans="2:4" ht="21">
      <c r="B7" s="223" t="str">
        <f>"Questions, comments, ideas, email "&amp;B47&amp;"@"&amp;B46</f>
        <v>Questions, comments, ideas, email hello@foresight.is</v>
      </c>
      <c r="C7" s="223"/>
    </row>
    <row r="8" spans="2:4" ht="21">
      <c r="B8" s="224" t="s">
        <v>325</v>
      </c>
      <c r="C8" s="224"/>
    </row>
    <row r="10" spans="2:4" ht="22" customHeight="1"/>
    <row r="11" spans="2:4" ht="22" customHeight="1">
      <c r="B11" s="225" t="s">
        <v>326</v>
      </c>
      <c r="D11" s="226" t="s">
        <v>327</v>
      </c>
    </row>
    <row r="12" spans="2:4" ht="22" customHeight="1">
      <c r="B12" s="227" t="str">
        <f>"License at https://"&amp;B46&amp;"/license"</f>
        <v>License at https://foresight.is/license</v>
      </c>
      <c r="D12" s="228" t="s">
        <v>328</v>
      </c>
    </row>
    <row r="13" spans="2:4" ht="22" customHeight="1">
      <c r="B13" s="223" t="s">
        <v>329</v>
      </c>
      <c r="D13" s="228" t="str">
        <f>"Get updates at https://"&amp;B46&amp;"/"&amp;B42&amp;"-"&amp;B43&amp;IF(B42&lt;&gt;"cap","-"&amp;B44,"")</f>
        <v>Get updates at https://foresight.is/cap-table</v>
      </c>
    </row>
    <row r="14" spans="2:4">
      <c r="B14" s="214" t="s">
        <v>523</v>
      </c>
      <c r="C14" s="222"/>
    </row>
    <row r="15" spans="2:4">
      <c r="B15" s="222"/>
      <c r="C15" s="222"/>
    </row>
    <row r="16" spans="2:4" ht="21">
      <c r="B16" s="229" t="s">
        <v>18</v>
      </c>
      <c r="C16" s="230"/>
      <c r="D16" s="229" t="s">
        <v>21</v>
      </c>
    </row>
    <row r="17" spans="2:4" s="231" customFormat="1" ht="409" customHeight="1">
      <c r="B17" s="228" t="s">
        <v>573</v>
      </c>
      <c r="D17" s="228" t="s">
        <v>570</v>
      </c>
    </row>
    <row r="18" spans="2:4" s="231" customFormat="1" ht="22" customHeight="1">
      <c r="B18" s="228"/>
      <c r="D18" s="228"/>
    </row>
    <row r="19" spans="2:4" s="231" customFormat="1" ht="21">
      <c r="B19" s="229" t="s">
        <v>19</v>
      </c>
      <c r="D19" s="229" t="s">
        <v>20</v>
      </c>
    </row>
    <row r="20" spans="2:4" s="231" customFormat="1" ht="113" customHeight="1">
      <c r="B20" s="228" t="s">
        <v>572</v>
      </c>
      <c r="D20" s="228" t="str">
        <f>"Visit https://"&amp;B46&amp;"/cap-table to get more instructions and videos on how to use the model, including details on each sheet and key components."</f>
        <v>Visit https://foresight.is/cap-table to get more instructions and videos on how to use the model, including details on each sheet and key components.</v>
      </c>
    </row>
    <row r="21" spans="2:4" s="231" customFormat="1" ht="33" customHeight="1">
      <c r="B21" s="229" t="s">
        <v>571</v>
      </c>
      <c r="D21" s="228"/>
    </row>
    <row r="22" spans="2:4" s="231" customFormat="1" ht="128" customHeight="1">
      <c r="B22" s="232" t="s">
        <v>557</v>
      </c>
      <c r="D22" s="228"/>
    </row>
    <row r="23" spans="2:4" s="231" customFormat="1" ht="40" customHeight="1">
      <c r="B23" s="232" t="s">
        <v>558</v>
      </c>
      <c r="C23" s="230"/>
    </row>
    <row r="24" spans="2:4" s="231" customFormat="1" ht="44" customHeight="1">
      <c r="B24" s="232" t="s">
        <v>559</v>
      </c>
    </row>
    <row r="25" spans="2:4" s="231" customFormat="1" ht="42">
      <c r="B25" s="232" t="s">
        <v>560</v>
      </c>
      <c r="C25" s="230"/>
    </row>
    <row r="26" spans="2:4" s="231" customFormat="1" ht="42">
      <c r="B26" s="232" t="s">
        <v>561</v>
      </c>
      <c r="C26" s="230"/>
      <c r="D26" s="228"/>
    </row>
    <row r="27" spans="2:4" s="231" customFormat="1" ht="63">
      <c r="B27" s="232" t="s">
        <v>562</v>
      </c>
      <c r="C27" s="230"/>
      <c r="D27" s="228"/>
    </row>
    <row r="28" spans="2:4" s="231" customFormat="1" ht="27" customHeight="1">
      <c r="B28" s="232" t="s">
        <v>563</v>
      </c>
      <c r="D28" s="233"/>
    </row>
    <row r="29" spans="2:4" ht="63">
      <c r="B29" s="232" t="s">
        <v>564</v>
      </c>
      <c r="C29" s="231"/>
    </row>
    <row r="30" spans="2:4" ht="46" customHeight="1">
      <c r="B30" s="232" t="s">
        <v>565</v>
      </c>
      <c r="C30" s="231"/>
    </row>
    <row r="31" spans="2:4" ht="44" customHeight="1">
      <c r="B31" s="232" t="s">
        <v>566</v>
      </c>
      <c r="C31" s="231"/>
    </row>
    <row r="32" spans="2:4" ht="42">
      <c r="B32" s="232" t="s">
        <v>567</v>
      </c>
      <c r="C32" s="231"/>
    </row>
    <row r="33" spans="2:4" ht="107" customHeight="1">
      <c r="B33" s="232" t="s">
        <v>568</v>
      </c>
      <c r="C33" s="231"/>
    </row>
    <row r="34" spans="2:4" ht="84">
      <c r="B34" s="232" t="s">
        <v>569</v>
      </c>
      <c r="C34" s="231"/>
    </row>
    <row r="35" spans="2:4">
      <c r="B35" s="232"/>
      <c r="C35" s="231"/>
    </row>
    <row r="36" spans="2:4" ht="21">
      <c r="B36" s="234" t="s">
        <v>2</v>
      </c>
      <c r="C36" s="231"/>
    </row>
    <row r="37" spans="2:4" ht="42">
      <c r="B37" s="232" t="s">
        <v>147</v>
      </c>
    </row>
    <row r="38" spans="2:4" ht="42">
      <c r="B38" s="232" t="s">
        <v>148</v>
      </c>
    </row>
    <row r="39" spans="2:4">
      <c r="B39" s="232"/>
      <c r="D39" s="232"/>
    </row>
    <row r="40" spans="2:4">
      <c r="B40" s="232"/>
      <c r="D40" s="232"/>
    </row>
    <row r="41" spans="2:4">
      <c r="B41" s="235" t="s">
        <v>330</v>
      </c>
    </row>
    <row r="42" spans="2:4">
      <c r="B42" s="220" t="s">
        <v>509</v>
      </c>
    </row>
    <row r="43" spans="2:4">
      <c r="B43" s="220" t="s">
        <v>510</v>
      </c>
    </row>
    <row r="44" spans="2:4">
      <c r="B44" s="220" t="s">
        <v>331</v>
      </c>
    </row>
    <row r="46" spans="2:4" ht="21">
      <c r="B46" s="231" t="s">
        <v>332</v>
      </c>
    </row>
    <row r="47" spans="2:4" ht="21">
      <c r="B47" s="231" t="s">
        <v>333</v>
      </c>
    </row>
  </sheetData>
  <pageMargins left="0.75" right="0.75" top="1" bottom="1" header="0.5" footer="0.5"/>
  <pageSetup scale="6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B14"/>
  <sheetViews>
    <sheetView showGridLines="0" workbookViewId="0">
      <pane ySplit="2" topLeftCell="A3" activePane="bottomLeft" state="frozen"/>
      <selection activeCell="M74" sqref="M74"/>
      <selection pane="bottomLeft" activeCell="B4" sqref="B4"/>
    </sheetView>
  </sheetViews>
  <sheetFormatPr baseColWidth="10" defaultRowHeight="20"/>
  <cols>
    <col min="1" max="1" width="4.1640625" style="178" customWidth="1"/>
    <col min="2" max="2" width="156.33203125" style="178" customWidth="1"/>
    <col min="3" max="16384" width="10.83203125" style="178"/>
  </cols>
  <sheetData>
    <row r="2" spans="2:2" ht="21">
      <c r="B2" s="179" t="s">
        <v>263</v>
      </c>
    </row>
    <row r="3" spans="2:2">
      <c r="B3" s="179"/>
    </row>
    <row r="4" spans="2:2" ht="42">
      <c r="B4" s="178" t="str">
        <f>"This Investor Presentation is provided for informational purposes only and does not constitute an offer to buy or a solicitation of an offer to invest, or to procure an investment in "&amp;README!B14&amp;" (the “Company”)."</f>
        <v>This Investor Presentation is provided for informational purposes only and does not constitute an offer to buy or a solicitation of an offer to invest, or to procure an investment in Company Name (the “Company”).</v>
      </c>
    </row>
    <row r="5" spans="2:2" ht="11" customHeight="1"/>
    <row r="6" spans="2:2" ht="63">
      <c r="B6" s="178" t="s">
        <v>264</v>
      </c>
    </row>
    <row r="7" spans="2:2" ht="15" customHeight="1"/>
    <row r="8" spans="2:2" ht="177" customHeight="1">
      <c r="B8" s="178" t="s">
        <v>265</v>
      </c>
    </row>
    <row r="9" spans="2:2" ht="9" customHeight="1"/>
    <row r="10" spans="2:2" ht="252">
      <c r="B10" s="178" t="s">
        <v>266</v>
      </c>
    </row>
    <row r="11" spans="2:2" ht="9" customHeight="1"/>
    <row r="12" spans="2:2" ht="42">
      <c r="B12" s="178" t="s">
        <v>267</v>
      </c>
    </row>
    <row r="13" spans="2:2" ht="9" customHeight="1"/>
    <row r="14" spans="2:2" ht="252">
      <c r="B14" s="178" t="s">
        <v>268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A983-B5A1-8049-AC26-1EFEB4AA33FB}">
  <dimension ref="B2:B29"/>
  <sheetViews>
    <sheetView showGridLines="0" workbookViewId="0">
      <pane ySplit="2" topLeftCell="A3" activePane="bottomLeft" state="frozen"/>
      <selection pane="bottomLeft" activeCell="B15" sqref="B15"/>
    </sheetView>
  </sheetViews>
  <sheetFormatPr baseColWidth="10" defaultRowHeight="20"/>
  <cols>
    <col min="1" max="1" width="5.1640625" style="50" customWidth="1"/>
    <col min="2" max="2" width="161.1640625" style="52" customWidth="1"/>
    <col min="3" max="16384" width="10.83203125" style="50"/>
  </cols>
  <sheetData>
    <row r="2" spans="2:2" ht="21">
      <c r="B2" s="49" t="s">
        <v>524</v>
      </c>
    </row>
    <row r="3" spans="2:2" ht="21">
      <c r="B3" s="51" t="s">
        <v>334</v>
      </c>
    </row>
    <row r="4" spans="2:2" ht="114" customHeight="1">
      <c r="B4" s="52" t="s">
        <v>335</v>
      </c>
    </row>
    <row r="6" spans="2:2" ht="21">
      <c r="B6" s="52" t="s">
        <v>336</v>
      </c>
    </row>
    <row r="8" spans="2:2" ht="21">
      <c r="B8" s="52" t="s">
        <v>337</v>
      </c>
    </row>
    <row r="9" spans="2:2" ht="42">
      <c r="B9" s="52" t="s">
        <v>338</v>
      </c>
    </row>
    <row r="10" spans="2:2" ht="21">
      <c r="B10" s="52" t="s">
        <v>339</v>
      </c>
    </row>
    <row r="11" spans="2:2" ht="21">
      <c r="B11" s="52" t="s">
        <v>340</v>
      </c>
    </row>
    <row r="12" spans="2:2" ht="21">
      <c r="B12" s="52" t="s">
        <v>341</v>
      </c>
    </row>
    <row r="14" spans="2:2" ht="21">
      <c r="B14" s="52" t="s">
        <v>342</v>
      </c>
    </row>
    <row r="15" spans="2:2" ht="21">
      <c r="B15" s="52" t="s">
        <v>343</v>
      </c>
    </row>
    <row r="16" spans="2:2" ht="21">
      <c r="B16" s="52" t="s">
        <v>344</v>
      </c>
    </row>
    <row r="17" spans="2:2" ht="21">
      <c r="B17" s="52" t="s">
        <v>345</v>
      </c>
    </row>
    <row r="18" spans="2:2" ht="42">
      <c r="B18" s="52" t="s">
        <v>346</v>
      </c>
    </row>
    <row r="19" spans="2:2" ht="21">
      <c r="B19" s="52" t="s">
        <v>347</v>
      </c>
    </row>
    <row r="20" spans="2:2" ht="21">
      <c r="B20" s="52" t="s">
        <v>348</v>
      </c>
    </row>
    <row r="21" spans="2:2" ht="21">
      <c r="B21" s="52" t="s">
        <v>349</v>
      </c>
    </row>
    <row r="23" spans="2:2" ht="150" customHeight="1">
      <c r="B23" s="52" t="s">
        <v>350</v>
      </c>
    </row>
    <row r="25" spans="2:2" ht="126">
      <c r="B25" s="52" t="s">
        <v>351</v>
      </c>
    </row>
    <row r="27" spans="2:2" ht="84">
      <c r="B27" s="52" t="s">
        <v>269</v>
      </c>
    </row>
    <row r="29" spans="2:2" ht="84">
      <c r="B29" s="52"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AU74"/>
  <sheetViews>
    <sheetView showGridLines="0" zoomScaleNormal="100" workbookViewId="0">
      <pane xSplit="2" topLeftCell="C1" activePane="topRight" state="frozen"/>
      <selection activeCell="M74" sqref="M74"/>
      <selection pane="topRight" activeCell="B1" sqref="B1"/>
    </sheetView>
  </sheetViews>
  <sheetFormatPr baseColWidth="10" defaultRowHeight="20"/>
  <cols>
    <col min="1" max="1" width="5.33203125" style="130" customWidth="1"/>
    <col min="2" max="2" width="21.5" style="130" customWidth="1"/>
    <col min="3" max="4" width="18.6640625" style="130" customWidth="1"/>
    <col min="5" max="5" width="16.33203125" style="130" customWidth="1"/>
    <col min="6" max="6" width="17.6640625" style="130" customWidth="1"/>
    <col min="7" max="7" width="16.33203125" style="130" customWidth="1"/>
    <col min="8" max="9" width="14.6640625" style="130" customWidth="1"/>
    <col min="10" max="10" width="9.83203125" style="130" customWidth="1"/>
    <col min="11" max="11" width="26.83203125" style="130" customWidth="1"/>
    <col min="12" max="13" width="18.1640625" style="130" customWidth="1"/>
    <col min="14" max="14" width="18.33203125" style="130" customWidth="1"/>
    <col min="15" max="15" width="21.5" style="130" customWidth="1"/>
    <col min="16" max="16" width="18.6640625" style="130" customWidth="1"/>
    <col min="17" max="17" width="18.33203125" style="130" customWidth="1"/>
    <col min="18" max="19" width="18.6640625" style="130" customWidth="1"/>
    <col min="20" max="20" width="23.1640625" style="130" customWidth="1"/>
    <col min="21" max="23" width="18.6640625" style="130" customWidth="1"/>
    <col min="24" max="24" width="18.1640625" style="130" customWidth="1"/>
    <col min="25" max="25" width="16.1640625" style="130" customWidth="1"/>
    <col min="26" max="27" width="18.6640625" style="130" customWidth="1"/>
    <col min="28" max="28" width="10.83203125" style="130"/>
    <col min="29" max="29" width="30.5" style="130" customWidth="1"/>
    <col min="30" max="33" width="18" style="130" customWidth="1"/>
    <col min="34" max="34" width="21.83203125" style="130" customWidth="1"/>
    <col min="35" max="37" width="18" style="130" customWidth="1"/>
    <col min="38" max="38" width="18.6640625" style="130" customWidth="1"/>
    <col min="39" max="39" width="24.33203125" style="130" customWidth="1"/>
    <col min="40" max="42" width="17.33203125" style="130" customWidth="1"/>
    <col min="43" max="43" width="19.83203125" style="130" customWidth="1"/>
    <col min="44" max="44" width="16.5" style="130" customWidth="1"/>
    <col min="45" max="46" width="17.33203125" style="130" customWidth="1"/>
    <col min="47" max="48" width="10.83203125" style="130"/>
    <col min="49" max="49" width="10.83203125" style="130" customWidth="1"/>
    <col min="50" max="16384" width="10.83203125" style="130"/>
  </cols>
  <sheetData>
    <row r="2" spans="2:47">
      <c r="B2" s="127" t="s">
        <v>542</v>
      </c>
    </row>
    <row r="3" spans="2:47">
      <c r="B3" s="132" t="s">
        <v>28</v>
      </c>
    </row>
    <row r="4" spans="2:47">
      <c r="B4" s="127"/>
    </row>
    <row r="6" spans="2:47" ht="66" customHeight="1">
      <c r="B6" s="181" t="s">
        <v>25</v>
      </c>
      <c r="C6" s="182" t="s">
        <v>527</v>
      </c>
      <c r="D6" s="182" t="s">
        <v>528</v>
      </c>
      <c r="E6" s="182" t="s">
        <v>529</v>
      </c>
      <c r="F6" s="182" t="s">
        <v>289</v>
      </c>
      <c r="G6" s="183" t="s">
        <v>552</v>
      </c>
      <c r="H6" s="183" t="s">
        <v>285</v>
      </c>
      <c r="I6" s="183" t="s">
        <v>288</v>
      </c>
      <c r="K6" s="182" t="str">
        <f>L45&amp;" Investment Amount"</f>
        <v>$ Investment Amount</v>
      </c>
      <c r="L6" s="184" t="s">
        <v>1</v>
      </c>
      <c r="M6" s="184" t="s">
        <v>65</v>
      </c>
      <c r="N6" s="182" t="s">
        <v>96</v>
      </c>
      <c r="O6" s="182" t="s">
        <v>508</v>
      </c>
      <c r="P6" s="182" t="s">
        <v>574</v>
      </c>
      <c r="Q6" s="182" t="str">
        <f>L45&amp;" Share Price"</f>
        <v>$ Share Price</v>
      </c>
      <c r="R6" s="182" t="s">
        <v>85</v>
      </c>
      <c r="S6" s="182" t="s">
        <v>531</v>
      </c>
      <c r="T6" s="182" t="s">
        <v>533</v>
      </c>
      <c r="U6" s="182" t="s">
        <v>529</v>
      </c>
      <c r="V6" s="182" t="s">
        <v>289</v>
      </c>
      <c r="W6" s="182" t="str">
        <f>L45&amp;" Ownership Value"</f>
        <v>$ Ownership Value</v>
      </c>
      <c r="X6" s="183" t="s">
        <v>555</v>
      </c>
      <c r="Y6" s="183" t="s">
        <v>552</v>
      </c>
      <c r="Z6" s="182" t="s">
        <v>285</v>
      </c>
      <c r="AA6" s="182" t="s">
        <v>288</v>
      </c>
      <c r="AC6" s="182" t="str">
        <f>L45&amp;" Investment Amount"</f>
        <v>$ Investment Amount</v>
      </c>
      <c r="AD6" s="184" t="str">
        <f>L45&amp;" Converted"</f>
        <v>$ Converted</v>
      </c>
      <c r="AE6" s="184" t="str">
        <f>L45&amp;" Interest"</f>
        <v>$ Interest</v>
      </c>
      <c r="AF6" s="184" t="str">
        <f>L45&amp;" Converted"</f>
        <v>$ Converted</v>
      </c>
      <c r="AG6" s="184" t="str">
        <f>L45&amp;" Value Converted"</f>
        <v>$ Value Converted</v>
      </c>
      <c r="AH6" s="182" t="s">
        <v>508</v>
      </c>
      <c r="AI6" s="182" t="str">
        <f>L45&amp;" Share Price, Investment"</f>
        <v>$ Share Price, Investment</v>
      </c>
      <c r="AJ6" s="182" t="str">
        <f>L45&amp;" Share Price, Converted"</f>
        <v>$ Share Price, Converted</v>
      </c>
      <c r="AK6" s="182" t="s">
        <v>85</v>
      </c>
      <c r="AL6" s="182" t="s">
        <v>531</v>
      </c>
      <c r="AM6" s="182" t="s">
        <v>533</v>
      </c>
      <c r="AN6" s="182" t="s">
        <v>253</v>
      </c>
      <c r="AO6" s="182" t="s">
        <v>289</v>
      </c>
      <c r="AP6" s="182" t="str">
        <f>L45&amp;" Ownership Value"</f>
        <v>$ Ownership Value</v>
      </c>
      <c r="AQ6" s="183" t="s">
        <v>555</v>
      </c>
      <c r="AR6" s="183" t="s">
        <v>552</v>
      </c>
      <c r="AS6" s="182" t="s">
        <v>286</v>
      </c>
      <c r="AT6" s="182" t="s">
        <v>288</v>
      </c>
    </row>
    <row r="7" spans="2:47">
      <c r="R7" s="152"/>
      <c r="AK7" s="152"/>
    </row>
    <row r="8" spans="2:47">
      <c r="B8" s="185" t="s">
        <v>27</v>
      </c>
      <c r="C8" s="61">
        <v>5000000</v>
      </c>
      <c r="D8" s="186">
        <v>0</v>
      </c>
      <c r="E8" s="186">
        <f>C8+D8</f>
        <v>5000000</v>
      </c>
      <c r="F8" s="187">
        <f t="shared" ref="F8:F19" si="0">IFERROR(E8/E$25,0)</f>
        <v>0.5</v>
      </c>
      <c r="G8" s="61">
        <v>0</v>
      </c>
      <c r="H8" s="186">
        <f t="shared" ref="H8:H19" si="1">E8+G8</f>
        <v>5000000</v>
      </c>
      <c r="I8" s="187">
        <f t="shared" ref="I8:I19" si="2">IFERROR(H8/H$25,0)</f>
        <v>0.5</v>
      </c>
      <c r="K8" s="185">
        <v>0</v>
      </c>
      <c r="L8" s="188">
        <v>0</v>
      </c>
      <c r="M8" s="185">
        <v>0</v>
      </c>
      <c r="N8" s="189">
        <v>0</v>
      </c>
      <c r="O8" s="190" t="s">
        <v>514</v>
      </c>
      <c r="P8" s="212">
        <f ca="1">L$44</f>
        <v>43416</v>
      </c>
      <c r="Q8" s="191">
        <f t="shared" ref="Q8:Q19" si="3">L$36</f>
        <v>0</v>
      </c>
      <c r="R8" s="192">
        <f>IFERROR(K8/Q8,0)</f>
        <v>0</v>
      </c>
      <c r="S8" s="193">
        <v>0</v>
      </c>
      <c r="T8" s="185">
        <v>0</v>
      </c>
      <c r="U8" s="147">
        <f t="shared" ref="U8:U19" si="4">R8+E8+T8+S8</f>
        <v>5000000</v>
      </c>
      <c r="V8" s="187">
        <f t="shared" ref="V8:V19" si="5">IFERROR(U8/U$25,0)</f>
        <v>0.5</v>
      </c>
      <c r="W8" s="176">
        <f t="shared" ref="W8:W19" si="6">U8*L$36</f>
        <v>0</v>
      </c>
      <c r="X8" s="61">
        <v>0</v>
      </c>
      <c r="Y8" s="176">
        <f t="shared" ref="Y8:Y19" si="7">G8+X8</f>
        <v>0</v>
      </c>
      <c r="Z8" s="176">
        <f>IFERROR(K8/(M8/E$25)/IF(O8="postmoney safe",(1-AD$49),1),0)+U8+Y8</f>
        <v>5000000</v>
      </c>
      <c r="AA8" s="187">
        <f t="shared" ref="AA8:AA19" si="8">IFERROR(Z8/Z$25,0)</f>
        <v>0.43289606458123109</v>
      </c>
      <c r="AC8" s="185">
        <v>0</v>
      </c>
      <c r="AD8" s="185">
        <f t="shared" ref="AD8:AD19" si="9">IF(SUM(L8:N8)&lt;&gt;0,K8,0)</f>
        <v>0</v>
      </c>
      <c r="AE8" s="176">
        <f t="shared" ref="AE8:AE18" ca="1" si="10">IFERROR(FV(N8/12,DATEDIF(P8,AD$44,"m"),0,-AD8)-AD8,0)</f>
        <v>0</v>
      </c>
      <c r="AF8" s="176">
        <f ca="1">AE8+AD8</f>
        <v>0</v>
      </c>
      <c r="AG8" s="147">
        <f t="shared" ref="AG8:AG19" ca="1" si="11">IF(AND(AD$47="no",AD$45&lt;&gt;"premoney"),IFERROR(AF8/(1-L8),0),IFERROR(AF8/(1-(MAX(L8,(AD$36-M8/U$25)/AD$36))),0))</f>
        <v>0</v>
      </c>
      <c r="AH8" s="190" t="str">
        <f>O8</f>
        <v>original issuance</v>
      </c>
      <c r="AI8" s="191">
        <f t="shared" ref="AI8:AI19" si="12">AD$36</f>
        <v>1.0389505549949545</v>
      </c>
      <c r="AJ8" s="191">
        <f ca="1">IF(AF8=0,0,IF(M8&lt;&gt;0,MIN(AI8*(1-L8),M8/(U$25+IF(AH8="postmoney SAFE",AD$50,0))*IF(AH8="postmoney SAFE",(1-AD$49),1)),AI8*(1-L8)))</f>
        <v>0</v>
      </c>
      <c r="AK8" s="192">
        <f ca="1">IFERROR(AC8/AI8,0)+IFERROR(AF8/AJ8,0)</f>
        <v>0</v>
      </c>
      <c r="AL8" s="193">
        <v>0</v>
      </c>
      <c r="AM8" s="185">
        <v>0</v>
      </c>
      <c r="AN8" s="147">
        <f t="shared" ref="AN8:AN19" ca="1" si="13">AK8+U8+AM8+AL8</f>
        <v>5000000</v>
      </c>
      <c r="AO8" s="187">
        <f t="shared" ref="AO8:AO19" ca="1" si="14">IFERROR(AN8/AN$25,0)</f>
        <v>0.34492462311557792</v>
      </c>
      <c r="AP8" s="176">
        <f t="shared" ref="AP8:AP19" ca="1" si="15">AN8*AD$36</f>
        <v>5194752.7749747727</v>
      </c>
      <c r="AQ8" s="61">
        <v>0</v>
      </c>
      <c r="AR8" s="176">
        <f>Y8+AQ8</f>
        <v>0</v>
      </c>
      <c r="AS8" s="176">
        <f t="shared" ref="AS8:AS19" ca="1" si="16">IF(AD8=0,IFERROR((AE8+FV(N8/12,DATEDIF(L$44,AD$44,"m"),0,-AD8)-AD8)/(AG8/U$25)/IF(AD$45="postmoney",(1-AD$49),1),0),0)+AN8+AR8</f>
        <v>5000000</v>
      </c>
      <c r="AT8" s="187">
        <f t="shared" ref="AT8:AT19" ca="1" si="17">IFERROR(AS8/AS$25,0)</f>
        <v>0.34492462311557792</v>
      </c>
    </row>
    <row r="9" spans="2:47">
      <c r="B9" s="185" t="s">
        <v>27</v>
      </c>
      <c r="C9" s="61">
        <v>5000000</v>
      </c>
      <c r="D9" s="186">
        <v>0</v>
      </c>
      <c r="E9" s="186">
        <f t="shared" ref="E9:E23" si="18">C9+D9</f>
        <v>5000000</v>
      </c>
      <c r="F9" s="187">
        <f t="shared" si="0"/>
        <v>0.5</v>
      </c>
      <c r="G9" s="61">
        <v>0</v>
      </c>
      <c r="H9" s="186">
        <f t="shared" si="1"/>
        <v>5000000</v>
      </c>
      <c r="I9" s="187">
        <f t="shared" si="2"/>
        <v>0.5</v>
      </c>
      <c r="K9" s="185">
        <v>0</v>
      </c>
      <c r="L9" s="188">
        <v>0</v>
      </c>
      <c r="M9" s="185">
        <v>0</v>
      </c>
      <c r="N9" s="189">
        <v>0</v>
      </c>
      <c r="O9" s="190" t="s">
        <v>514</v>
      </c>
      <c r="P9" s="212">
        <f t="shared" ref="P9:P19" ca="1" si="19">L$44</f>
        <v>43416</v>
      </c>
      <c r="Q9" s="191">
        <f t="shared" si="3"/>
        <v>0</v>
      </c>
      <c r="R9" s="192">
        <f t="shared" ref="R9:R23" si="20">IFERROR(K9/Q9,0)</f>
        <v>0</v>
      </c>
      <c r="S9" s="193">
        <v>0</v>
      </c>
      <c r="T9" s="185">
        <v>0</v>
      </c>
      <c r="U9" s="147">
        <f t="shared" si="4"/>
        <v>5000000</v>
      </c>
      <c r="V9" s="187">
        <f t="shared" si="5"/>
        <v>0.5</v>
      </c>
      <c r="W9" s="176">
        <f t="shared" si="6"/>
        <v>0</v>
      </c>
      <c r="X9" s="61">
        <v>0</v>
      </c>
      <c r="Y9" s="176">
        <f t="shared" si="7"/>
        <v>0</v>
      </c>
      <c r="Z9" s="176">
        <f t="shared" ref="Z9:Z23" si="21">IFERROR(K9/(M9/E$25)/IF(O9="postmoney safe",(1-AD$49),1),0)+U9+Y9</f>
        <v>5000000</v>
      </c>
      <c r="AA9" s="187">
        <f t="shared" si="8"/>
        <v>0.43289606458123109</v>
      </c>
      <c r="AC9" s="185">
        <v>0</v>
      </c>
      <c r="AD9" s="185">
        <f t="shared" si="9"/>
        <v>0</v>
      </c>
      <c r="AE9" s="176">
        <f t="shared" ca="1" si="10"/>
        <v>0</v>
      </c>
      <c r="AF9" s="176">
        <f t="shared" ref="AF9:AF23" ca="1" si="22">AE9+AD9</f>
        <v>0</v>
      </c>
      <c r="AG9" s="147">
        <f t="shared" ca="1" si="11"/>
        <v>0</v>
      </c>
      <c r="AH9" s="190" t="str">
        <f>O9</f>
        <v>original issuance</v>
      </c>
      <c r="AI9" s="191">
        <f t="shared" si="12"/>
        <v>1.0389505549949545</v>
      </c>
      <c r="AJ9" s="191">
        <f t="shared" ref="AJ9:AJ23" ca="1" si="23">IF(AF9=0,0,IF(M9&lt;&gt;0,MIN(AI9*(1-L9),M9/(U$25+IF(AH9="postmoney SAFE",AD$50,0))*IF(AH9="postmoney SAFE",(1-AD$49),1)),AI9*(1-L9)))</f>
        <v>0</v>
      </c>
      <c r="AK9" s="192">
        <f t="shared" ref="AK9:AK23" ca="1" si="24">IFERROR(AC9/AI9,0)+IFERROR(AF9/AJ9,0)</f>
        <v>0</v>
      </c>
      <c r="AL9" s="193">
        <v>0</v>
      </c>
      <c r="AM9" s="185">
        <v>0</v>
      </c>
      <c r="AN9" s="147">
        <f t="shared" ca="1" si="13"/>
        <v>5000000</v>
      </c>
      <c r="AO9" s="187">
        <f t="shared" ca="1" si="14"/>
        <v>0.34492462311557792</v>
      </c>
      <c r="AP9" s="176">
        <f t="shared" ca="1" si="15"/>
        <v>5194752.7749747727</v>
      </c>
      <c r="AQ9" s="61">
        <v>0</v>
      </c>
      <c r="AR9" s="176">
        <f t="shared" ref="AR9:AR23" si="25">Y9+AQ9</f>
        <v>0</v>
      </c>
      <c r="AS9" s="176">
        <f t="shared" ca="1" si="16"/>
        <v>5000000</v>
      </c>
      <c r="AT9" s="187">
        <f t="shared" ca="1" si="17"/>
        <v>0.34492462311557792</v>
      </c>
    </row>
    <row r="10" spans="2:47">
      <c r="B10" s="185" t="s">
        <v>29</v>
      </c>
      <c r="C10" s="61">
        <v>0</v>
      </c>
      <c r="D10" s="186">
        <v>0</v>
      </c>
      <c r="E10" s="186">
        <f t="shared" si="18"/>
        <v>0</v>
      </c>
      <c r="F10" s="187">
        <f t="shared" si="0"/>
        <v>0</v>
      </c>
      <c r="G10" s="61">
        <v>0</v>
      </c>
      <c r="H10" s="186">
        <f t="shared" si="1"/>
        <v>0</v>
      </c>
      <c r="I10" s="187">
        <f t="shared" si="2"/>
        <v>0</v>
      </c>
      <c r="K10" s="185">
        <v>0</v>
      </c>
      <c r="L10" s="188">
        <v>0</v>
      </c>
      <c r="M10" s="185">
        <v>0</v>
      </c>
      <c r="N10" s="189">
        <v>0</v>
      </c>
      <c r="O10" s="190" t="s">
        <v>7</v>
      </c>
      <c r="P10" s="212">
        <f t="shared" ca="1" si="19"/>
        <v>43416</v>
      </c>
      <c r="Q10" s="191">
        <f t="shared" si="3"/>
        <v>0</v>
      </c>
      <c r="R10" s="192">
        <f t="shared" si="20"/>
        <v>0</v>
      </c>
      <c r="S10" s="193">
        <v>0</v>
      </c>
      <c r="T10" s="185">
        <v>0</v>
      </c>
      <c r="U10" s="147">
        <f t="shared" si="4"/>
        <v>0</v>
      </c>
      <c r="V10" s="187">
        <f t="shared" si="5"/>
        <v>0</v>
      </c>
      <c r="W10" s="176">
        <f t="shared" si="6"/>
        <v>0</v>
      </c>
      <c r="X10" s="61">
        <v>0</v>
      </c>
      <c r="Y10" s="176">
        <f t="shared" si="7"/>
        <v>0</v>
      </c>
      <c r="Z10" s="176">
        <f t="shared" si="21"/>
        <v>0</v>
      </c>
      <c r="AA10" s="187">
        <f t="shared" si="8"/>
        <v>0</v>
      </c>
      <c r="AC10" s="185">
        <v>0</v>
      </c>
      <c r="AD10" s="185">
        <f t="shared" si="9"/>
        <v>0</v>
      </c>
      <c r="AE10" s="176">
        <f t="shared" ca="1" si="10"/>
        <v>0</v>
      </c>
      <c r="AF10" s="176">
        <f t="shared" ca="1" si="22"/>
        <v>0</v>
      </c>
      <c r="AG10" s="147">
        <f t="shared" ca="1" si="11"/>
        <v>0</v>
      </c>
      <c r="AH10" s="190" t="str">
        <f>O10</f>
        <v>na</v>
      </c>
      <c r="AI10" s="191">
        <f t="shared" si="12"/>
        <v>1.0389505549949545</v>
      </c>
      <c r="AJ10" s="191">
        <f t="shared" ca="1" si="23"/>
        <v>0</v>
      </c>
      <c r="AK10" s="192">
        <f t="shared" ca="1" si="24"/>
        <v>0</v>
      </c>
      <c r="AL10" s="193">
        <v>0</v>
      </c>
      <c r="AM10" s="185">
        <v>0</v>
      </c>
      <c r="AN10" s="147">
        <f t="shared" ca="1" si="13"/>
        <v>0</v>
      </c>
      <c r="AO10" s="187">
        <f t="shared" ca="1" si="14"/>
        <v>0</v>
      </c>
      <c r="AP10" s="176">
        <f t="shared" ca="1" si="15"/>
        <v>0</v>
      </c>
      <c r="AQ10" s="61">
        <v>0</v>
      </c>
      <c r="AR10" s="176">
        <f t="shared" si="25"/>
        <v>0</v>
      </c>
      <c r="AS10" s="176">
        <f t="shared" ca="1" si="16"/>
        <v>0</v>
      </c>
      <c r="AT10" s="187">
        <f t="shared" ca="1" si="17"/>
        <v>0</v>
      </c>
    </row>
    <row r="11" spans="2:47">
      <c r="B11" s="185" t="s">
        <v>29</v>
      </c>
      <c r="C11" s="61">
        <v>0</v>
      </c>
      <c r="D11" s="186">
        <v>0</v>
      </c>
      <c r="E11" s="186">
        <f t="shared" si="18"/>
        <v>0</v>
      </c>
      <c r="F11" s="187">
        <f t="shared" si="0"/>
        <v>0</v>
      </c>
      <c r="G11" s="61">
        <v>0</v>
      </c>
      <c r="H11" s="186">
        <f t="shared" si="1"/>
        <v>0</v>
      </c>
      <c r="I11" s="187">
        <f t="shared" si="2"/>
        <v>0</v>
      </c>
      <c r="K11" s="185">
        <v>0</v>
      </c>
      <c r="L11" s="188">
        <v>0</v>
      </c>
      <c r="M11" s="185">
        <v>0</v>
      </c>
      <c r="N11" s="189">
        <v>0</v>
      </c>
      <c r="O11" s="190" t="s">
        <v>7</v>
      </c>
      <c r="P11" s="212">
        <f t="shared" ca="1" si="19"/>
        <v>43416</v>
      </c>
      <c r="Q11" s="191">
        <f t="shared" si="3"/>
        <v>0</v>
      </c>
      <c r="R11" s="192">
        <f t="shared" si="20"/>
        <v>0</v>
      </c>
      <c r="S11" s="193">
        <v>0</v>
      </c>
      <c r="T11" s="185">
        <v>0</v>
      </c>
      <c r="U11" s="147">
        <f t="shared" si="4"/>
        <v>0</v>
      </c>
      <c r="V11" s="187">
        <f t="shared" si="5"/>
        <v>0</v>
      </c>
      <c r="W11" s="176">
        <f t="shared" si="6"/>
        <v>0</v>
      </c>
      <c r="X11" s="61">
        <v>0</v>
      </c>
      <c r="Y11" s="176">
        <f t="shared" si="7"/>
        <v>0</v>
      </c>
      <c r="Z11" s="176">
        <f t="shared" si="21"/>
        <v>0</v>
      </c>
      <c r="AA11" s="187">
        <f t="shared" si="8"/>
        <v>0</v>
      </c>
      <c r="AC11" s="185">
        <v>0</v>
      </c>
      <c r="AD11" s="185">
        <f t="shared" si="9"/>
        <v>0</v>
      </c>
      <c r="AE11" s="176">
        <f t="shared" ca="1" si="10"/>
        <v>0</v>
      </c>
      <c r="AF11" s="176">
        <f t="shared" ca="1" si="22"/>
        <v>0</v>
      </c>
      <c r="AG11" s="147">
        <f t="shared" ca="1" si="11"/>
        <v>0</v>
      </c>
      <c r="AH11" s="190" t="str">
        <f>O11</f>
        <v>na</v>
      </c>
      <c r="AI11" s="191">
        <f t="shared" si="12"/>
        <v>1.0389505549949545</v>
      </c>
      <c r="AJ11" s="191">
        <f t="shared" ca="1" si="23"/>
        <v>0</v>
      </c>
      <c r="AK11" s="192">
        <f t="shared" ca="1" si="24"/>
        <v>0</v>
      </c>
      <c r="AL11" s="193">
        <v>0</v>
      </c>
      <c r="AM11" s="185">
        <v>0</v>
      </c>
      <c r="AN11" s="147">
        <f t="shared" ca="1" si="13"/>
        <v>0</v>
      </c>
      <c r="AO11" s="187">
        <f t="shared" ca="1" si="14"/>
        <v>0</v>
      </c>
      <c r="AP11" s="176">
        <f t="shared" ca="1" si="15"/>
        <v>0</v>
      </c>
      <c r="AQ11" s="61">
        <v>0</v>
      </c>
      <c r="AR11" s="176">
        <f t="shared" si="25"/>
        <v>0</v>
      </c>
      <c r="AS11" s="176">
        <f t="shared" ca="1" si="16"/>
        <v>0</v>
      </c>
      <c r="AT11" s="187">
        <f t="shared" ca="1" si="17"/>
        <v>0</v>
      </c>
    </row>
    <row r="12" spans="2:47">
      <c r="B12" s="185" t="s">
        <v>29</v>
      </c>
      <c r="C12" s="61">
        <v>0</v>
      </c>
      <c r="D12" s="186">
        <v>0</v>
      </c>
      <c r="E12" s="186">
        <f t="shared" si="18"/>
        <v>0</v>
      </c>
      <c r="F12" s="187">
        <f t="shared" si="0"/>
        <v>0</v>
      </c>
      <c r="G12" s="61">
        <v>0</v>
      </c>
      <c r="H12" s="186">
        <f t="shared" si="1"/>
        <v>0</v>
      </c>
      <c r="I12" s="187">
        <f t="shared" si="2"/>
        <v>0</v>
      </c>
      <c r="K12" s="185">
        <v>0</v>
      </c>
      <c r="L12" s="188">
        <v>0</v>
      </c>
      <c r="M12" s="185">
        <v>0</v>
      </c>
      <c r="N12" s="189">
        <v>0</v>
      </c>
      <c r="O12" s="190" t="s">
        <v>7</v>
      </c>
      <c r="P12" s="212">
        <f t="shared" ca="1" si="19"/>
        <v>43416</v>
      </c>
      <c r="Q12" s="191">
        <f t="shared" si="3"/>
        <v>0</v>
      </c>
      <c r="R12" s="192">
        <f t="shared" si="20"/>
        <v>0</v>
      </c>
      <c r="S12" s="193">
        <v>0</v>
      </c>
      <c r="T12" s="185">
        <v>0</v>
      </c>
      <c r="U12" s="147">
        <f t="shared" si="4"/>
        <v>0</v>
      </c>
      <c r="V12" s="187">
        <f t="shared" si="5"/>
        <v>0</v>
      </c>
      <c r="W12" s="176">
        <f t="shared" si="6"/>
        <v>0</v>
      </c>
      <c r="X12" s="61">
        <v>0</v>
      </c>
      <c r="Y12" s="176">
        <f t="shared" si="7"/>
        <v>0</v>
      </c>
      <c r="Z12" s="176">
        <f t="shared" si="21"/>
        <v>0</v>
      </c>
      <c r="AA12" s="187">
        <f t="shared" si="8"/>
        <v>0</v>
      </c>
      <c r="AC12" s="185">
        <v>0</v>
      </c>
      <c r="AD12" s="185">
        <f t="shared" si="9"/>
        <v>0</v>
      </c>
      <c r="AE12" s="176">
        <f t="shared" ca="1" si="10"/>
        <v>0</v>
      </c>
      <c r="AF12" s="176">
        <f t="shared" ca="1" si="22"/>
        <v>0</v>
      </c>
      <c r="AG12" s="147">
        <f t="shared" ca="1" si="11"/>
        <v>0</v>
      </c>
      <c r="AH12" s="190" t="str">
        <f>O12</f>
        <v>na</v>
      </c>
      <c r="AI12" s="191">
        <f t="shared" si="12"/>
        <v>1.0389505549949545</v>
      </c>
      <c r="AJ12" s="191">
        <f t="shared" ca="1" si="23"/>
        <v>0</v>
      </c>
      <c r="AK12" s="192">
        <f t="shared" ca="1" si="24"/>
        <v>0</v>
      </c>
      <c r="AL12" s="193">
        <v>0</v>
      </c>
      <c r="AM12" s="185">
        <v>0</v>
      </c>
      <c r="AN12" s="147">
        <f t="shared" ca="1" si="13"/>
        <v>0</v>
      </c>
      <c r="AO12" s="187">
        <f t="shared" ca="1" si="14"/>
        <v>0</v>
      </c>
      <c r="AP12" s="176">
        <f t="shared" ca="1" si="15"/>
        <v>0</v>
      </c>
      <c r="AQ12" s="61">
        <v>0</v>
      </c>
      <c r="AR12" s="176">
        <f t="shared" si="25"/>
        <v>0</v>
      </c>
      <c r="AS12" s="176">
        <f t="shared" ca="1" si="16"/>
        <v>0</v>
      </c>
      <c r="AT12" s="187">
        <f t="shared" ca="1" si="17"/>
        <v>0</v>
      </c>
      <c r="AU12" s="193" t="s">
        <v>49</v>
      </c>
    </row>
    <row r="13" spans="2:47">
      <c r="B13" s="185" t="s">
        <v>30</v>
      </c>
      <c r="C13" s="61">
        <v>0</v>
      </c>
      <c r="D13" s="186">
        <v>0</v>
      </c>
      <c r="E13" s="186">
        <f t="shared" si="18"/>
        <v>0</v>
      </c>
      <c r="F13" s="187">
        <f t="shared" si="0"/>
        <v>0</v>
      </c>
      <c r="G13" s="61">
        <v>0</v>
      </c>
      <c r="H13" s="186">
        <f t="shared" si="1"/>
        <v>0</v>
      </c>
      <c r="I13" s="187">
        <f t="shared" si="2"/>
        <v>0</v>
      </c>
      <c r="K13" s="185">
        <v>500000</v>
      </c>
      <c r="L13" s="188">
        <v>0.2</v>
      </c>
      <c r="M13" s="185">
        <v>5500000</v>
      </c>
      <c r="N13" s="189">
        <v>0</v>
      </c>
      <c r="O13" s="190" t="s">
        <v>513</v>
      </c>
      <c r="P13" s="212">
        <f t="shared" ca="1" si="19"/>
        <v>43416</v>
      </c>
      <c r="Q13" s="191">
        <f t="shared" si="3"/>
        <v>0</v>
      </c>
      <c r="R13" s="192">
        <f t="shared" si="20"/>
        <v>0</v>
      </c>
      <c r="S13" s="193">
        <v>0</v>
      </c>
      <c r="T13" s="185">
        <v>0</v>
      </c>
      <c r="U13" s="147">
        <f t="shared" si="4"/>
        <v>0</v>
      </c>
      <c r="V13" s="187">
        <f t="shared" si="5"/>
        <v>0</v>
      </c>
      <c r="W13" s="176">
        <f t="shared" si="6"/>
        <v>0</v>
      </c>
      <c r="X13" s="61">
        <v>0</v>
      </c>
      <c r="Y13" s="176">
        <f t="shared" si="7"/>
        <v>0</v>
      </c>
      <c r="Z13" s="176">
        <f t="shared" si="21"/>
        <v>909090.90909090906</v>
      </c>
      <c r="AA13" s="187">
        <f t="shared" si="8"/>
        <v>7.8708375378405651E-2</v>
      </c>
      <c r="AC13" s="185">
        <v>0</v>
      </c>
      <c r="AD13" s="185">
        <f t="shared" si="9"/>
        <v>500000</v>
      </c>
      <c r="AE13" s="176">
        <f t="shared" ca="1" si="10"/>
        <v>0</v>
      </c>
      <c r="AF13" s="176">
        <f t="shared" ca="1" si="22"/>
        <v>500000</v>
      </c>
      <c r="AG13" s="147">
        <f t="shared" ca="1" si="11"/>
        <v>625000</v>
      </c>
      <c r="AH13" s="190" t="s">
        <v>513</v>
      </c>
      <c r="AI13" s="191">
        <f t="shared" si="12"/>
        <v>1.0389505549949545</v>
      </c>
      <c r="AJ13" s="191">
        <f t="shared" ca="1" si="23"/>
        <v>0.55000000000000004</v>
      </c>
      <c r="AK13" s="192">
        <f t="shared" ca="1" si="24"/>
        <v>909090.90909090906</v>
      </c>
      <c r="AL13" s="193">
        <v>0</v>
      </c>
      <c r="AM13" s="185">
        <v>0</v>
      </c>
      <c r="AN13" s="147">
        <f t="shared" ca="1" si="13"/>
        <v>909090.90909090906</v>
      </c>
      <c r="AO13" s="187">
        <f t="shared" ca="1" si="14"/>
        <v>6.2713567839195974E-2</v>
      </c>
      <c r="AP13" s="176">
        <f t="shared" ca="1" si="15"/>
        <v>944500.50454086764</v>
      </c>
      <c r="AQ13" s="61">
        <v>0</v>
      </c>
      <c r="AR13" s="176">
        <f t="shared" si="25"/>
        <v>0</v>
      </c>
      <c r="AS13" s="176">
        <f t="shared" ca="1" si="16"/>
        <v>909090.90909090906</v>
      </c>
      <c r="AT13" s="187">
        <f t="shared" ca="1" si="17"/>
        <v>6.2713567839195974E-2</v>
      </c>
      <c r="AU13" s="193" t="s">
        <v>53</v>
      </c>
    </row>
    <row r="14" spans="2:47">
      <c r="B14" s="185" t="s">
        <v>34</v>
      </c>
      <c r="C14" s="61">
        <v>0</v>
      </c>
      <c r="D14" s="186">
        <v>0</v>
      </c>
      <c r="E14" s="186">
        <f t="shared" si="18"/>
        <v>0</v>
      </c>
      <c r="F14" s="187">
        <f t="shared" si="0"/>
        <v>0</v>
      </c>
      <c r="G14" s="61">
        <v>0</v>
      </c>
      <c r="H14" s="186">
        <f t="shared" si="1"/>
        <v>0</v>
      </c>
      <c r="I14" s="187">
        <f t="shared" si="2"/>
        <v>0</v>
      </c>
      <c r="K14" s="185">
        <v>500000</v>
      </c>
      <c r="L14" s="188">
        <v>0</v>
      </c>
      <c r="M14" s="185">
        <v>8300000</v>
      </c>
      <c r="N14" s="189">
        <v>0</v>
      </c>
      <c r="O14" s="190" t="s">
        <v>511</v>
      </c>
      <c r="P14" s="212">
        <f t="shared" ca="1" si="19"/>
        <v>43416</v>
      </c>
      <c r="Q14" s="191">
        <f t="shared" si="3"/>
        <v>0</v>
      </c>
      <c r="R14" s="192">
        <f t="shared" si="20"/>
        <v>0</v>
      </c>
      <c r="S14" s="193">
        <v>0</v>
      </c>
      <c r="T14" s="185">
        <v>0</v>
      </c>
      <c r="U14" s="147">
        <f t="shared" si="4"/>
        <v>0</v>
      </c>
      <c r="V14" s="187">
        <f t="shared" si="5"/>
        <v>0</v>
      </c>
      <c r="W14" s="176">
        <f t="shared" si="6"/>
        <v>0</v>
      </c>
      <c r="X14" s="61">
        <v>0</v>
      </c>
      <c r="Y14" s="176">
        <f t="shared" si="7"/>
        <v>0</v>
      </c>
      <c r="Z14" s="176">
        <f t="shared" si="21"/>
        <v>641025.64102564112</v>
      </c>
      <c r="AA14" s="187">
        <f t="shared" si="8"/>
        <v>5.54994954591322E-2</v>
      </c>
      <c r="AC14" s="185">
        <v>0</v>
      </c>
      <c r="AD14" s="185">
        <f t="shared" si="9"/>
        <v>500000</v>
      </c>
      <c r="AE14" s="176">
        <f t="shared" ca="1" si="10"/>
        <v>0</v>
      </c>
      <c r="AF14" s="176">
        <f t="shared" ca="1" si="22"/>
        <v>500000</v>
      </c>
      <c r="AG14" s="147">
        <f t="shared" ca="1" si="11"/>
        <v>500000</v>
      </c>
      <c r="AH14" s="190" t="s">
        <v>511</v>
      </c>
      <c r="AI14" s="191">
        <f t="shared" si="12"/>
        <v>1.0389505549949545</v>
      </c>
      <c r="AJ14" s="191">
        <f t="shared" ca="1" si="23"/>
        <v>0.71500000000000008</v>
      </c>
      <c r="AK14" s="192">
        <f t="shared" ca="1" si="24"/>
        <v>699300.69930069917</v>
      </c>
      <c r="AL14" s="193">
        <v>0</v>
      </c>
      <c r="AM14" s="185">
        <v>0</v>
      </c>
      <c r="AN14" s="147">
        <f t="shared" ca="1" si="13"/>
        <v>699300.69930069917</v>
      </c>
      <c r="AO14" s="187">
        <f t="shared" ca="1" si="14"/>
        <v>4.8241206030150745E-2</v>
      </c>
      <c r="AP14" s="176">
        <f t="shared" ca="1" si="15"/>
        <v>726538.84964682115</v>
      </c>
      <c r="AQ14" s="61">
        <v>0</v>
      </c>
      <c r="AR14" s="176">
        <f t="shared" si="25"/>
        <v>0</v>
      </c>
      <c r="AS14" s="176">
        <f t="shared" ca="1" si="16"/>
        <v>699300.69930069917</v>
      </c>
      <c r="AT14" s="187">
        <f t="shared" ca="1" si="17"/>
        <v>4.8241206030150745E-2</v>
      </c>
    </row>
    <row r="15" spans="2:47">
      <c r="B15" s="185" t="s">
        <v>60</v>
      </c>
      <c r="C15" s="61">
        <v>0</v>
      </c>
      <c r="D15" s="186">
        <v>0</v>
      </c>
      <c r="E15" s="186">
        <f t="shared" si="18"/>
        <v>0</v>
      </c>
      <c r="F15" s="187">
        <f t="shared" si="0"/>
        <v>0</v>
      </c>
      <c r="G15" s="61">
        <v>0</v>
      </c>
      <c r="H15" s="186">
        <f t="shared" si="1"/>
        <v>0</v>
      </c>
      <c r="I15" s="187">
        <f t="shared" si="2"/>
        <v>0</v>
      </c>
      <c r="K15" s="185">
        <v>0</v>
      </c>
      <c r="L15" s="188">
        <v>0</v>
      </c>
      <c r="M15" s="185">
        <v>0</v>
      </c>
      <c r="N15" s="189">
        <v>0</v>
      </c>
      <c r="O15" s="190" t="s">
        <v>7</v>
      </c>
      <c r="P15" s="212">
        <f t="shared" ca="1" si="19"/>
        <v>43416</v>
      </c>
      <c r="Q15" s="191">
        <f t="shared" si="3"/>
        <v>0</v>
      </c>
      <c r="R15" s="192">
        <f t="shared" si="20"/>
        <v>0</v>
      </c>
      <c r="S15" s="193">
        <v>0</v>
      </c>
      <c r="T15" s="185">
        <v>0</v>
      </c>
      <c r="U15" s="147">
        <f t="shared" si="4"/>
        <v>0</v>
      </c>
      <c r="V15" s="187">
        <f t="shared" si="5"/>
        <v>0</v>
      </c>
      <c r="W15" s="176">
        <f t="shared" si="6"/>
        <v>0</v>
      </c>
      <c r="X15" s="61">
        <v>0</v>
      </c>
      <c r="Y15" s="176">
        <f t="shared" si="7"/>
        <v>0</v>
      </c>
      <c r="Z15" s="176">
        <f t="shared" si="21"/>
        <v>0</v>
      </c>
      <c r="AA15" s="187">
        <f t="shared" si="8"/>
        <v>0</v>
      </c>
      <c r="AC15" s="185">
        <v>3000000</v>
      </c>
      <c r="AD15" s="185">
        <f t="shared" si="9"/>
        <v>0</v>
      </c>
      <c r="AE15" s="176">
        <f t="shared" ca="1" si="10"/>
        <v>0</v>
      </c>
      <c r="AF15" s="176">
        <f t="shared" ca="1" si="22"/>
        <v>0</v>
      </c>
      <c r="AG15" s="147">
        <f t="shared" ca="1" si="11"/>
        <v>0</v>
      </c>
      <c r="AH15" s="190" t="s">
        <v>512</v>
      </c>
      <c r="AI15" s="191">
        <f t="shared" si="12"/>
        <v>1.0389505549949545</v>
      </c>
      <c r="AJ15" s="191">
        <f t="shared" ca="1" si="23"/>
        <v>0</v>
      </c>
      <c r="AK15" s="192">
        <f t="shared" ca="1" si="24"/>
        <v>2887529.137529138</v>
      </c>
      <c r="AL15" s="193">
        <v>0</v>
      </c>
      <c r="AM15" s="185">
        <v>0</v>
      </c>
      <c r="AN15" s="147">
        <f t="shared" ca="1" si="13"/>
        <v>2887529.137529138</v>
      </c>
      <c r="AO15" s="187">
        <f t="shared" ca="1" si="14"/>
        <v>0.19919597989949753</v>
      </c>
      <c r="AP15" s="176">
        <f t="shared" ca="1" si="15"/>
        <v>3000000</v>
      </c>
      <c r="AQ15" s="61">
        <v>0</v>
      </c>
      <c r="AR15" s="176">
        <f t="shared" si="25"/>
        <v>0</v>
      </c>
      <c r="AS15" s="176">
        <f t="shared" ca="1" si="16"/>
        <v>2887529.137529138</v>
      </c>
      <c r="AT15" s="187">
        <f t="shared" ca="1" si="17"/>
        <v>0.19919597989949753</v>
      </c>
    </row>
    <row r="16" spans="2:47">
      <c r="B16" s="185" t="s">
        <v>543</v>
      </c>
      <c r="C16" s="61">
        <v>0</v>
      </c>
      <c r="D16" s="186">
        <v>0</v>
      </c>
      <c r="E16" s="186">
        <f t="shared" ref="E16" si="26">C16+D16</f>
        <v>0</v>
      </c>
      <c r="F16" s="187">
        <f t="shared" si="0"/>
        <v>0</v>
      </c>
      <c r="G16" s="61">
        <v>0</v>
      </c>
      <c r="H16" s="186">
        <f t="shared" si="1"/>
        <v>0</v>
      </c>
      <c r="I16" s="187">
        <f t="shared" si="2"/>
        <v>0</v>
      </c>
      <c r="K16" s="185">
        <v>0</v>
      </c>
      <c r="L16" s="188">
        <v>0</v>
      </c>
      <c r="M16" s="185">
        <v>0</v>
      </c>
      <c r="N16" s="189">
        <v>0</v>
      </c>
      <c r="O16" s="190" t="s">
        <v>7</v>
      </c>
      <c r="P16" s="212">
        <f t="shared" ca="1" si="19"/>
        <v>43416</v>
      </c>
      <c r="Q16" s="191">
        <f t="shared" si="3"/>
        <v>0</v>
      </c>
      <c r="R16" s="192">
        <f t="shared" ref="R16" si="27">IFERROR(K16/Q16,0)</f>
        <v>0</v>
      </c>
      <c r="S16" s="193">
        <v>0</v>
      </c>
      <c r="T16" s="185">
        <v>0</v>
      </c>
      <c r="U16" s="147">
        <f t="shared" si="4"/>
        <v>0</v>
      </c>
      <c r="V16" s="187">
        <f t="shared" si="5"/>
        <v>0</v>
      </c>
      <c r="W16" s="176">
        <f t="shared" si="6"/>
        <v>0</v>
      </c>
      <c r="X16" s="61">
        <v>0</v>
      </c>
      <c r="Y16" s="176">
        <f t="shared" si="7"/>
        <v>0</v>
      </c>
      <c r="Z16" s="176">
        <f t="shared" si="21"/>
        <v>0</v>
      </c>
      <c r="AA16" s="187">
        <f t="shared" si="8"/>
        <v>0</v>
      </c>
      <c r="AC16" s="185">
        <v>0</v>
      </c>
      <c r="AD16" s="185">
        <f t="shared" si="9"/>
        <v>0</v>
      </c>
      <c r="AE16" s="176">
        <f t="shared" ca="1" si="10"/>
        <v>0</v>
      </c>
      <c r="AF16" s="176">
        <f t="shared" ref="AF16" ca="1" si="28">AE16+AD16</f>
        <v>0</v>
      </c>
      <c r="AG16" s="147">
        <f t="shared" ca="1" si="11"/>
        <v>0</v>
      </c>
      <c r="AH16" s="190" t="str">
        <f>O16</f>
        <v>na</v>
      </c>
      <c r="AI16" s="191">
        <f t="shared" si="12"/>
        <v>1.0389505549949545</v>
      </c>
      <c r="AJ16" s="191">
        <f t="shared" ca="1" si="23"/>
        <v>0</v>
      </c>
      <c r="AK16" s="192">
        <f t="shared" ref="AK16" ca="1" si="29">IFERROR(AC16/AI16,0)+IFERROR(AF16/AJ16,0)</f>
        <v>0</v>
      </c>
      <c r="AL16" s="193">
        <v>0</v>
      </c>
      <c r="AM16" s="185">
        <v>0</v>
      </c>
      <c r="AN16" s="147">
        <f t="shared" ca="1" si="13"/>
        <v>0</v>
      </c>
      <c r="AO16" s="187">
        <f t="shared" ca="1" si="14"/>
        <v>0</v>
      </c>
      <c r="AP16" s="176">
        <f t="shared" ca="1" si="15"/>
        <v>0</v>
      </c>
      <c r="AQ16" s="61">
        <v>0</v>
      </c>
      <c r="AR16" s="176">
        <f t="shared" ref="AR16" si="30">Y16+AQ16</f>
        <v>0</v>
      </c>
      <c r="AS16" s="176">
        <f t="shared" ca="1" si="16"/>
        <v>0</v>
      </c>
      <c r="AT16" s="187">
        <f t="shared" ca="1" si="17"/>
        <v>0</v>
      </c>
      <c r="AU16" s="193" t="s">
        <v>49</v>
      </c>
    </row>
    <row r="17" spans="2:47">
      <c r="B17" s="185" t="s">
        <v>543</v>
      </c>
      <c r="C17" s="61">
        <v>0</v>
      </c>
      <c r="D17" s="186">
        <v>0</v>
      </c>
      <c r="E17" s="186">
        <f t="shared" ref="E17:E19" si="31">C17+D17</f>
        <v>0</v>
      </c>
      <c r="F17" s="187">
        <f t="shared" si="0"/>
        <v>0</v>
      </c>
      <c r="G17" s="61">
        <v>0</v>
      </c>
      <c r="H17" s="186">
        <f t="shared" si="1"/>
        <v>0</v>
      </c>
      <c r="I17" s="187">
        <f t="shared" si="2"/>
        <v>0</v>
      </c>
      <c r="K17" s="185">
        <v>0</v>
      </c>
      <c r="L17" s="188">
        <v>0</v>
      </c>
      <c r="M17" s="185">
        <v>0</v>
      </c>
      <c r="N17" s="189">
        <v>0</v>
      </c>
      <c r="O17" s="190" t="s">
        <v>7</v>
      </c>
      <c r="P17" s="212">
        <f t="shared" ca="1" si="19"/>
        <v>43416</v>
      </c>
      <c r="Q17" s="191">
        <f t="shared" si="3"/>
        <v>0</v>
      </c>
      <c r="R17" s="192">
        <f t="shared" ref="R17:R19" si="32">IFERROR(K17/Q17,0)</f>
        <v>0</v>
      </c>
      <c r="S17" s="193">
        <v>0</v>
      </c>
      <c r="T17" s="185">
        <v>0</v>
      </c>
      <c r="U17" s="147">
        <f t="shared" si="4"/>
        <v>0</v>
      </c>
      <c r="V17" s="187">
        <f t="shared" si="5"/>
        <v>0</v>
      </c>
      <c r="W17" s="176">
        <f t="shared" si="6"/>
        <v>0</v>
      </c>
      <c r="X17" s="61">
        <v>0</v>
      </c>
      <c r="Y17" s="176">
        <f t="shared" si="7"/>
        <v>0</v>
      </c>
      <c r="Z17" s="176">
        <f t="shared" si="21"/>
        <v>0</v>
      </c>
      <c r="AA17" s="187">
        <f t="shared" si="8"/>
        <v>0</v>
      </c>
      <c r="AC17" s="185">
        <v>0</v>
      </c>
      <c r="AD17" s="185">
        <f t="shared" si="9"/>
        <v>0</v>
      </c>
      <c r="AE17" s="176">
        <f t="shared" ca="1" si="10"/>
        <v>0</v>
      </c>
      <c r="AF17" s="176">
        <f t="shared" ref="AF17:AF19" ca="1" si="33">AE17+AD17</f>
        <v>0</v>
      </c>
      <c r="AG17" s="147">
        <f t="shared" ca="1" si="11"/>
        <v>0</v>
      </c>
      <c r="AH17" s="190" t="str">
        <f>O17</f>
        <v>na</v>
      </c>
      <c r="AI17" s="191">
        <f t="shared" si="12"/>
        <v>1.0389505549949545</v>
      </c>
      <c r="AJ17" s="191">
        <f t="shared" ca="1" si="23"/>
        <v>0</v>
      </c>
      <c r="AK17" s="192">
        <f t="shared" ref="AK17:AK19" ca="1" si="34">IFERROR(AC17/AI17,0)+IFERROR(AF17/AJ17,0)</f>
        <v>0</v>
      </c>
      <c r="AL17" s="193">
        <v>0</v>
      </c>
      <c r="AM17" s="185">
        <v>0</v>
      </c>
      <c r="AN17" s="147">
        <f t="shared" ca="1" si="13"/>
        <v>0</v>
      </c>
      <c r="AO17" s="187">
        <f t="shared" ca="1" si="14"/>
        <v>0</v>
      </c>
      <c r="AP17" s="176">
        <f t="shared" ca="1" si="15"/>
        <v>0</v>
      </c>
      <c r="AQ17" s="61">
        <v>0</v>
      </c>
      <c r="AR17" s="176">
        <f t="shared" ref="AR17:AR19" si="35">Y17+AQ17</f>
        <v>0</v>
      </c>
      <c r="AS17" s="176">
        <f t="shared" ca="1" si="16"/>
        <v>0</v>
      </c>
      <c r="AT17" s="187">
        <f t="shared" ca="1" si="17"/>
        <v>0</v>
      </c>
      <c r="AU17" s="193" t="s">
        <v>49</v>
      </c>
    </row>
    <row r="18" spans="2:47">
      <c r="B18" s="185" t="s">
        <v>543</v>
      </c>
      <c r="C18" s="61">
        <v>0</v>
      </c>
      <c r="D18" s="186">
        <v>0</v>
      </c>
      <c r="E18" s="186">
        <f t="shared" si="31"/>
        <v>0</v>
      </c>
      <c r="F18" s="187">
        <f t="shared" si="0"/>
        <v>0</v>
      </c>
      <c r="G18" s="61">
        <v>0</v>
      </c>
      <c r="H18" s="186">
        <f t="shared" si="1"/>
        <v>0</v>
      </c>
      <c r="I18" s="187">
        <f t="shared" si="2"/>
        <v>0</v>
      </c>
      <c r="K18" s="185">
        <v>0</v>
      </c>
      <c r="L18" s="188">
        <v>0</v>
      </c>
      <c r="M18" s="185">
        <v>0</v>
      </c>
      <c r="N18" s="189">
        <v>0</v>
      </c>
      <c r="O18" s="190" t="s">
        <v>7</v>
      </c>
      <c r="P18" s="212">
        <f t="shared" ca="1" si="19"/>
        <v>43416</v>
      </c>
      <c r="Q18" s="191">
        <f t="shared" si="3"/>
        <v>0</v>
      </c>
      <c r="R18" s="192">
        <f t="shared" si="32"/>
        <v>0</v>
      </c>
      <c r="S18" s="193">
        <v>0</v>
      </c>
      <c r="T18" s="185">
        <v>0</v>
      </c>
      <c r="U18" s="147">
        <f t="shared" si="4"/>
        <v>0</v>
      </c>
      <c r="V18" s="187">
        <f t="shared" si="5"/>
        <v>0</v>
      </c>
      <c r="W18" s="176">
        <f t="shared" si="6"/>
        <v>0</v>
      </c>
      <c r="X18" s="61">
        <v>0</v>
      </c>
      <c r="Y18" s="176">
        <f t="shared" si="7"/>
        <v>0</v>
      </c>
      <c r="Z18" s="176">
        <f t="shared" si="21"/>
        <v>0</v>
      </c>
      <c r="AA18" s="187">
        <f t="shared" si="8"/>
        <v>0</v>
      </c>
      <c r="AC18" s="185">
        <v>0</v>
      </c>
      <c r="AD18" s="185">
        <f t="shared" si="9"/>
        <v>0</v>
      </c>
      <c r="AE18" s="176">
        <f t="shared" ca="1" si="10"/>
        <v>0</v>
      </c>
      <c r="AF18" s="176">
        <f t="shared" ca="1" si="33"/>
        <v>0</v>
      </c>
      <c r="AG18" s="147">
        <f t="shared" ca="1" si="11"/>
        <v>0</v>
      </c>
      <c r="AH18" s="190" t="str">
        <f>O18</f>
        <v>na</v>
      </c>
      <c r="AI18" s="191">
        <f t="shared" si="12"/>
        <v>1.0389505549949545</v>
      </c>
      <c r="AJ18" s="191">
        <f t="shared" ca="1" si="23"/>
        <v>0</v>
      </c>
      <c r="AK18" s="192">
        <f t="shared" ca="1" si="34"/>
        <v>0</v>
      </c>
      <c r="AL18" s="193">
        <v>0</v>
      </c>
      <c r="AM18" s="185">
        <v>0</v>
      </c>
      <c r="AN18" s="147">
        <f t="shared" ca="1" si="13"/>
        <v>0</v>
      </c>
      <c r="AO18" s="187">
        <f t="shared" ca="1" si="14"/>
        <v>0</v>
      </c>
      <c r="AP18" s="176">
        <f t="shared" ca="1" si="15"/>
        <v>0</v>
      </c>
      <c r="AQ18" s="61">
        <v>0</v>
      </c>
      <c r="AR18" s="176">
        <f t="shared" si="35"/>
        <v>0</v>
      </c>
      <c r="AS18" s="176">
        <f t="shared" ca="1" si="16"/>
        <v>0</v>
      </c>
      <c r="AT18" s="187">
        <f t="shared" ca="1" si="17"/>
        <v>0</v>
      </c>
      <c r="AU18" s="193" t="s">
        <v>49</v>
      </c>
    </row>
    <row r="19" spans="2:47">
      <c r="B19" s="185" t="s">
        <v>543</v>
      </c>
      <c r="C19" s="61">
        <v>0</v>
      </c>
      <c r="D19" s="186">
        <v>0</v>
      </c>
      <c r="E19" s="186">
        <f t="shared" si="31"/>
        <v>0</v>
      </c>
      <c r="F19" s="187">
        <f t="shared" si="0"/>
        <v>0</v>
      </c>
      <c r="G19" s="61">
        <v>0</v>
      </c>
      <c r="H19" s="186">
        <f t="shared" si="1"/>
        <v>0</v>
      </c>
      <c r="I19" s="187">
        <f t="shared" si="2"/>
        <v>0</v>
      </c>
      <c r="K19" s="185">
        <v>0</v>
      </c>
      <c r="L19" s="188">
        <v>0</v>
      </c>
      <c r="M19" s="185">
        <v>0</v>
      </c>
      <c r="N19" s="189">
        <v>0</v>
      </c>
      <c r="O19" s="190" t="s">
        <v>7</v>
      </c>
      <c r="P19" s="212">
        <f t="shared" ca="1" si="19"/>
        <v>43416</v>
      </c>
      <c r="Q19" s="191">
        <f t="shared" si="3"/>
        <v>0</v>
      </c>
      <c r="R19" s="192">
        <f t="shared" si="32"/>
        <v>0</v>
      </c>
      <c r="S19" s="193">
        <v>0</v>
      </c>
      <c r="T19" s="185">
        <v>0</v>
      </c>
      <c r="U19" s="147">
        <f t="shared" si="4"/>
        <v>0</v>
      </c>
      <c r="V19" s="187">
        <f t="shared" si="5"/>
        <v>0</v>
      </c>
      <c r="W19" s="176">
        <f t="shared" si="6"/>
        <v>0</v>
      </c>
      <c r="X19" s="61">
        <v>0</v>
      </c>
      <c r="Y19" s="176">
        <f t="shared" si="7"/>
        <v>0</v>
      </c>
      <c r="Z19" s="176">
        <f t="shared" si="21"/>
        <v>0</v>
      </c>
      <c r="AA19" s="187">
        <f t="shared" si="8"/>
        <v>0</v>
      </c>
      <c r="AC19" s="185">
        <v>0</v>
      </c>
      <c r="AD19" s="185">
        <f t="shared" si="9"/>
        <v>0</v>
      </c>
      <c r="AE19" s="176">
        <f ca="1">IFERROR(FV(N19/12,DATEDIF(P19,AD$44,"m"),0,-AD19)-AD19,0)</f>
        <v>0</v>
      </c>
      <c r="AF19" s="176">
        <f t="shared" ca="1" si="33"/>
        <v>0</v>
      </c>
      <c r="AG19" s="147">
        <f t="shared" ca="1" si="11"/>
        <v>0</v>
      </c>
      <c r="AH19" s="190" t="str">
        <f>O19</f>
        <v>na</v>
      </c>
      <c r="AI19" s="191">
        <f t="shared" si="12"/>
        <v>1.0389505549949545</v>
      </c>
      <c r="AJ19" s="191">
        <f t="shared" ca="1" si="23"/>
        <v>0</v>
      </c>
      <c r="AK19" s="192">
        <f t="shared" ca="1" si="34"/>
        <v>0</v>
      </c>
      <c r="AL19" s="193">
        <v>0</v>
      </c>
      <c r="AM19" s="185">
        <v>0</v>
      </c>
      <c r="AN19" s="147">
        <f t="shared" ca="1" si="13"/>
        <v>0</v>
      </c>
      <c r="AO19" s="187">
        <f t="shared" ca="1" si="14"/>
        <v>0</v>
      </c>
      <c r="AP19" s="176">
        <f t="shared" ca="1" si="15"/>
        <v>0</v>
      </c>
      <c r="AQ19" s="61">
        <v>0</v>
      </c>
      <c r="AR19" s="176">
        <f t="shared" si="35"/>
        <v>0</v>
      </c>
      <c r="AS19" s="176">
        <f t="shared" ca="1" si="16"/>
        <v>0</v>
      </c>
      <c r="AT19" s="187">
        <f t="shared" ca="1" si="17"/>
        <v>0</v>
      </c>
      <c r="AU19" s="193" t="s">
        <v>49</v>
      </c>
    </row>
    <row r="20" spans="2:47" s="197" customFormat="1">
      <c r="B20" s="194"/>
      <c r="C20" s="195"/>
      <c r="D20" s="195"/>
      <c r="E20" s="196"/>
      <c r="G20" s="196"/>
      <c r="K20" s="198"/>
      <c r="L20" s="198"/>
      <c r="M20" s="198"/>
      <c r="N20" s="198"/>
      <c r="O20" s="198"/>
      <c r="P20" s="198"/>
      <c r="Q20" s="198"/>
      <c r="R20" s="199"/>
      <c r="S20" s="200"/>
      <c r="T20" s="198"/>
      <c r="U20" s="201"/>
      <c r="V20" s="202"/>
      <c r="W20" s="200"/>
      <c r="X20" s="196"/>
      <c r="Y20" s="200"/>
      <c r="Z20" s="200"/>
      <c r="AC20" s="198"/>
      <c r="AD20" s="198"/>
      <c r="AE20" s="198"/>
      <c r="AF20" s="198"/>
      <c r="AG20" s="198"/>
      <c r="AH20" s="198"/>
      <c r="AI20" s="198"/>
      <c r="AJ20" s="200"/>
      <c r="AK20" s="200"/>
      <c r="AL20" s="200"/>
      <c r="AM20" s="198"/>
      <c r="AN20" s="201"/>
      <c r="AO20" s="202"/>
      <c r="AP20" s="200"/>
      <c r="AQ20" s="196"/>
      <c r="AR20" s="200"/>
      <c r="AS20" s="200"/>
      <c r="AT20" s="199"/>
    </row>
    <row r="21" spans="2:47" s="197" customFormat="1">
      <c r="B21" s="193" t="s">
        <v>369</v>
      </c>
      <c r="C21" s="61">
        <v>0</v>
      </c>
      <c r="D21" s="186">
        <v>0</v>
      </c>
      <c r="E21" s="186">
        <f t="shared" si="18"/>
        <v>0</v>
      </c>
      <c r="F21" s="187">
        <f>IFERROR(E21/E$25,0)</f>
        <v>0</v>
      </c>
      <c r="G21" s="203">
        <v>0</v>
      </c>
      <c r="H21" s="186">
        <f>E21+G21</f>
        <v>0</v>
      </c>
      <c r="I21" s="187">
        <f>IFERROR(H21/H$25,0)</f>
        <v>0</v>
      </c>
      <c r="J21" s="130"/>
      <c r="K21" s="185">
        <v>0</v>
      </c>
      <c r="L21" s="204">
        <v>0</v>
      </c>
      <c r="M21" s="186">
        <v>0</v>
      </c>
      <c r="N21" s="205">
        <v>0</v>
      </c>
      <c r="O21" s="190" t="s">
        <v>7</v>
      </c>
      <c r="P21" s="215">
        <f ca="1">L$44</f>
        <v>43416</v>
      </c>
      <c r="Q21" s="191">
        <f>L$36</f>
        <v>0</v>
      </c>
      <c r="R21" s="192">
        <f t="shared" si="20"/>
        <v>0</v>
      </c>
      <c r="S21" s="176">
        <v>0</v>
      </c>
      <c r="T21" s="185">
        <v>0</v>
      </c>
      <c r="U21" s="147">
        <f>R21+E21+T21+S21</f>
        <v>0</v>
      </c>
      <c r="V21" s="187">
        <f>IFERROR(U21/U$25,0)</f>
        <v>0</v>
      </c>
      <c r="W21" s="176">
        <f>U21*L$36</f>
        <v>0</v>
      </c>
      <c r="X21" s="176">
        <v>0</v>
      </c>
      <c r="Y21" s="176">
        <f>G21+X21</f>
        <v>0</v>
      </c>
      <c r="Z21" s="176">
        <f t="shared" si="21"/>
        <v>0</v>
      </c>
      <c r="AA21" s="187">
        <f>IFERROR(Z21/Z$25,0)</f>
        <v>0</v>
      </c>
      <c r="AB21" s="130"/>
      <c r="AC21" s="185">
        <v>0</v>
      </c>
      <c r="AD21" s="185">
        <f>IF(SUM(L21:N21)&lt;&gt;0,K21,0)</f>
        <v>0</v>
      </c>
      <c r="AE21" s="176">
        <f ca="1">IFERROR(FV(N21/12,DATEDIF(P21,AD$44,"m"),0,-AD21)-AD21,0)</f>
        <v>0</v>
      </c>
      <c r="AF21" s="176">
        <f t="shared" ref="AF21" ca="1" si="36">AE21+AD21</f>
        <v>0</v>
      </c>
      <c r="AG21" s="147">
        <f ca="1">IF(AND(AD$47="no",AD$45&lt;&gt;"premoney"),IFERROR(AF21/(1-L21),0),IFERROR(AF21/(1-(MAX(L21,(AD$36-M21/U$25)/AD$36))),0))</f>
        <v>0</v>
      </c>
      <c r="AH21" s="190" t="s">
        <v>7</v>
      </c>
      <c r="AI21" s="191">
        <f>AD$36</f>
        <v>1.0389505549949545</v>
      </c>
      <c r="AJ21" s="191">
        <f t="shared" ca="1" si="23"/>
        <v>0</v>
      </c>
      <c r="AK21" s="192">
        <f t="shared" ca="1" si="24"/>
        <v>0</v>
      </c>
      <c r="AL21" s="176">
        <v>0</v>
      </c>
      <c r="AM21" s="185">
        <v>0</v>
      </c>
      <c r="AN21" s="147">
        <f ca="1">AK21+U21+AM21+AL21</f>
        <v>0</v>
      </c>
      <c r="AO21" s="187">
        <f ca="1">IFERROR(AN21/AN$25,0)</f>
        <v>0</v>
      </c>
      <c r="AP21" s="176">
        <f ca="1">AN21*AD$36</f>
        <v>0</v>
      </c>
      <c r="AQ21" s="176">
        <v>0</v>
      </c>
      <c r="AR21" s="176">
        <f t="shared" si="25"/>
        <v>0</v>
      </c>
      <c r="AS21" s="176">
        <f ca="1">IF(AD21=0,IFERROR((AE21+FV(N21/12,DATEDIF(L$44,AD$44,"m"),0,-AD21)-AD21)/(AG21/U$25)/IF(AD$45="postmoney",(1-AD$49),1),0),0)+AN21+AR21</f>
        <v>0</v>
      </c>
      <c r="AT21" s="187">
        <f ca="1">IFERROR(AS21/AS$25,0)</f>
        <v>0</v>
      </c>
    </row>
    <row r="22" spans="2:47">
      <c r="B22" s="193" t="s">
        <v>526</v>
      </c>
      <c r="C22" s="186">
        <v>0</v>
      </c>
      <c r="D22" s="61">
        <v>0</v>
      </c>
      <c r="E22" s="186">
        <f t="shared" si="18"/>
        <v>0</v>
      </c>
      <c r="F22" s="187">
        <f>IFERROR(E22/E$25,0)</f>
        <v>0</v>
      </c>
      <c r="G22" s="203">
        <v>0</v>
      </c>
      <c r="H22" s="186">
        <f>E22+G22</f>
        <v>0</v>
      </c>
      <c r="I22" s="187">
        <f>IFERROR(H22/H$25,0)</f>
        <v>0</v>
      </c>
      <c r="K22" s="185">
        <v>0</v>
      </c>
      <c r="L22" s="204">
        <v>0</v>
      </c>
      <c r="M22" s="186">
        <v>0</v>
      </c>
      <c r="N22" s="205">
        <v>0</v>
      </c>
      <c r="O22" s="190" t="s">
        <v>7</v>
      </c>
      <c r="P22" s="215">
        <f ca="1">L$44</f>
        <v>43416</v>
      </c>
      <c r="Q22" s="191">
        <f>L$36</f>
        <v>0</v>
      </c>
      <c r="R22" s="192">
        <f t="shared" si="20"/>
        <v>0</v>
      </c>
      <c r="S22" s="206">
        <f>L42*D23-R21</f>
        <v>0</v>
      </c>
      <c r="T22" s="185">
        <v>0</v>
      </c>
      <c r="U22" s="147">
        <f>R22+E22+T22+S22</f>
        <v>0</v>
      </c>
      <c r="V22" s="187">
        <f>IFERROR(U22/U$25,0)</f>
        <v>0</v>
      </c>
      <c r="W22" s="176">
        <f>U22*L$36</f>
        <v>0</v>
      </c>
      <c r="X22" s="176">
        <v>0</v>
      </c>
      <c r="Y22" s="176">
        <f>G22+X22</f>
        <v>0</v>
      </c>
      <c r="Z22" s="176">
        <f t="shared" si="21"/>
        <v>0</v>
      </c>
      <c r="AA22" s="187">
        <f>IFERROR(Z22/Z$25,0)</f>
        <v>0</v>
      </c>
      <c r="AC22" s="185">
        <v>0</v>
      </c>
      <c r="AD22" s="185">
        <f>IF(SUM(L22:N22)&lt;&gt;0,K22,0)</f>
        <v>0</v>
      </c>
      <c r="AE22" s="176">
        <f ca="1">IFERROR(FV(N22/12,DATEDIF(P22,AD$44,"m"),0,-AD22)-AD22,0)</f>
        <v>0</v>
      </c>
      <c r="AF22" s="176">
        <f t="shared" ca="1" si="22"/>
        <v>0</v>
      </c>
      <c r="AG22" s="147">
        <f ca="1">IF(AND(AD$47="no",AD$45&lt;&gt;"premoney"),IFERROR(AF22/(1-L22),0),IFERROR(AF22/(1-(MAX(L22,(AD$36-M22/U$25)/AD$36))),0))</f>
        <v>0</v>
      </c>
      <c r="AH22" s="190" t="s">
        <v>7</v>
      </c>
      <c r="AI22" s="191">
        <f>AD$36</f>
        <v>1.0389505549949545</v>
      </c>
      <c r="AJ22" s="191">
        <f t="shared" ca="1" si="23"/>
        <v>0</v>
      </c>
      <c r="AK22" s="192">
        <f t="shared" ca="1" si="24"/>
        <v>0</v>
      </c>
      <c r="AL22" s="206">
        <f ca="1">AD42*U23-AK21</f>
        <v>0</v>
      </c>
      <c r="AM22" s="185">
        <v>0</v>
      </c>
      <c r="AN22" s="147">
        <f ca="1">AK22+U22+AM22+AL22</f>
        <v>0</v>
      </c>
      <c r="AO22" s="187">
        <f ca="1">IFERROR(AN22/AN$25,0)</f>
        <v>0</v>
      </c>
      <c r="AP22" s="176">
        <f ca="1">AN22*AD$36</f>
        <v>0</v>
      </c>
      <c r="AQ22" s="176">
        <v>0</v>
      </c>
      <c r="AR22" s="176">
        <f t="shared" si="25"/>
        <v>0</v>
      </c>
      <c r="AS22" s="176">
        <f ca="1">IF(AD22=0,IFERROR((AE22+FV(N22/12,DATEDIF(L$44,AD$44,"m"),0,-AD22)-AD22)/(AG22/U$25)/IF(AD$45="postmoney",(1-AD$49),1),0),0)+AN22+AR22</f>
        <v>0</v>
      </c>
      <c r="AT22" s="187">
        <f ca="1">IFERROR(AS22/AS$25,0)</f>
        <v>0</v>
      </c>
    </row>
    <row r="23" spans="2:47">
      <c r="B23" s="185" t="s">
        <v>532</v>
      </c>
      <c r="C23" s="186">
        <v>0</v>
      </c>
      <c r="D23" s="61">
        <v>0</v>
      </c>
      <c r="E23" s="186">
        <f t="shared" si="18"/>
        <v>0</v>
      </c>
      <c r="F23" s="187">
        <f>IFERROR(E23/E$25,0)</f>
        <v>0</v>
      </c>
      <c r="G23" s="203">
        <v>0</v>
      </c>
      <c r="H23" s="186">
        <f>E23+G23</f>
        <v>0</v>
      </c>
      <c r="I23" s="187">
        <f>IFERROR(H23/H$25,0)</f>
        <v>0</v>
      </c>
      <c r="K23" s="185">
        <v>0</v>
      </c>
      <c r="L23" s="204">
        <v>0</v>
      </c>
      <c r="M23" s="186">
        <v>0</v>
      </c>
      <c r="N23" s="205">
        <v>0</v>
      </c>
      <c r="O23" s="190" t="s">
        <v>7</v>
      </c>
      <c r="P23" s="215">
        <f ca="1">L$44</f>
        <v>43416</v>
      </c>
      <c r="Q23" s="191">
        <f>L36</f>
        <v>0</v>
      </c>
      <c r="R23" s="192">
        <f t="shared" si="20"/>
        <v>0</v>
      </c>
      <c r="S23" s="147">
        <f>L41-(S22+R21)</f>
        <v>0</v>
      </c>
      <c r="T23" s="185">
        <v>0</v>
      </c>
      <c r="U23" s="147">
        <f>R23+E23+T23+S23</f>
        <v>0</v>
      </c>
      <c r="V23" s="187">
        <f>IFERROR(U23/U$25,0)</f>
        <v>0</v>
      </c>
      <c r="W23" s="176">
        <f>U23*L$36</f>
        <v>0</v>
      </c>
      <c r="X23" s="176">
        <v>0</v>
      </c>
      <c r="Y23" s="176">
        <f>G23+X23</f>
        <v>0</v>
      </c>
      <c r="Z23" s="176">
        <f t="shared" si="21"/>
        <v>0</v>
      </c>
      <c r="AA23" s="187">
        <f>IFERROR(Z23/Z$25,0)</f>
        <v>0</v>
      </c>
      <c r="AC23" s="185">
        <v>0</v>
      </c>
      <c r="AD23" s="185">
        <f>IF(SUM(L23:N23)&lt;&gt;0,K23,0)</f>
        <v>0</v>
      </c>
      <c r="AE23" s="176">
        <f ca="1">IFERROR(FV(N23/12,DATEDIF(P23,AD$44,"m"),0,-AD23)-AD23,0)</f>
        <v>0</v>
      </c>
      <c r="AF23" s="176">
        <f t="shared" ca="1" si="22"/>
        <v>0</v>
      </c>
      <c r="AG23" s="147">
        <f ca="1">IF(AND(AD$47="no",AD$45&lt;&gt;"premoney"),IFERROR(AF23/(1-L23),0),IFERROR(AF23/(1-(MAX(L23,(AD$36-M23/U$25)/AD$36))),0))</f>
        <v>0</v>
      </c>
      <c r="AH23" s="190" t="s">
        <v>7</v>
      </c>
      <c r="AI23" s="191">
        <f>AD36</f>
        <v>1.0389505549949545</v>
      </c>
      <c r="AJ23" s="191">
        <f t="shared" ca="1" si="23"/>
        <v>0</v>
      </c>
      <c r="AK23" s="192">
        <f t="shared" ca="1" si="24"/>
        <v>0</v>
      </c>
      <c r="AL23" s="147">
        <f ca="1">AD41-(AL22+AK21)</f>
        <v>0</v>
      </c>
      <c r="AM23" s="185">
        <v>0</v>
      </c>
      <c r="AN23" s="147">
        <f ca="1">AK23+U23+AM23+AL23</f>
        <v>0</v>
      </c>
      <c r="AO23" s="187">
        <f ca="1">IFERROR(AN23/AN$25,0)</f>
        <v>0</v>
      </c>
      <c r="AP23" s="176">
        <f ca="1">AN23*AD$36</f>
        <v>0</v>
      </c>
      <c r="AQ23" s="176">
        <v>0</v>
      </c>
      <c r="AR23" s="176">
        <f t="shared" si="25"/>
        <v>0</v>
      </c>
      <c r="AS23" s="176">
        <f ca="1">IF(AD23=0,IFERROR((AE23+FV(N23/12,DATEDIF(L$44,AD$44,"m"),0,-AD23)-AD23)/(AG23/U$25)/IF(AD$45="postmoney",(1-AD$49),1),0),0)+AN23+AR23</f>
        <v>0</v>
      </c>
      <c r="AT23" s="187">
        <f ca="1">IFERROR(AS23/AS$25,0)</f>
        <v>0</v>
      </c>
    </row>
    <row r="24" spans="2:47">
      <c r="F24" s="138"/>
      <c r="H24" s="138"/>
      <c r="I24" s="138"/>
      <c r="R24" s="152"/>
      <c r="AK24" s="152"/>
    </row>
    <row r="25" spans="2:47">
      <c r="B25" s="207" t="s">
        <v>3</v>
      </c>
      <c r="C25" s="208">
        <f t="shared" ref="C25:I25" si="37">SUM(C8:C23)</f>
        <v>10000000</v>
      </c>
      <c r="D25" s="208">
        <f t="shared" si="37"/>
        <v>0</v>
      </c>
      <c r="E25" s="208">
        <f t="shared" si="37"/>
        <v>10000000</v>
      </c>
      <c r="F25" s="209">
        <f t="shared" si="37"/>
        <v>1</v>
      </c>
      <c r="G25" s="208">
        <f t="shared" si="37"/>
        <v>0</v>
      </c>
      <c r="H25" s="208">
        <f t="shared" si="37"/>
        <v>10000000</v>
      </c>
      <c r="I25" s="209">
        <f t="shared" si="37"/>
        <v>1</v>
      </c>
      <c r="K25" s="208">
        <f>SUM(K8:K23)</f>
        <v>1000000</v>
      </c>
      <c r="L25" s="208"/>
      <c r="M25" s="208"/>
      <c r="N25" s="208"/>
      <c r="O25" s="208"/>
      <c r="P25" s="208"/>
      <c r="Q25" s="207"/>
      <c r="R25" s="208">
        <f t="shared" ref="R25:AA25" si="38">SUM(R8:R23)</f>
        <v>0</v>
      </c>
      <c r="S25" s="208">
        <f t="shared" si="38"/>
        <v>0</v>
      </c>
      <c r="T25" s="208">
        <f t="shared" si="38"/>
        <v>0</v>
      </c>
      <c r="U25" s="208">
        <f t="shared" si="38"/>
        <v>10000000</v>
      </c>
      <c r="V25" s="209">
        <f t="shared" si="38"/>
        <v>1</v>
      </c>
      <c r="W25" s="208">
        <f t="shared" si="38"/>
        <v>0</v>
      </c>
      <c r="X25" s="208">
        <f t="shared" si="38"/>
        <v>0</v>
      </c>
      <c r="Y25" s="208">
        <f t="shared" si="38"/>
        <v>0</v>
      </c>
      <c r="Z25" s="208">
        <f t="shared" si="38"/>
        <v>11550116.55011655</v>
      </c>
      <c r="AA25" s="209">
        <f t="shared" si="38"/>
        <v>1</v>
      </c>
      <c r="AC25" s="208">
        <f>SUM(AC8:AC23)</f>
        <v>3000000</v>
      </c>
      <c r="AD25" s="208">
        <f>SUM(AD8:AD23)</f>
        <v>1000000</v>
      </c>
      <c r="AE25" s="208">
        <f ca="1">SUM(AE8:AE23)</f>
        <v>0</v>
      </c>
      <c r="AF25" s="208">
        <f ca="1">SUM(AF8:AF23)</f>
        <v>1000000</v>
      </c>
      <c r="AG25" s="208">
        <f ca="1">SUM(AG8:AG23)</f>
        <v>1125000</v>
      </c>
      <c r="AH25" s="208"/>
      <c r="AI25" s="207"/>
      <c r="AJ25" s="207"/>
      <c r="AK25" s="208">
        <f t="shared" ref="AK25:AT25" ca="1" si="39">SUM(AK8:AK23)</f>
        <v>4495920.7459207457</v>
      </c>
      <c r="AL25" s="208">
        <f t="shared" ca="1" si="39"/>
        <v>0</v>
      </c>
      <c r="AM25" s="208">
        <f t="shared" si="39"/>
        <v>0</v>
      </c>
      <c r="AN25" s="208">
        <f t="shared" ca="1" si="39"/>
        <v>14495920.745920746</v>
      </c>
      <c r="AO25" s="209">
        <f t="shared" ca="1" si="39"/>
        <v>1</v>
      </c>
      <c r="AP25" s="208">
        <f t="shared" ca="1" si="39"/>
        <v>15060544.904137235</v>
      </c>
      <c r="AQ25" s="208">
        <f t="shared" si="39"/>
        <v>0</v>
      </c>
      <c r="AR25" s="208">
        <f t="shared" si="39"/>
        <v>0</v>
      </c>
      <c r="AS25" s="208">
        <f t="shared" ca="1" si="39"/>
        <v>14495920.745920746</v>
      </c>
      <c r="AT25" s="209">
        <f t="shared" ca="1" si="39"/>
        <v>1</v>
      </c>
    </row>
    <row r="28" spans="2:47">
      <c r="K28" s="210" t="s">
        <v>546</v>
      </c>
      <c r="L28" s="132"/>
      <c r="M28" s="132"/>
      <c r="AC28" s="210" t="s">
        <v>548</v>
      </c>
      <c r="AJ28" s="173"/>
    </row>
    <row r="29" spans="2:47">
      <c r="K29" s="130" t="str">
        <f>L45&amp;" Total Invested"</f>
        <v>$ Total Invested</v>
      </c>
      <c r="L29" s="147">
        <f>K25</f>
        <v>1000000</v>
      </c>
      <c r="AC29" s="130" t="str">
        <f>L45&amp;" Total Invested"</f>
        <v>$ Total Invested</v>
      </c>
      <c r="AD29" s="147">
        <f>AC25</f>
        <v>3000000</v>
      </c>
    </row>
    <row r="30" spans="2:47">
      <c r="K30" s="130" t="str">
        <f>L45&amp;" Converted"</f>
        <v>$ Converted</v>
      </c>
      <c r="L30" s="147">
        <v>0</v>
      </c>
      <c r="AC30" s="130" t="str">
        <f>L45&amp;" Converted"</f>
        <v>$ Converted</v>
      </c>
      <c r="AD30" s="147">
        <f ca="1">AF25</f>
        <v>1000000</v>
      </c>
    </row>
    <row r="31" spans="2:47">
      <c r="K31" s="130" t="str">
        <f>L45&amp;" Value Converted"</f>
        <v>$ Value Converted</v>
      </c>
      <c r="L31" s="147">
        <v>0</v>
      </c>
      <c r="AC31" s="130" t="str">
        <f>L45&amp;" Value Converted"</f>
        <v>$ Value Converted</v>
      </c>
      <c r="AD31" s="147">
        <f ca="1">AG25</f>
        <v>1125000</v>
      </c>
    </row>
    <row r="32" spans="2:47">
      <c r="K32" s="130" t="str">
        <f>L45&amp;" Effective Premoney Valuation"</f>
        <v>$ Effective Premoney Valuation</v>
      </c>
      <c r="L32" s="147">
        <f>MAX(0,L33-L34*L39)</f>
        <v>0</v>
      </c>
      <c r="AC32" s="130" t="str">
        <f>L45&amp;" Effective Premoney Valuation"</f>
        <v>$ Effective Premoney Valuation</v>
      </c>
      <c r="AD32" s="147">
        <f>MAX(0,AD33-AD34*AD39-IF(AD45="$ invested",AD31-AD30,IF(AD45="% ownership",AD31,0)))</f>
        <v>12000000</v>
      </c>
      <c r="AE32" s="130" t="s">
        <v>114</v>
      </c>
      <c r="AF32" s="147"/>
      <c r="AG32" s="147"/>
      <c r="AH32" s="147"/>
      <c r="AI32" s="147"/>
      <c r="AJ32" s="147"/>
    </row>
    <row r="33" spans="11:37">
      <c r="K33" s="130" t="str">
        <f>L45&amp;" Premoney Valuation"</f>
        <v>$ Premoney Valuation</v>
      </c>
      <c r="L33" s="185">
        <v>0</v>
      </c>
      <c r="AC33" s="130" t="str">
        <f>L45&amp;" Premoney Valuation"</f>
        <v>$ Premoney Valuation</v>
      </c>
      <c r="AD33" s="185">
        <v>12000000</v>
      </c>
    </row>
    <row r="34" spans="11:37">
      <c r="K34" s="130" t="str">
        <f>L45&amp;" Postmoney Valuation"</f>
        <v>$ Postmoney Valuation</v>
      </c>
      <c r="L34" s="186">
        <f>IF(L33=0,0,L33+SUMIFS(K8:K23,O8:O23,"equity")+SUMIFS(K8:K23,O8:O23,"warrants"))</f>
        <v>0</v>
      </c>
      <c r="AC34" s="130" t="str">
        <f>L45&amp;" Postmoney Valuation"</f>
        <v>$ Postmoney Valuation</v>
      </c>
      <c r="AD34" s="147">
        <f>IF(AD33=0,0,AD33+SUMIFS(AC8:AC23,AH8:AH23,"equity")+SUMIFS(AC8:AC23,AH8:AH23,"warrants")+IF(AD45="$ invested",AD30,0))</f>
        <v>15000000</v>
      </c>
    </row>
    <row r="35" spans="11:37">
      <c r="K35" s="130" t="str">
        <f>L45&amp;" Effective Postmoney Valuation"</f>
        <v>$ Effective Postmoney Valuation</v>
      </c>
      <c r="L35" s="147">
        <f>IF(L33=0,0,L33+L29+L31+IFERROR(L40*L34/(L36*(1-L40)),L40*E25/(1-L40))*L36)</f>
        <v>0</v>
      </c>
      <c r="AC35" s="130" t="str">
        <f>L45&amp;" Effective Postmoney Valuation"</f>
        <v>$ Effective Postmoney Valuation</v>
      </c>
      <c r="AD35" s="147">
        <f>IF(AD33=0,0,IF(AD45="% ownership",AD34,AD33+AD29+IF(AD45="premoney",AD31,IF(AD45="$ invested",AD30,0)))+IFERROR(AD40*AD34/(AD36*(1-AD40)),AD40*U25/(1-AD40))*AD36)</f>
        <v>15000000</v>
      </c>
    </row>
    <row r="36" spans="11:37">
      <c r="K36" s="152" t="str">
        <f>L45&amp;" Share Price"</f>
        <v>$ Share Price</v>
      </c>
      <c r="L36" s="191">
        <f>L32/E25</f>
        <v>0</v>
      </c>
      <c r="AC36" s="152" t="str">
        <f>L45&amp;" Share Price"</f>
        <v>$ Share Price</v>
      </c>
      <c r="AD36" s="191">
        <f>AD32/(U25+IF(AD45="postmoney",IF(AD47="no",Z25-Y25-U25,SUMIFS(AK8:AK24,AD8:AD24,"&lt;&gt;0")),0))</f>
        <v>1.0389505549949545</v>
      </c>
    </row>
    <row r="37" spans="11:37">
      <c r="K37" s="130" t="s">
        <v>63</v>
      </c>
      <c r="L37" s="151">
        <f>IFERROR(L29/L34,0)</f>
        <v>0</v>
      </c>
      <c r="AC37" s="130" t="s">
        <v>63</v>
      </c>
      <c r="AD37" s="151">
        <f>IFERROR(AD29/AD34,0)</f>
        <v>0.2</v>
      </c>
    </row>
    <row r="38" spans="11:37">
      <c r="M38" s="193"/>
      <c r="AE38" s="193"/>
    </row>
    <row r="39" spans="11:37">
      <c r="K39" s="130" t="s">
        <v>544</v>
      </c>
      <c r="L39" s="189">
        <v>0</v>
      </c>
      <c r="M39" s="193" t="s">
        <v>48</v>
      </c>
      <c r="AC39" s="130" t="s">
        <v>544</v>
      </c>
      <c r="AD39" s="189">
        <v>0</v>
      </c>
      <c r="AE39" s="193" t="s">
        <v>48</v>
      </c>
    </row>
    <row r="40" spans="11:37">
      <c r="K40" s="130" t="s">
        <v>545</v>
      </c>
      <c r="L40" s="189">
        <v>0</v>
      </c>
      <c r="M40" s="193" t="s">
        <v>48</v>
      </c>
      <c r="AC40" s="130" t="s">
        <v>545</v>
      </c>
      <c r="AD40" s="189">
        <v>0</v>
      </c>
      <c r="AE40" s="193" t="s">
        <v>48</v>
      </c>
    </row>
    <row r="41" spans="11:37">
      <c r="K41" s="130" t="s">
        <v>531</v>
      </c>
      <c r="L41" s="211">
        <f>IFERROR(L40*L34/(L36*(1-L40)),L40*E25/(1-L40))+IFERROR(L39*L34/L36,L39*E25)</f>
        <v>0</v>
      </c>
      <c r="M41" s="193" t="s">
        <v>260</v>
      </c>
      <c r="AC41" s="130" t="s">
        <v>531</v>
      </c>
      <c r="AD41" s="211">
        <f>IFERROR(AD40*AD34/(AD36*(1-AD40)),AD40*U25/(1-AD40))+IFERROR(AD39*AD34/AD36,AD39*U25)</f>
        <v>0</v>
      </c>
      <c r="AE41" s="193" t="s">
        <v>260</v>
      </c>
    </row>
    <row r="42" spans="11:37">
      <c r="K42" s="130" t="s">
        <v>136</v>
      </c>
      <c r="L42" s="189">
        <v>0</v>
      </c>
      <c r="M42" s="193" t="s">
        <v>128</v>
      </c>
      <c r="AC42" s="130" t="s">
        <v>136</v>
      </c>
      <c r="AD42" s="189">
        <v>0</v>
      </c>
      <c r="AE42" s="193" t="s">
        <v>128</v>
      </c>
    </row>
    <row r="43" spans="11:37">
      <c r="K43" s="130" t="s">
        <v>323</v>
      </c>
      <c r="L43" s="189">
        <v>0</v>
      </c>
      <c r="AC43" s="130" t="s">
        <v>323</v>
      </c>
      <c r="AD43" s="189">
        <v>0</v>
      </c>
    </row>
    <row r="44" spans="11:37">
      <c r="K44" s="130" t="s">
        <v>17</v>
      </c>
      <c r="L44" s="212">
        <f ca="1">EDATE(TODAY(),-18)</f>
        <v>43416</v>
      </c>
      <c r="M44" s="193" t="s">
        <v>139</v>
      </c>
      <c r="AC44" s="130" t="s">
        <v>17</v>
      </c>
      <c r="AD44" s="212">
        <f ca="1">TODAY()</f>
        <v>43963</v>
      </c>
      <c r="AE44" s="193" t="s">
        <v>139</v>
      </c>
      <c r="AK44" s="193"/>
    </row>
    <row r="45" spans="11:37">
      <c r="K45" s="130" t="s">
        <v>549</v>
      </c>
      <c r="L45" s="213" t="s">
        <v>124</v>
      </c>
      <c r="M45" s="130" t="s">
        <v>550</v>
      </c>
      <c r="AC45" s="130" t="s">
        <v>290</v>
      </c>
      <c r="AD45" s="213" t="s">
        <v>308</v>
      </c>
      <c r="AE45" s="193" t="s">
        <v>114</v>
      </c>
    </row>
    <row r="46" spans="11:37">
      <c r="AC46" s="130" t="s">
        <v>293</v>
      </c>
      <c r="AD46" s="171" t="str">
        <f>IF(OR(AD45="$ invested",AD45="% ownership",AD45="postmoney"),"yes","no")</f>
        <v>yes</v>
      </c>
      <c r="AE46" s="193" t="s">
        <v>119</v>
      </c>
    </row>
    <row r="47" spans="11:37">
      <c r="AC47" s="130" t="s">
        <v>144</v>
      </c>
      <c r="AD47" s="213" t="s">
        <v>145</v>
      </c>
      <c r="AE47" s="193" t="s">
        <v>119</v>
      </c>
    </row>
    <row r="48" spans="11:37">
      <c r="AC48" s="130" t="s">
        <v>294</v>
      </c>
      <c r="AD48" s="176">
        <f ca="1">AP25-AD35</f>
        <v>60544.904137235135</v>
      </c>
      <c r="AE48" s="193" t="s">
        <v>261</v>
      </c>
    </row>
    <row r="49" spans="2:31">
      <c r="AC49" s="130" t="s">
        <v>534</v>
      </c>
      <c r="AD49" s="187">
        <f>IF(O13="postmoney safe",IFERROR(K$13/M$13,0),0)+IF(O14="postmoney safe",IFERROR(K$14/M$14,0),0)+IF(O15="postmoney safe",IFERROR(K$15/M$15,0),0)+IF(O8="postmoney safe",IFERROR(K$8/M$8,0),0)+IF(O9="postmoney safe",IFERROR(K$9/M$9,0),0)+IF(O10="postmoney safe",IFERROR(K$10/M$10,0),0)+IF(O11="postmoney safe",IFERROR(K$11/M$11,0),0)+IF(O12="postmoney safe",IFERROR(K$12/M$12,0),0)+IF(O22="postmoney safe",IFERROR(K$22/M$22,0),0)+IF(O23="postmoney safe",IFERROR(K$23/M$23,0),0)</f>
        <v>6.0240963855421686E-2</v>
      </c>
      <c r="AE49" s="193" t="s">
        <v>262</v>
      </c>
    </row>
    <row r="50" spans="2:31">
      <c r="AC50" s="130" t="s">
        <v>535</v>
      </c>
      <c r="AD50" s="176">
        <f ca="1">SUMIFS(AK8:AK24,AD8:AD24,"&lt;&gt;0",AH8:AH24,"&lt;&gt;"&amp;"postmoney SAFE")</f>
        <v>909090.90909090906</v>
      </c>
      <c r="AE50" s="193" t="s">
        <v>522</v>
      </c>
    </row>
    <row r="51" spans="2:31">
      <c r="AD51" s="176"/>
      <c r="AE51" s="193"/>
    </row>
    <row r="52" spans="2:31">
      <c r="B52" s="174" t="s">
        <v>24</v>
      </c>
      <c r="AE52" s="193"/>
    </row>
    <row r="53" spans="2:31">
      <c r="B53" s="130" t="s">
        <v>134</v>
      </c>
    </row>
    <row r="54" spans="2:31">
      <c r="B54" s="130" t="s">
        <v>155</v>
      </c>
    </row>
    <row r="55" spans="2:31">
      <c r="B55" s="130" t="s">
        <v>138</v>
      </c>
    </row>
    <row r="56" spans="2:31">
      <c r="B56" s="130" t="s">
        <v>140</v>
      </c>
    </row>
    <row r="57" spans="2:31">
      <c r="B57" s="130" t="s">
        <v>141</v>
      </c>
    </row>
    <row r="58" spans="2:31">
      <c r="B58" s="130" t="s">
        <v>142</v>
      </c>
    </row>
    <row r="59" spans="2:31">
      <c r="B59" s="130" t="s">
        <v>283</v>
      </c>
    </row>
    <row r="60" spans="2:31">
      <c r="B60" s="130" t="s">
        <v>284</v>
      </c>
    </row>
    <row r="61" spans="2:31">
      <c r="B61" s="130" t="s">
        <v>287</v>
      </c>
    </row>
    <row r="62" spans="2:31">
      <c r="B62" s="130" t="s">
        <v>291</v>
      </c>
    </row>
    <row r="63" spans="2:31">
      <c r="B63" s="130" t="s">
        <v>292</v>
      </c>
    </row>
    <row r="64" spans="2:31">
      <c r="B64" s="130" t="s">
        <v>295</v>
      </c>
    </row>
    <row r="65" spans="2:2">
      <c r="B65" s="130" t="s">
        <v>520</v>
      </c>
    </row>
    <row r="66" spans="2:2">
      <c r="B66" s="130" t="s">
        <v>519</v>
      </c>
    </row>
    <row r="67" spans="2:2">
      <c r="B67" s="130" t="s">
        <v>525</v>
      </c>
    </row>
    <row r="68" spans="2:2">
      <c r="B68" s="130" t="s">
        <v>530</v>
      </c>
    </row>
    <row r="69" spans="2:2">
      <c r="B69" s="130" t="s">
        <v>556</v>
      </c>
    </row>
    <row r="70" spans="2:2">
      <c r="B70" s="130" t="s">
        <v>547</v>
      </c>
    </row>
    <row r="71" spans="2:2">
      <c r="B71" s="130" t="s">
        <v>551</v>
      </c>
    </row>
    <row r="72" spans="2:2">
      <c r="B72" s="130" t="s">
        <v>553</v>
      </c>
    </row>
    <row r="73" spans="2:2">
      <c r="B73" s="130" t="s">
        <v>554</v>
      </c>
    </row>
    <row r="74" spans="2:2">
      <c r="B74" s="130" t="s">
        <v>575</v>
      </c>
    </row>
  </sheetData>
  <conditionalFormatting sqref="AD48">
    <cfRule type="expression" dxfId="1" priority="1">
      <formula>"&lt;&gt;0"</formula>
    </cfRule>
  </conditionalFormatting>
  <dataValidations count="3">
    <dataValidation type="list" allowBlank="1" showInputMessage="1" showErrorMessage="1" sqref="AD47" xr:uid="{00000000-0002-0000-1000-000000000000}">
      <formula1>"no,yes"</formula1>
    </dataValidation>
    <dataValidation type="list" allowBlank="1" showInputMessage="1" showErrorMessage="1" sqref="AD45" xr:uid="{00000000-0002-0000-1000-000001000000}">
      <formula1>"premoney,postmoney,% ownership, $ invested"</formula1>
    </dataValidation>
    <dataValidation type="list" allowBlank="1" showInputMessage="1" showErrorMessage="1" sqref="AH21:AH23 O8:O19 AH8:AH19 O21:O23" xr:uid="{B8513A90-42CE-8E4D-A056-A52AE0ED06FC}">
      <formula1>"premoney SAFE,postmoney SAFE,convertible note,equity,original issuance,grant or cancellation,available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L46"/>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2.83203125" style="1" customWidth="1"/>
    <col min="7" max="11" width="18.6640625" style="1" customWidth="1"/>
    <col min="12" max="15" width="10.83203125" style="1"/>
    <col min="16" max="16" width="12.6640625" style="1" customWidth="1"/>
    <col min="17" max="16384" width="10.83203125" style="1"/>
  </cols>
  <sheetData>
    <row r="2" spans="2:12">
      <c r="B2" s="16" t="s">
        <v>23</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D8*C$17</f>
        <v>6000000</v>
      </c>
      <c r="D8" s="20">
        <v>0.6</v>
      </c>
      <c r="E8" s="8" t="s">
        <v>48</v>
      </c>
      <c r="F8" s="11">
        <v>0</v>
      </c>
      <c r="G8" s="25">
        <f>G$24</f>
        <v>0.3</v>
      </c>
      <c r="H8" s="8">
        <f>IFERROR(F8/G8,0)</f>
        <v>0</v>
      </c>
      <c r="I8" s="5">
        <f>H8+C8</f>
        <v>6000000</v>
      </c>
      <c r="J8" s="23">
        <f>IFERROR(I8/I$17,0)</f>
        <v>0.48</v>
      </c>
      <c r="K8" s="3">
        <f>I8*G$24</f>
        <v>1800000</v>
      </c>
      <c r="L8" s="8" t="s">
        <v>50</v>
      </c>
    </row>
    <row r="9" spans="2:12">
      <c r="B9" s="11" t="s">
        <v>27</v>
      </c>
      <c r="C9" s="12">
        <f>D9*C$17</f>
        <v>3000000</v>
      </c>
      <c r="D9" s="20">
        <v>0.3</v>
      </c>
      <c r="F9" s="11">
        <v>0</v>
      </c>
      <c r="G9" s="25">
        <f>G$24</f>
        <v>0.3</v>
      </c>
      <c r="H9" s="8">
        <f>IFERROR(F9/G9,0)</f>
        <v>0</v>
      </c>
      <c r="I9" s="5">
        <f>H9+C9</f>
        <v>3000000</v>
      </c>
      <c r="J9" s="23">
        <f>IFERROR(I9/I$17,0)</f>
        <v>0.24</v>
      </c>
      <c r="K9" s="3">
        <f>I9*G$24</f>
        <v>900000</v>
      </c>
    </row>
    <row r="10" spans="2:12">
      <c r="B10" s="11" t="s">
        <v>29</v>
      </c>
      <c r="C10" s="12">
        <f>D10*C$17</f>
        <v>500000</v>
      </c>
      <c r="D10" s="20">
        <v>0.05</v>
      </c>
      <c r="F10" s="11">
        <v>0</v>
      </c>
      <c r="G10" s="25">
        <f>G$24</f>
        <v>0.3</v>
      </c>
      <c r="H10" s="8">
        <f>IFERROR(F10/G10,0)</f>
        <v>0</v>
      </c>
      <c r="I10" s="5">
        <f t="shared" ref="I10:I15" si="0">H10+C10</f>
        <v>500000</v>
      </c>
      <c r="J10" s="23">
        <f>IFERROR(I10/I$17,0)</f>
        <v>0.04</v>
      </c>
      <c r="K10" s="3">
        <f>I10*G$24</f>
        <v>150000</v>
      </c>
    </row>
    <row r="11" spans="2:12">
      <c r="B11" s="11" t="s">
        <v>29</v>
      </c>
      <c r="C11" s="12">
        <f>D11*C$17</f>
        <v>300000</v>
      </c>
      <c r="D11" s="20">
        <v>0.03</v>
      </c>
      <c r="F11" s="11">
        <v>0</v>
      </c>
      <c r="G11" s="25">
        <f>G$24</f>
        <v>0.3</v>
      </c>
      <c r="H11" s="8">
        <f>IFERROR(F11/G11,0)</f>
        <v>0</v>
      </c>
      <c r="I11" s="5">
        <f t="shared" si="0"/>
        <v>300000</v>
      </c>
      <c r="J11" s="23">
        <f>IFERROR(I11/I$17,0)</f>
        <v>2.4E-2</v>
      </c>
      <c r="K11" s="3">
        <f>I11*G$24</f>
        <v>90000</v>
      </c>
    </row>
    <row r="12" spans="2:12">
      <c r="B12" s="11" t="s">
        <v>29</v>
      </c>
      <c r="C12" s="12">
        <f>D12*C$17</f>
        <v>200000</v>
      </c>
      <c r="D12" s="20">
        <v>0.02</v>
      </c>
      <c r="F12" s="11">
        <v>0</v>
      </c>
      <c r="G12" s="25">
        <f>G$24</f>
        <v>0.3</v>
      </c>
      <c r="H12" s="8">
        <f>IFERROR(F12/G12,0)</f>
        <v>0</v>
      </c>
      <c r="I12" s="5">
        <f t="shared" si="0"/>
        <v>200000</v>
      </c>
      <c r="J12" s="23">
        <f>IFERROR(I12/I$17,0)</f>
        <v>1.6E-2</v>
      </c>
      <c r="K12" s="3">
        <f>I12*G$24</f>
        <v>60000</v>
      </c>
    </row>
    <row r="13" spans="2:12">
      <c r="D13" s="24"/>
    </row>
    <row r="14" spans="2:12">
      <c r="B14" s="11" t="s">
        <v>30</v>
      </c>
      <c r="C14" s="12">
        <f>D14*C$17</f>
        <v>0</v>
      </c>
      <c r="D14" s="20">
        <v>0</v>
      </c>
      <c r="E14" s="8" t="s">
        <v>57</v>
      </c>
      <c r="F14" s="11">
        <v>500000</v>
      </c>
      <c r="G14" s="25">
        <f>G$24</f>
        <v>0.3</v>
      </c>
      <c r="H14" s="3">
        <f>IFERROR(F14/G14,0)</f>
        <v>1666666.6666666667</v>
      </c>
      <c r="I14" s="5">
        <f t="shared" si="0"/>
        <v>1666666.6666666667</v>
      </c>
      <c r="J14" s="23">
        <f>IFERROR(I14/I$17,0)</f>
        <v>0.13333333333333333</v>
      </c>
      <c r="K14" s="3">
        <f>I14*G$24</f>
        <v>500000</v>
      </c>
    </row>
    <row r="15" spans="2:12">
      <c r="B15" s="11" t="s">
        <v>34</v>
      </c>
      <c r="C15" s="12">
        <f>D15*C$17</f>
        <v>0</v>
      </c>
      <c r="D15" s="20">
        <v>0</v>
      </c>
      <c r="F15" s="11">
        <v>250000</v>
      </c>
      <c r="G15" s="25">
        <f>G$24</f>
        <v>0.3</v>
      </c>
      <c r="H15" s="3">
        <f>IFERROR(F15/G15,0)</f>
        <v>833333.33333333337</v>
      </c>
      <c r="I15" s="5">
        <f t="shared" si="0"/>
        <v>833333.33333333337</v>
      </c>
      <c r="J15" s="23">
        <f>IFERROR(I15/I$17,0)</f>
        <v>6.6666666666666666E-2</v>
      </c>
      <c r="K15" s="3">
        <f>I15*G$24</f>
        <v>250000</v>
      </c>
    </row>
    <row r="16" spans="2:12">
      <c r="D16" s="24"/>
    </row>
    <row r="17" spans="2:12">
      <c r="B17" s="26" t="s">
        <v>3</v>
      </c>
      <c r="C17" s="10">
        <v>10000000</v>
      </c>
      <c r="D17" s="27">
        <f>SUM(D8:D12,D14:D15)</f>
        <v>1</v>
      </c>
      <c r="E17" s="8" t="s">
        <v>52</v>
      </c>
      <c r="F17" s="7">
        <f>SUM(F8:F12,F14:F15)</f>
        <v>750000</v>
      </c>
      <c r="G17" s="26"/>
      <c r="H17" s="7">
        <f>SUM(H8:H12,H14:H15)</f>
        <v>2500000</v>
      </c>
      <c r="I17" s="7">
        <f>SUM(I8:I12,I14:I15)</f>
        <v>12500000</v>
      </c>
      <c r="J17" s="27">
        <f>SUM(J8:J12,J14:J15)</f>
        <v>1</v>
      </c>
      <c r="K17" s="7">
        <f>SUM(K8:K12,K14:K15)</f>
        <v>3750000</v>
      </c>
      <c r="L17" s="8" t="s">
        <v>53</v>
      </c>
    </row>
    <row r="20" spans="2:12">
      <c r="F20" s="22" t="s">
        <v>35</v>
      </c>
    </row>
    <row r="21" spans="2:12">
      <c r="F21" s="1" t="s">
        <v>37</v>
      </c>
      <c r="G21" s="5">
        <f>F17</f>
        <v>750000</v>
      </c>
    </row>
    <row r="22" spans="2:12">
      <c r="F22" s="1" t="s">
        <v>36</v>
      </c>
      <c r="G22" s="11">
        <v>3000000</v>
      </c>
      <c r="H22" s="8" t="s">
        <v>49</v>
      </c>
    </row>
    <row r="23" spans="2:12">
      <c r="F23" s="1" t="s">
        <v>72</v>
      </c>
      <c r="G23" s="5">
        <f>G22+G21</f>
        <v>3750000</v>
      </c>
      <c r="H23" s="8" t="s">
        <v>49</v>
      </c>
    </row>
    <row r="24" spans="2:12">
      <c r="F24" s="1" t="s">
        <v>32</v>
      </c>
      <c r="G24" s="25">
        <f>G22/C17</f>
        <v>0.3</v>
      </c>
      <c r="H24" s="8" t="s">
        <v>51</v>
      </c>
    </row>
    <row r="25" spans="2:12">
      <c r="F25" s="1" t="s">
        <v>63</v>
      </c>
      <c r="G25" s="4">
        <f>G21/G23</f>
        <v>0.2</v>
      </c>
    </row>
    <row r="27" spans="2:12">
      <c r="B27" s="21" t="s">
        <v>24</v>
      </c>
    </row>
    <row r="29" spans="2:12">
      <c r="B29" s="1" t="s">
        <v>43</v>
      </c>
    </row>
    <row r="30" spans="2:12">
      <c r="B30" s="1" t="s">
        <v>44</v>
      </c>
    </row>
    <row r="31" spans="2:12">
      <c r="B31" s="1" t="s">
        <v>45</v>
      </c>
    </row>
    <row r="32" spans="2:12">
      <c r="B32" s="1" t="s">
        <v>46</v>
      </c>
    </row>
    <row r="33" spans="2:2">
      <c r="B33" s="1" t="s">
        <v>54</v>
      </c>
    </row>
    <row r="34" spans="2:2">
      <c r="B34" s="1" t="s">
        <v>55</v>
      </c>
    </row>
    <row r="36" spans="2:2">
      <c r="B36" s="21" t="s">
        <v>47</v>
      </c>
    </row>
    <row r="38" spans="2:2">
      <c r="B38" s="1" t="s">
        <v>56</v>
      </c>
    </row>
    <row r="39" spans="2:2">
      <c r="B39" s="1" t="s">
        <v>26</v>
      </c>
    </row>
    <row r="41" spans="2:2">
      <c r="B41" s="21" t="s">
        <v>38</v>
      </c>
    </row>
    <row r="43" spans="2:2">
      <c r="B43" s="1" t="s">
        <v>39</v>
      </c>
    </row>
    <row r="44" spans="2:2">
      <c r="B44" s="1" t="s">
        <v>40</v>
      </c>
    </row>
    <row r="45" spans="2:2">
      <c r="B45" s="1" t="s">
        <v>41</v>
      </c>
    </row>
    <row r="46" spans="2:2">
      <c r="B46"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R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8" style="1" customWidth="1"/>
    <col min="6" max="6" width="20.6640625" style="1" customWidth="1"/>
    <col min="7" max="11" width="18.6640625" style="1" customWidth="1"/>
    <col min="12" max="12" width="7.6640625" style="1" customWidth="1"/>
    <col min="13" max="13" width="21.5" style="1" customWidth="1"/>
    <col min="14" max="18" width="16.6640625" style="1" customWidth="1"/>
    <col min="19" max="16384" width="10.83203125" style="1"/>
  </cols>
  <sheetData>
    <row r="2" spans="2:18">
      <c r="B2" s="16" t="s">
        <v>64</v>
      </c>
    </row>
    <row r="3" spans="2:18">
      <c r="B3" s="22" t="s">
        <v>28</v>
      </c>
    </row>
    <row r="6" spans="2:18" ht="36">
      <c r="B6" s="19" t="s">
        <v>25</v>
      </c>
      <c r="C6" s="18" t="s">
        <v>137</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8">
      <c r="B8" s="11" t="s">
        <v>27</v>
      </c>
      <c r="C8" s="12">
        <f>D8*C$18</f>
        <v>6000000</v>
      </c>
      <c r="D8" s="20">
        <v>0.6</v>
      </c>
      <c r="F8" s="11">
        <v>0</v>
      </c>
      <c r="G8" s="25">
        <f>G$25</f>
        <v>0.3</v>
      </c>
      <c r="H8" s="8">
        <f>IFERROR(F8/G8,0)</f>
        <v>0</v>
      </c>
      <c r="I8" s="5">
        <f>H8+C8</f>
        <v>6000000</v>
      </c>
      <c r="J8" s="23">
        <f>IFERROR(I8/I$18,0)</f>
        <v>0.48</v>
      </c>
      <c r="K8" s="3">
        <f>I8*G$25</f>
        <v>1800000</v>
      </c>
      <c r="M8" s="11">
        <v>0</v>
      </c>
      <c r="N8" s="25">
        <f>N$25</f>
        <v>0.96</v>
      </c>
      <c r="O8" s="8">
        <f>IFERROR(M8/N8,0)</f>
        <v>0</v>
      </c>
      <c r="P8" s="5">
        <f>O8+I8</f>
        <v>6000000</v>
      </c>
      <c r="Q8" s="23">
        <f>IFERROR(P8/P$18,0)</f>
        <v>0.37269161988873106</v>
      </c>
      <c r="R8" s="3">
        <f>P8*N$25</f>
        <v>5760000</v>
      </c>
    </row>
    <row r="9" spans="2:18">
      <c r="B9" s="11" t="s">
        <v>27</v>
      </c>
      <c r="C9" s="12">
        <f>D9*C$18</f>
        <v>3000000</v>
      </c>
      <c r="D9" s="20">
        <v>0.3</v>
      </c>
      <c r="F9" s="11">
        <v>0</v>
      </c>
      <c r="G9" s="25">
        <f>G$25</f>
        <v>0.3</v>
      </c>
      <c r="H9" s="8">
        <f>IFERROR(F9/G9,0)</f>
        <v>0</v>
      </c>
      <c r="I9" s="5">
        <f>H9+C9</f>
        <v>3000000</v>
      </c>
      <c r="J9" s="23">
        <f>IFERROR(I9/I$18,0)</f>
        <v>0.24</v>
      </c>
      <c r="K9" s="3">
        <f>I9*G$25</f>
        <v>900000</v>
      </c>
      <c r="M9" s="11">
        <v>0</v>
      </c>
      <c r="N9" s="25">
        <f>N$25</f>
        <v>0.96</v>
      </c>
      <c r="O9" s="8">
        <f>IFERROR(M9/N9,0)</f>
        <v>0</v>
      </c>
      <c r="P9" s="5">
        <f>O9+I9</f>
        <v>3000000</v>
      </c>
      <c r="Q9" s="23">
        <f>IFERROR(P9/P$18,0)</f>
        <v>0.18634580994436553</v>
      </c>
      <c r="R9" s="3">
        <f>P9*N$25</f>
        <v>2880000</v>
      </c>
    </row>
    <row r="10" spans="2:18">
      <c r="B10" s="11" t="s">
        <v>29</v>
      </c>
      <c r="C10" s="12">
        <f>D10*C$18</f>
        <v>500000</v>
      </c>
      <c r="D10" s="20">
        <v>0.05</v>
      </c>
      <c r="F10" s="11">
        <v>0</v>
      </c>
      <c r="G10" s="25">
        <f>G$25</f>
        <v>0.3</v>
      </c>
      <c r="H10" s="8">
        <f>IFERROR(F10/G10,0)</f>
        <v>0</v>
      </c>
      <c r="I10" s="5">
        <f t="shared" ref="I10:I15" si="0">H10+C10</f>
        <v>500000</v>
      </c>
      <c r="J10" s="23">
        <f>IFERROR(I10/I$18,0)</f>
        <v>0.04</v>
      </c>
      <c r="K10" s="3">
        <f>I10*G$25</f>
        <v>150000</v>
      </c>
      <c r="M10" s="11">
        <v>0</v>
      </c>
      <c r="N10" s="25">
        <f>N$25</f>
        <v>0.96</v>
      </c>
      <c r="O10" s="8">
        <f>IFERROR(M10/N10,0)</f>
        <v>0</v>
      </c>
      <c r="P10" s="5">
        <f>O10+I10</f>
        <v>500000</v>
      </c>
      <c r="Q10" s="23">
        <f>IFERROR(P10/P$18,0)</f>
        <v>3.1057634990727587E-2</v>
      </c>
      <c r="R10" s="3">
        <f>P10*N$25</f>
        <v>480000</v>
      </c>
    </row>
    <row r="11" spans="2:18">
      <c r="B11" s="11" t="s">
        <v>29</v>
      </c>
      <c r="C11" s="12">
        <f>D11*C$18</f>
        <v>300000</v>
      </c>
      <c r="D11" s="20">
        <v>0.03</v>
      </c>
      <c r="F11" s="11">
        <v>0</v>
      </c>
      <c r="G11" s="25">
        <f>G$25</f>
        <v>0.3</v>
      </c>
      <c r="H11" s="8">
        <f>IFERROR(F11/G11,0)</f>
        <v>0</v>
      </c>
      <c r="I11" s="5">
        <f t="shared" si="0"/>
        <v>300000</v>
      </c>
      <c r="J11" s="23">
        <f>IFERROR(I11/I$18,0)</f>
        <v>2.4E-2</v>
      </c>
      <c r="K11" s="3">
        <f>I11*G$25</f>
        <v>90000</v>
      </c>
      <c r="M11" s="11">
        <v>0</v>
      </c>
      <c r="N11" s="25">
        <f>N$25</f>
        <v>0.96</v>
      </c>
      <c r="O11" s="8">
        <f>IFERROR(M11/N11,0)</f>
        <v>0</v>
      </c>
      <c r="P11" s="5">
        <f>O11+I11</f>
        <v>300000</v>
      </c>
      <c r="Q11" s="23">
        <f>IFERROR(P11/P$18,0)</f>
        <v>1.8634580994436552E-2</v>
      </c>
      <c r="R11" s="3">
        <f>P11*N$25</f>
        <v>288000</v>
      </c>
    </row>
    <row r="12" spans="2:18">
      <c r="B12" s="11" t="s">
        <v>29</v>
      </c>
      <c r="C12" s="12">
        <f>D12*C$18</f>
        <v>200000</v>
      </c>
      <c r="D12" s="20">
        <v>0.02</v>
      </c>
      <c r="F12" s="11">
        <v>0</v>
      </c>
      <c r="G12" s="25">
        <f>G$25</f>
        <v>0.3</v>
      </c>
      <c r="H12" s="8">
        <f>IFERROR(F12/G12,0)</f>
        <v>0</v>
      </c>
      <c r="I12" s="5">
        <f t="shared" si="0"/>
        <v>200000</v>
      </c>
      <c r="J12" s="23">
        <f>IFERROR(I12/I$18,0)</f>
        <v>1.6E-2</v>
      </c>
      <c r="K12" s="3">
        <f>I12*G$25</f>
        <v>60000</v>
      </c>
      <c r="M12" s="11">
        <v>0</v>
      </c>
      <c r="N12" s="25">
        <f>N$25</f>
        <v>0.96</v>
      </c>
      <c r="O12" s="8">
        <f>IFERROR(M12/N12,0)</f>
        <v>0</v>
      </c>
      <c r="P12" s="5">
        <f>O12+I12</f>
        <v>200000</v>
      </c>
      <c r="Q12" s="23">
        <f>IFERROR(P12/P$18,0)</f>
        <v>1.2423053996291036E-2</v>
      </c>
      <c r="R12" s="3">
        <f>P12*N$25</f>
        <v>192000</v>
      </c>
    </row>
    <row r="13" spans="2:18">
      <c r="D13" s="24"/>
    </row>
    <row r="14" spans="2:18">
      <c r="B14" s="11" t="s">
        <v>30</v>
      </c>
      <c r="C14" s="12">
        <f>D14*C$18</f>
        <v>0</v>
      </c>
      <c r="D14" s="20">
        <v>0</v>
      </c>
      <c r="F14" s="11">
        <v>500000</v>
      </c>
      <c r="G14" s="25">
        <f>G$25</f>
        <v>0.3</v>
      </c>
      <c r="H14" s="3">
        <f>IFERROR(F14/G14,0)</f>
        <v>1666666.6666666667</v>
      </c>
      <c r="I14" s="5">
        <f t="shared" si="0"/>
        <v>1666666.6666666667</v>
      </c>
      <c r="J14" s="23">
        <f>IFERROR(I14/I$18,0)</f>
        <v>0.13333333333333333</v>
      </c>
      <c r="K14" s="3">
        <f>I14*G$25</f>
        <v>500000</v>
      </c>
      <c r="M14" s="11">
        <v>455136.8815850392</v>
      </c>
      <c r="N14" s="25">
        <f>N$25</f>
        <v>0.96</v>
      </c>
      <c r="O14" s="3">
        <f>IFERROR(M14/N14,0)</f>
        <v>474100.91831774916</v>
      </c>
      <c r="P14" s="5">
        <f>O14+I14</f>
        <v>2140767.5849844161</v>
      </c>
      <c r="Q14" s="23">
        <f>IFERROR(P14/P$18,0)</f>
        <v>0.13297435650885481</v>
      </c>
      <c r="R14" s="3">
        <f>P14*N$25</f>
        <v>2055136.8815850394</v>
      </c>
    </row>
    <row r="15" spans="2:18">
      <c r="B15" s="11" t="s">
        <v>34</v>
      </c>
      <c r="C15" s="12">
        <f>D15*C$18</f>
        <v>0</v>
      </c>
      <c r="D15" s="20">
        <v>0</v>
      </c>
      <c r="F15" s="11">
        <v>250000</v>
      </c>
      <c r="G15" s="25">
        <f>G$25</f>
        <v>0.3</v>
      </c>
      <c r="H15" s="3">
        <f>IFERROR(F15/G15,0)</f>
        <v>833333.33333333337</v>
      </c>
      <c r="I15" s="5">
        <f t="shared" si="0"/>
        <v>833333.33333333337</v>
      </c>
      <c r="J15" s="23">
        <f>IFERROR(I15/I$18,0)</f>
        <v>6.6666666666666666E-2</v>
      </c>
      <c r="K15" s="3">
        <f>I15*G$25</f>
        <v>250000</v>
      </c>
      <c r="M15" s="11">
        <v>0</v>
      </c>
      <c r="N15" s="25">
        <f>N$25</f>
        <v>0.96</v>
      </c>
      <c r="O15" s="3">
        <f>IFERROR(M15/N15,0)</f>
        <v>0</v>
      </c>
      <c r="P15" s="5">
        <f>O15+I15</f>
        <v>833333.33333333337</v>
      </c>
      <c r="Q15" s="23">
        <f>IFERROR(P15/P$18,0)</f>
        <v>5.1762724984545982E-2</v>
      </c>
      <c r="R15" s="3">
        <f>P15*N$25</f>
        <v>800000</v>
      </c>
    </row>
    <row r="16" spans="2:18">
      <c r="B16" s="11" t="s">
        <v>60</v>
      </c>
      <c r="C16" s="12">
        <f>D16*C$18</f>
        <v>0</v>
      </c>
      <c r="D16" s="20">
        <v>0</v>
      </c>
      <c r="F16" s="11">
        <v>0</v>
      </c>
      <c r="G16" s="25">
        <f>G$25</f>
        <v>0.3</v>
      </c>
      <c r="H16" s="3">
        <f>IFERROR(F16/G16,0)</f>
        <v>0</v>
      </c>
      <c r="I16" s="5">
        <f t="shared" ref="I16" si="1">H16+C16</f>
        <v>0</v>
      </c>
      <c r="J16" s="23">
        <f>IFERROR(I16/I$18,0)</f>
        <v>0</v>
      </c>
      <c r="K16" s="3">
        <f>I16*G$25</f>
        <v>0</v>
      </c>
      <c r="M16" s="11">
        <v>3000000</v>
      </c>
      <c r="N16" s="25">
        <f>N$25</f>
        <v>0.96</v>
      </c>
      <c r="O16" s="3">
        <f>IFERROR(M16/N16,0)</f>
        <v>3125000</v>
      </c>
      <c r="P16" s="5">
        <f>O16+I16</f>
        <v>3125000</v>
      </c>
      <c r="Q16" s="23">
        <f>IFERROR(P16/P$18,0)</f>
        <v>0.19411021869204742</v>
      </c>
      <c r="R16" s="3">
        <f>P16*N$25</f>
        <v>3000000</v>
      </c>
    </row>
    <row r="17" spans="2:18">
      <c r="D17" s="24"/>
    </row>
    <row r="18" spans="2:18">
      <c r="B18" s="26" t="s">
        <v>3</v>
      </c>
      <c r="C18" s="10">
        <v>10000000</v>
      </c>
      <c r="D18" s="27">
        <f>SUM(D8:D12,D14:D16)</f>
        <v>1</v>
      </c>
      <c r="F18" s="7">
        <f>SUM(F8:F12,F14:F16)</f>
        <v>750000</v>
      </c>
      <c r="G18" s="26"/>
      <c r="H18" s="7">
        <f>SUM(H8:H12,H14:H16)</f>
        <v>2500000</v>
      </c>
      <c r="I18" s="7">
        <f>SUM(I8:I12,I14:I16)</f>
        <v>12500000</v>
      </c>
      <c r="J18" s="27">
        <f>SUM(J8:J12,J14:J16)</f>
        <v>1</v>
      </c>
      <c r="K18" s="7">
        <f>SUM(K8:K12,K14:K16)</f>
        <v>3750000</v>
      </c>
      <c r="M18" s="7">
        <f>SUM(M8:M12,M14:M16)</f>
        <v>3455136.8815850392</v>
      </c>
      <c r="N18" s="26"/>
      <c r="O18" s="7">
        <f>SUM(O8:O12,O14:O16)</f>
        <v>3599100.9183177492</v>
      </c>
      <c r="P18" s="7">
        <f>SUM(P8:P12,P14:P16)</f>
        <v>16099100.91831775</v>
      </c>
      <c r="Q18" s="27">
        <f>SUM(Q8:Q12,Q14:Q16)</f>
        <v>1</v>
      </c>
      <c r="R18" s="7">
        <f>SUM(R8:R12,R14:R16)</f>
        <v>15455136.881585039</v>
      </c>
    </row>
    <row r="21" spans="2:18">
      <c r="F21" s="22" t="s">
        <v>35</v>
      </c>
      <c r="M21" s="22" t="s">
        <v>58</v>
      </c>
    </row>
    <row r="22" spans="2:18">
      <c r="F22" s="1" t="s">
        <v>37</v>
      </c>
      <c r="G22" s="5">
        <f>F18</f>
        <v>750000</v>
      </c>
      <c r="M22" s="1" t="s">
        <v>37</v>
      </c>
      <c r="N22" s="5">
        <f>M18</f>
        <v>3455136.8815850392</v>
      </c>
      <c r="O22" s="8" t="s">
        <v>48</v>
      </c>
    </row>
    <row r="23" spans="2:18">
      <c r="F23" s="1" t="s">
        <v>36</v>
      </c>
      <c r="G23" s="11">
        <v>3000000</v>
      </c>
      <c r="M23" s="1" t="s">
        <v>36</v>
      </c>
      <c r="N23" s="11">
        <v>12000000</v>
      </c>
    </row>
    <row r="24" spans="2:18">
      <c r="F24" s="1" t="s">
        <v>72</v>
      </c>
      <c r="G24" s="5">
        <f>G23+G22</f>
        <v>3750000</v>
      </c>
      <c r="M24" s="1" t="s">
        <v>72</v>
      </c>
      <c r="N24" s="5">
        <f>N23+N22</f>
        <v>15455136.881585039</v>
      </c>
    </row>
    <row r="25" spans="2:18">
      <c r="F25" s="1" t="s">
        <v>32</v>
      </c>
      <c r="G25" s="25">
        <f>G23/C18</f>
        <v>0.3</v>
      </c>
      <c r="M25" s="1" t="s">
        <v>32</v>
      </c>
      <c r="N25" s="25">
        <f>N23/I18</f>
        <v>0.96</v>
      </c>
      <c r="O25" s="8" t="s">
        <v>52</v>
      </c>
    </row>
    <row r="26" spans="2:18">
      <c r="F26" s="1" t="s">
        <v>63</v>
      </c>
      <c r="G26" s="4">
        <f>G22/G24</f>
        <v>0.2</v>
      </c>
      <c r="M26" s="1" t="s">
        <v>63</v>
      </c>
      <c r="N26" s="4">
        <f>N22/N24</f>
        <v>0.22355912523181026</v>
      </c>
    </row>
    <row r="28" spans="2:18">
      <c r="B28" s="21" t="s">
        <v>24</v>
      </c>
    </row>
    <row r="30" spans="2:18">
      <c r="B30" s="1" t="s">
        <v>61</v>
      </c>
    </row>
    <row r="31" spans="2:18">
      <c r="B31" s="1" t="s">
        <v>59</v>
      </c>
    </row>
    <row r="32" spans="2:18">
      <c r="B32" s="1" t="s">
        <v>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L41"/>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1.83203125" style="1" customWidth="1"/>
    <col min="7" max="11" width="18.6640625" style="1" customWidth="1"/>
    <col min="12" max="15" width="10.83203125" style="1"/>
    <col min="16" max="16" width="12.6640625" style="1" customWidth="1"/>
    <col min="17" max="16384" width="10.83203125" style="1"/>
  </cols>
  <sheetData>
    <row r="2" spans="2:12">
      <c r="B2" s="16" t="s">
        <v>536</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0.22500000000000001</v>
      </c>
      <c r="H8" s="8">
        <f>IFERROR(F8/G8,0)</f>
        <v>0</v>
      </c>
      <c r="I8" s="5">
        <f>H8+C8</f>
        <v>6000000</v>
      </c>
      <c r="J8" s="23">
        <f>IFERROR(I8/I$19,0)</f>
        <v>0.36000000000000004</v>
      </c>
      <c r="K8" s="3">
        <f>I8*G$27</f>
        <v>1350000</v>
      </c>
    </row>
    <row r="9" spans="2:12">
      <c r="B9" s="11" t="s">
        <v>27</v>
      </c>
      <c r="C9" s="12">
        <f>D9*C$19</f>
        <v>3000000</v>
      </c>
      <c r="D9" s="20">
        <v>0.3</v>
      </c>
      <c r="F9" s="11">
        <v>0</v>
      </c>
      <c r="G9" s="25">
        <f>G$27</f>
        <v>0.22500000000000001</v>
      </c>
      <c r="H9" s="8">
        <f>IFERROR(F9/G9,0)</f>
        <v>0</v>
      </c>
      <c r="I9" s="5">
        <f>H9+C9</f>
        <v>3000000</v>
      </c>
      <c r="J9" s="23">
        <f>IFERROR(I9/I$19,0)</f>
        <v>0.18000000000000002</v>
      </c>
      <c r="K9" s="3">
        <f>I9*G$27</f>
        <v>675000</v>
      </c>
    </row>
    <row r="10" spans="2:12">
      <c r="B10" s="11" t="s">
        <v>29</v>
      </c>
      <c r="C10" s="12">
        <f>D10*C$19</f>
        <v>500000</v>
      </c>
      <c r="D10" s="20">
        <v>0.05</v>
      </c>
      <c r="F10" s="11">
        <v>0</v>
      </c>
      <c r="G10" s="25">
        <f>G$27</f>
        <v>0.22500000000000001</v>
      </c>
      <c r="H10" s="8">
        <f>IFERROR(F10/G10,0)</f>
        <v>0</v>
      </c>
      <c r="I10" s="5">
        <f t="shared" ref="I10:I17" si="0">H10+C10</f>
        <v>500000</v>
      </c>
      <c r="J10" s="23">
        <f>IFERROR(I10/I$19,0)</f>
        <v>3.0000000000000006E-2</v>
      </c>
      <c r="K10" s="3">
        <f>I10*G$27</f>
        <v>112500</v>
      </c>
    </row>
    <row r="11" spans="2:12">
      <c r="B11" s="11" t="s">
        <v>29</v>
      </c>
      <c r="C11" s="12">
        <f>D11*C$19</f>
        <v>300000</v>
      </c>
      <c r="D11" s="20">
        <v>0.03</v>
      </c>
      <c r="F11" s="11">
        <v>0</v>
      </c>
      <c r="G11" s="25">
        <f>G$27</f>
        <v>0.22500000000000001</v>
      </c>
      <c r="H11" s="8">
        <f>IFERROR(F11/G11,0)</f>
        <v>0</v>
      </c>
      <c r="I11" s="5">
        <f t="shared" si="0"/>
        <v>300000</v>
      </c>
      <c r="J11" s="23">
        <f>IFERROR(I11/I$19,0)</f>
        <v>1.8000000000000002E-2</v>
      </c>
      <c r="K11" s="3">
        <f>I11*G$27</f>
        <v>67500</v>
      </c>
    </row>
    <row r="12" spans="2:12">
      <c r="B12" s="11" t="s">
        <v>29</v>
      </c>
      <c r="C12" s="12">
        <f>D12*C$19</f>
        <v>200000</v>
      </c>
      <c r="D12" s="20">
        <v>0.02</v>
      </c>
      <c r="F12" s="11">
        <v>0</v>
      </c>
      <c r="G12" s="25">
        <f>G$27</f>
        <v>0.22500000000000001</v>
      </c>
      <c r="H12" s="8">
        <f>IFERROR(F12/G12,0)</f>
        <v>0</v>
      </c>
      <c r="I12" s="5">
        <f t="shared" si="0"/>
        <v>200000</v>
      </c>
      <c r="J12" s="23">
        <f>IFERROR(I12/I$19,0)</f>
        <v>1.2000000000000002E-2</v>
      </c>
      <c r="K12" s="3">
        <f>I12*G$27</f>
        <v>45000</v>
      </c>
      <c r="L12" s="8"/>
    </row>
    <row r="13" spans="2:12">
      <c r="D13" s="24"/>
      <c r="L13" s="8"/>
    </row>
    <row r="14" spans="2:12">
      <c r="B14" s="11" t="s">
        <v>30</v>
      </c>
      <c r="C14" s="12">
        <f>D14*C$19</f>
        <v>0</v>
      </c>
      <c r="D14" s="20">
        <v>0</v>
      </c>
      <c r="F14" s="11">
        <v>500000</v>
      </c>
      <c r="G14" s="25">
        <f>G$27</f>
        <v>0.22500000000000001</v>
      </c>
      <c r="H14" s="3">
        <f>IFERROR(F14/G14,0)</f>
        <v>2222222.222222222</v>
      </c>
      <c r="I14" s="5">
        <f t="shared" si="0"/>
        <v>2222222.222222222</v>
      </c>
      <c r="J14" s="23">
        <f>IFERROR(I14/I$19,0)</f>
        <v>0.13333333333333333</v>
      </c>
      <c r="K14" s="3">
        <f>I14*G$27</f>
        <v>499999.99999999994</v>
      </c>
      <c r="L14" s="8" t="s">
        <v>52</v>
      </c>
    </row>
    <row r="15" spans="2:12">
      <c r="B15" s="11" t="s">
        <v>34</v>
      </c>
      <c r="C15" s="12">
        <f>D15*C$19</f>
        <v>0</v>
      </c>
      <c r="D15" s="20">
        <v>0</v>
      </c>
      <c r="F15" s="11">
        <v>250000</v>
      </c>
      <c r="G15" s="25">
        <f>G$27</f>
        <v>0.22500000000000001</v>
      </c>
      <c r="H15" s="3">
        <f>IFERROR(F15/G15,0)</f>
        <v>1111111.111111111</v>
      </c>
      <c r="I15" s="5">
        <f t="shared" si="0"/>
        <v>1111111.111111111</v>
      </c>
      <c r="J15" s="23">
        <f>IFERROR(I15/I$19,0)</f>
        <v>6.6666666666666666E-2</v>
      </c>
      <c r="K15" s="3">
        <f>I15*G$27</f>
        <v>249999.99999999997</v>
      </c>
      <c r="L15" s="8"/>
    </row>
    <row r="16" spans="2:12">
      <c r="D16" s="24"/>
      <c r="L16" s="8"/>
    </row>
    <row r="17" spans="2:12">
      <c r="B17" s="11" t="s">
        <v>8</v>
      </c>
      <c r="C17" s="12">
        <f>D17*C$19</f>
        <v>0</v>
      </c>
      <c r="D17" s="20">
        <v>0</v>
      </c>
      <c r="F17" s="11">
        <v>0</v>
      </c>
      <c r="G17" s="25">
        <f>G$27</f>
        <v>0.22500000000000001</v>
      </c>
      <c r="H17" s="5">
        <f>G31</f>
        <v>3333333.333333333</v>
      </c>
      <c r="I17" s="5">
        <f t="shared" si="0"/>
        <v>3333333.333333333</v>
      </c>
      <c r="J17" s="23">
        <f>IFERROR(I17/I$19,0)</f>
        <v>0.2</v>
      </c>
      <c r="K17" s="3">
        <f>I17*G$27</f>
        <v>750000</v>
      </c>
      <c r="L17" s="8" t="s">
        <v>53</v>
      </c>
    </row>
    <row r="18" spans="2:12">
      <c r="D18" s="24"/>
      <c r="L18" s="8"/>
    </row>
    <row r="19" spans="2:12">
      <c r="B19" s="26" t="s">
        <v>3</v>
      </c>
      <c r="C19" s="10">
        <v>10000000</v>
      </c>
      <c r="D19" s="27">
        <f>SUM(D8:D12,D14:D15,D17)</f>
        <v>1</v>
      </c>
      <c r="F19" s="7">
        <f>SUM(F8:F12,F14:F15,F17)</f>
        <v>750000</v>
      </c>
      <c r="G19" s="26"/>
      <c r="H19" s="7">
        <f>SUM(H8:H12,H14:H15,H17)</f>
        <v>6666666.666666666</v>
      </c>
      <c r="I19" s="7">
        <f>SUM(I8:I12,I14:I15,I17)</f>
        <v>16666666.666666664</v>
      </c>
      <c r="J19" s="27">
        <f>SUM(J8:J12,J14:J15,J17)</f>
        <v>1</v>
      </c>
      <c r="K19" s="7">
        <f>SUM(K8:K12,K14:K15,K17)</f>
        <v>3750000</v>
      </c>
    </row>
    <row r="21" spans="2:12">
      <c r="H21" s="8"/>
    </row>
    <row r="22" spans="2:12">
      <c r="F22" s="22" t="s">
        <v>35</v>
      </c>
      <c r="H22" s="8"/>
    </row>
    <row r="23" spans="2:12">
      <c r="F23" s="1" t="s">
        <v>37</v>
      </c>
      <c r="G23" s="5">
        <f>F19</f>
        <v>750000</v>
      </c>
      <c r="H23" s="8"/>
    </row>
    <row r="24" spans="2:12">
      <c r="F24" s="1" t="s">
        <v>81</v>
      </c>
      <c r="G24" s="5">
        <f>G25-G26*G30</f>
        <v>2250000</v>
      </c>
      <c r="H24" s="8" t="s">
        <v>50</v>
      </c>
    </row>
    <row r="25" spans="2:12">
      <c r="F25" s="1" t="s">
        <v>36</v>
      </c>
      <c r="G25" s="11">
        <v>3000000</v>
      </c>
      <c r="H25" s="8"/>
    </row>
    <row r="26" spans="2:12">
      <c r="F26" s="1" t="s">
        <v>72</v>
      </c>
      <c r="G26" s="5">
        <f>G25+G23</f>
        <v>3750000</v>
      </c>
      <c r="H26" s="8"/>
    </row>
    <row r="27" spans="2:12">
      <c r="F27" s="1" t="s">
        <v>32</v>
      </c>
      <c r="G27" s="25">
        <f>G24/C19</f>
        <v>0.22500000000000001</v>
      </c>
      <c r="H27" s="8" t="s">
        <v>51</v>
      </c>
    </row>
    <row r="28" spans="2:12">
      <c r="F28" s="1" t="s">
        <v>63</v>
      </c>
      <c r="G28" s="4">
        <f>IFERROR(G23/G26,0)</f>
        <v>0.2</v>
      </c>
      <c r="H28" s="8"/>
    </row>
    <row r="29" spans="2:12">
      <c r="H29" s="8"/>
    </row>
    <row r="30" spans="2:12">
      <c r="F30" s="1" t="s">
        <v>83</v>
      </c>
      <c r="G30" s="20">
        <v>0.2</v>
      </c>
      <c r="H30" s="8" t="s">
        <v>48</v>
      </c>
    </row>
    <row r="31" spans="2:12">
      <c r="F31" s="1" t="s">
        <v>82</v>
      </c>
      <c r="G31" s="3">
        <f>IF(G25=0,C19*G30,G30*G26/G27)</f>
        <v>3333333.333333333</v>
      </c>
      <c r="H31" s="8" t="s">
        <v>49</v>
      </c>
    </row>
    <row r="32" spans="2:12">
      <c r="H32" s="8"/>
    </row>
    <row r="33" spans="2:8">
      <c r="B33" s="21" t="s">
        <v>24</v>
      </c>
      <c r="H33" s="8"/>
    </row>
    <row r="34" spans="2:8">
      <c r="B34" s="21"/>
      <c r="H34" s="8"/>
    </row>
    <row r="35" spans="2:8">
      <c r="B35" s="1" t="s">
        <v>87</v>
      </c>
    </row>
    <row r="36" spans="2:8">
      <c r="B36" s="1" t="s">
        <v>86</v>
      </c>
    </row>
    <row r="37" spans="2:8">
      <c r="B37" s="1" t="s">
        <v>88</v>
      </c>
    </row>
    <row r="38" spans="2:8">
      <c r="B38" s="1" t="s">
        <v>89</v>
      </c>
    </row>
    <row r="39" spans="2:8">
      <c r="B39" s="1" t="s">
        <v>90</v>
      </c>
    </row>
    <row r="40" spans="2:8">
      <c r="B40" s="1" t="s">
        <v>91</v>
      </c>
    </row>
    <row r="41" spans="2:8">
      <c r="B41" s="1" t="s">
        <v>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L38"/>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5" width="10.83203125" style="1"/>
    <col min="16" max="16" width="12.6640625" style="1" customWidth="1"/>
    <col min="17" max="16384" width="10.83203125" style="1"/>
  </cols>
  <sheetData>
    <row r="2" spans="2:12">
      <c r="B2" s="16" t="s">
        <v>537</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0.3</v>
      </c>
      <c r="H8" s="8">
        <f>IFERROR(F8/G8,0)</f>
        <v>0</v>
      </c>
      <c r="I8" s="5">
        <f>H8+C8</f>
        <v>6000000</v>
      </c>
      <c r="J8" s="23">
        <f>IFERROR(I8/I$19,0)</f>
        <v>0.38400000000000001</v>
      </c>
      <c r="K8" s="3">
        <f>I8*G$27</f>
        <v>1800000</v>
      </c>
    </row>
    <row r="9" spans="2:12">
      <c r="B9" s="11" t="s">
        <v>27</v>
      </c>
      <c r="C9" s="12">
        <f>D9*C$19</f>
        <v>3000000</v>
      </c>
      <c r="D9" s="20">
        <v>0.3</v>
      </c>
      <c r="F9" s="11">
        <v>0</v>
      </c>
      <c r="G9" s="25">
        <f>G$27</f>
        <v>0.3</v>
      </c>
      <c r="H9" s="8">
        <f>IFERROR(F9/G9,0)</f>
        <v>0</v>
      </c>
      <c r="I9" s="5">
        <f>H9+C9</f>
        <v>3000000</v>
      </c>
      <c r="J9" s="23">
        <f>IFERROR(I9/I$19,0)</f>
        <v>0.192</v>
      </c>
      <c r="K9" s="3">
        <f>I9*G$27</f>
        <v>900000</v>
      </c>
    </row>
    <row r="10" spans="2:12">
      <c r="B10" s="11" t="s">
        <v>29</v>
      </c>
      <c r="C10" s="12">
        <f>D10*C$19</f>
        <v>500000</v>
      </c>
      <c r="D10" s="20">
        <v>0.05</v>
      </c>
      <c r="F10" s="11">
        <v>0</v>
      </c>
      <c r="G10" s="25">
        <f>G$27</f>
        <v>0.3</v>
      </c>
      <c r="H10" s="8">
        <f>IFERROR(F10/G10,0)</f>
        <v>0</v>
      </c>
      <c r="I10" s="5">
        <f t="shared" ref="I10:I17" si="0">H10+C10</f>
        <v>500000</v>
      </c>
      <c r="J10" s="23">
        <f>IFERROR(I10/I$19,0)</f>
        <v>3.2000000000000001E-2</v>
      </c>
      <c r="K10" s="3">
        <f>I10*G$27</f>
        <v>150000</v>
      </c>
    </row>
    <row r="11" spans="2:12">
      <c r="B11" s="11" t="s">
        <v>29</v>
      </c>
      <c r="C11" s="12">
        <f>D11*C$19</f>
        <v>300000</v>
      </c>
      <c r="D11" s="20">
        <v>0.03</v>
      </c>
      <c r="F11" s="11">
        <v>0</v>
      </c>
      <c r="G11" s="25">
        <f>G$27</f>
        <v>0.3</v>
      </c>
      <c r="H11" s="8">
        <f>IFERROR(F11/G11,0)</f>
        <v>0</v>
      </c>
      <c r="I11" s="5">
        <f t="shared" si="0"/>
        <v>300000</v>
      </c>
      <c r="J11" s="23">
        <f>IFERROR(I11/I$19,0)</f>
        <v>1.9199999999999998E-2</v>
      </c>
      <c r="K11" s="3">
        <f>I11*G$27</f>
        <v>90000</v>
      </c>
    </row>
    <row r="12" spans="2:12">
      <c r="B12" s="11" t="s">
        <v>29</v>
      </c>
      <c r="C12" s="12">
        <f>D12*C$19</f>
        <v>200000</v>
      </c>
      <c r="D12" s="20">
        <v>0.02</v>
      </c>
      <c r="F12" s="11">
        <v>0</v>
      </c>
      <c r="G12" s="25">
        <f>G$27</f>
        <v>0.3</v>
      </c>
      <c r="H12" s="8">
        <f>IFERROR(F12/G12,0)</f>
        <v>0</v>
      </c>
      <c r="I12" s="5">
        <f t="shared" si="0"/>
        <v>200000</v>
      </c>
      <c r="J12" s="23">
        <f>IFERROR(I12/I$19,0)</f>
        <v>1.2800000000000001E-2</v>
      </c>
      <c r="K12" s="3">
        <f>I12*G$27</f>
        <v>60000</v>
      </c>
    </row>
    <row r="13" spans="2:12">
      <c r="D13" s="24"/>
    </row>
    <row r="14" spans="2:12">
      <c r="B14" s="11" t="s">
        <v>30</v>
      </c>
      <c r="C14" s="12">
        <f>D14*C$19</f>
        <v>0</v>
      </c>
      <c r="D14" s="20">
        <v>0</v>
      </c>
      <c r="F14" s="11">
        <v>500000</v>
      </c>
      <c r="G14" s="25">
        <f>G$27</f>
        <v>0.3</v>
      </c>
      <c r="H14" s="3">
        <f>IFERROR(F14/G14,0)</f>
        <v>1666666.6666666667</v>
      </c>
      <c r="I14" s="5">
        <f t="shared" si="0"/>
        <v>1666666.6666666667</v>
      </c>
      <c r="J14" s="23">
        <f>IFERROR(I14/I$19,0)</f>
        <v>0.10666666666666667</v>
      </c>
      <c r="K14" s="3">
        <f>I14*G$27</f>
        <v>500000</v>
      </c>
      <c r="L14" s="8" t="s">
        <v>52</v>
      </c>
    </row>
    <row r="15" spans="2:12">
      <c r="B15" s="11" t="s">
        <v>34</v>
      </c>
      <c r="C15" s="12">
        <f>D15*C$19</f>
        <v>0</v>
      </c>
      <c r="D15" s="20">
        <v>0</v>
      </c>
      <c r="F15" s="11">
        <v>250000</v>
      </c>
      <c r="G15" s="25">
        <f>G$27</f>
        <v>0.3</v>
      </c>
      <c r="H15" s="3">
        <f>IFERROR(F15/G15,0)</f>
        <v>833333.33333333337</v>
      </c>
      <c r="I15" s="5">
        <f t="shared" si="0"/>
        <v>833333.33333333337</v>
      </c>
      <c r="J15" s="23">
        <f>IFERROR(I15/I$19,0)</f>
        <v>5.3333333333333337E-2</v>
      </c>
      <c r="K15" s="3">
        <f>I15*G$27</f>
        <v>250000</v>
      </c>
    </row>
    <row r="16" spans="2:12">
      <c r="D16" s="24"/>
    </row>
    <row r="17" spans="2:11">
      <c r="B17" s="11" t="s">
        <v>8</v>
      </c>
      <c r="C17" s="12">
        <f>D17*C$19</f>
        <v>0</v>
      </c>
      <c r="D17" s="20">
        <v>0</v>
      </c>
      <c r="F17" s="11">
        <v>0</v>
      </c>
      <c r="G17" s="25">
        <f>G$27</f>
        <v>0.3</v>
      </c>
      <c r="H17" s="5">
        <f>G31</f>
        <v>3125000</v>
      </c>
      <c r="I17" s="5">
        <f t="shared" si="0"/>
        <v>3125000</v>
      </c>
      <c r="J17" s="23">
        <f>IFERROR(I17/I$19,0)</f>
        <v>0.2</v>
      </c>
      <c r="K17" s="3">
        <f>I17*G$27</f>
        <v>937500</v>
      </c>
    </row>
    <row r="18" spans="2:11">
      <c r="D18" s="24"/>
    </row>
    <row r="19" spans="2:11">
      <c r="B19" s="26" t="s">
        <v>3</v>
      </c>
      <c r="C19" s="10">
        <v>10000000</v>
      </c>
      <c r="D19" s="27">
        <f>SUM(D8:D12,D14:D15,D17)</f>
        <v>1</v>
      </c>
      <c r="F19" s="7">
        <f>SUM(F8:F12,F14:F15,F17)</f>
        <v>750000</v>
      </c>
      <c r="G19" s="26"/>
      <c r="H19" s="7">
        <f>SUM(H8:H12,H14:H15,H17)</f>
        <v>5625000</v>
      </c>
      <c r="I19" s="7">
        <f>SUM(I8:I12,I14:I15,I17)</f>
        <v>15625000</v>
      </c>
      <c r="J19" s="27">
        <f>SUM(J8:J12,J14:J15,J17)</f>
        <v>1.0000000000000002</v>
      </c>
      <c r="K19" s="7">
        <f>SUM(K8:K12,K14:K15,K17)</f>
        <v>4687500</v>
      </c>
    </row>
    <row r="22" spans="2:11">
      <c r="F22" s="22" t="s">
        <v>35</v>
      </c>
    </row>
    <row r="23" spans="2:11">
      <c r="F23" s="1" t="s">
        <v>37</v>
      </c>
      <c r="G23" s="5">
        <f>F19</f>
        <v>750000</v>
      </c>
    </row>
    <row r="24" spans="2:11">
      <c r="F24" s="1" t="s">
        <v>81</v>
      </c>
      <c r="G24" s="5">
        <f>G25</f>
        <v>3000000</v>
      </c>
      <c r="H24" s="8" t="s">
        <v>48</v>
      </c>
    </row>
    <row r="25" spans="2:11">
      <c r="F25" s="1" t="s">
        <v>36</v>
      </c>
      <c r="G25" s="11">
        <v>3000000</v>
      </c>
    </row>
    <row r="26" spans="2:11">
      <c r="F26" s="1" t="s">
        <v>72</v>
      </c>
      <c r="G26" s="5">
        <f>G25+G23</f>
        <v>3750000</v>
      </c>
    </row>
    <row r="27" spans="2:11">
      <c r="F27" s="1" t="s">
        <v>32</v>
      </c>
      <c r="G27" s="25">
        <f>G24/C19</f>
        <v>0.3</v>
      </c>
    </row>
    <row r="28" spans="2:11">
      <c r="F28" s="1" t="s">
        <v>63</v>
      </c>
      <c r="G28" s="4">
        <f>IFERROR(G23/G26,0)</f>
        <v>0.2</v>
      </c>
    </row>
    <row r="30" spans="2:11">
      <c r="F30" s="1" t="s">
        <v>84</v>
      </c>
      <c r="G30" s="20">
        <v>0.2</v>
      </c>
    </row>
    <row r="31" spans="2:11">
      <c r="F31" s="1" t="s">
        <v>82</v>
      </c>
      <c r="G31" s="3">
        <f>IFERROR(IF(G26=0,G30*C19/(1-G30),G30*G26/(G27*(1-G30))),0)</f>
        <v>3125000</v>
      </c>
      <c r="H31" s="8" t="s">
        <v>132</v>
      </c>
    </row>
    <row r="33" spans="2:2">
      <c r="B33" s="21" t="s">
        <v>24</v>
      </c>
    </row>
    <row r="34" spans="2:2">
      <c r="B34" s="21"/>
    </row>
    <row r="35" spans="2:2">
      <c r="B35" s="1" t="s">
        <v>92</v>
      </c>
    </row>
    <row r="36" spans="2:2">
      <c r="B36" s="1" t="s">
        <v>93</v>
      </c>
    </row>
    <row r="37" spans="2:2">
      <c r="B37" s="1" t="s">
        <v>131</v>
      </c>
    </row>
    <row r="38" spans="2:2">
      <c r="B38" s="1" t="s">
        <v>133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S44"/>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2" width="10.83203125" style="1"/>
    <col min="13" max="13" width="31.5" style="1" customWidth="1"/>
    <col min="14" max="18" width="18.1640625" style="1" customWidth="1"/>
    <col min="19" max="16384" width="10.83203125" style="1"/>
  </cols>
  <sheetData>
    <row r="2" spans="2:19">
      <c r="B2" s="16" t="s">
        <v>135</v>
      </c>
    </row>
    <row r="3" spans="2:19">
      <c r="B3" s="22" t="s">
        <v>28</v>
      </c>
    </row>
    <row r="6" spans="2:19" ht="36">
      <c r="B6" s="19" t="s">
        <v>25</v>
      </c>
      <c r="C6" s="18" t="s">
        <v>253</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9">
      <c r="B8" s="11" t="s">
        <v>27</v>
      </c>
      <c r="C8" s="12">
        <f>D8*C$21</f>
        <v>6000000</v>
      </c>
      <c r="D8" s="20">
        <v>0.6</v>
      </c>
      <c r="F8" s="11">
        <v>0</v>
      </c>
      <c r="G8" s="25">
        <f>G$29</f>
        <v>0.22500000000000001</v>
      </c>
      <c r="H8" s="8">
        <f>IFERROR(F8/G8,0)</f>
        <v>0</v>
      </c>
      <c r="I8" s="5">
        <f>H8+C8</f>
        <v>6000000</v>
      </c>
      <c r="J8" s="23">
        <f>IFERROR(I8/I$21,0)</f>
        <v>0.36000000000000004</v>
      </c>
      <c r="K8" s="3">
        <f>I8*G$29</f>
        <v>1350000</v>
      </c>
      <c r="M8" s="11">
        <v>0</v>
      </c>
      <c r="N8" s="25">
        <f>N$29</f>
        <v>0.72000000000000008</v>
      </c>
      <c r="O8" s="8">
        <f>IFERROR(M8/N8,0)</f>
        <v>0</v>
      </c>
      <c r="P8" s="5">
        <f>O8+I8</f>
        <v>6000000</v>
      </c>
      <c r="Q8" s="23">
        <f>IFERROR(P8/P$21,0)</f>
        <v>0.24789424857645101</v>
      </c>
      <c r="R8" s="3">
        <f>P8*N$29</f>
        <v>4320000.0000000009</v>
      </c>
    </row>
    <row r="9" spans="2:19">
      <c r="B9" s="11" t="s">
        <v>27</v>
      </c>
      <c r="C9" s="12">
        <f>D9*C$21</f>
        <v>3000000</v>
      </c>
      <c r="D9" s="20">
        <v>0.3</v>
      </c>
      <c r="F9" s="11">
        <v>0</v>
      </c>
      <c r="G9" s="25">
        <f>G$29</f>
        <v>0.22500000000000001</v>
      </c>
      <c r="H9" s="8">
        <f>IFERROR(F9/G9,0)</f>
        <v>0</v>
      </c>
      <c r="I9" s="5">
        <f>H9+C9</f>
        <v>3000000</v>
      </c>
      <c r="J9" s="23">
        <f>IFERROR(I9/I$21,0)</f>
        <v>0.18000000000000002</v>
      </c>
      <c r="K9" s="3">
        <f>I9*G$29</f>
        <v>675000</v>
      </c>
      <c r="M9" s="11">
        <v>0</v>
      </c>
      <c r="N9" s="25">
        <f>N$29</f>
        <v>0.72000000000000008</v>
      </c>
      <c r="O9" s="8">
        <f>IFERROR(M9/N9,0)</f>
        <v>0</v>
      </c>
      <c r="P9" s="5">
        <f>O9+I9</f>
        <v>3000000</v>
      </c>
      <c r="Q9" s="23">
        <f>IFERROR(P9/P$21,0)</f>
        <v>0.1239471242882255</v>
      </c>
      <c r="R9" s="3">
        <f>P9*N$29</f>
        <v>2160000.0000000005</v>
      </c>
    </row>
    <row r="10" spans="2:19">
      <c r="B10" s="11" t="s">
        <v>29</v>
      </c>
      <c r="C10" s="12">
        <f>D10*C$21</f>
        <v>700000.00000000012</v>
      </c>
      <c r="D10" s="20">
        <v>7.0000000000000007E-2</v>
      </c>
      <c r="F10" s="11">
        <v>0</v>
      </c>
      <c r="G10" s="25">
        <f>G$29</f>
        <v>0.22500000000000001</v>
      </c>
      <c r="H10" s="8">
        <f>IFERROR(F10/G10,0)</f>
        <v>0</v>
      </c>
      <c r="I10" s="5">
        <f t="shared" ref="I10:I15" si="0">H10+C10</f>
        <v>700000.00000000012</v>
      </c>
      <c r="J10" s="23">
        <f>IFERROR(I10/I$21,0)</f>
        <v>4.2000000000000016E-2</v>
      </c>
      <c r="K10" s="3">
        <f>I10*G$29</f>
        <v>157500.00000000003</v>
      </c>
      <c r="M10" s="11">
        <v>0</v>
      </c>
      <c r="N10" s="25">
        <f>N$29</f>
        <v>0.72000000000000008</v>
      </c>
      <c r="O10" s="8">
        <f>IFERROR(M10/N10,0)</f>
        <v>0</v>
      </c>
      <c r="P10" s="5">
        <f>O10+I10</f>
        <v>700000.00000000012</v>
      </c>
      <c r="Q10" s="23">
        <f>IFERROR(P10/P$21,0)</f>
        <v>2.8920995667252623E-2</v>
      </c>
      <c r="R10" s="3">
        <f>P10*N$29</f>
        <v>504000.00000000012</v>
      </c>
      <c r="S10" s="8"/>
    </row>
    <row r="11" spans="2:19">
      <c r="B11" s="11" t="s">
        <v>29</v>
      </c>
      <c r="C11" s="12">
        <f>D11*C$21</f>
        <v>300000</v>
      </c>
      <c r="D11" s="20">
        <v>0.03</v>
      </c>
      <c r="F11" s="11">
        <v>0</v>
      </c>
      <c r="G11" s="25">
        <f>G$29</f>
        <v>0.22500000000000001</v>
      </c>
      <c r="H11" s="8">
        <f>IFERROR(F11/G11,0)</f>
        <v>0</v>
      </c>
      <c r="I11" s="5">
        <f t="shared" si="0"/>
        <v>300000</v>
      </c>
      <c r="J11" s="23">
        <f>IFERROR(I11/I$21,0)</f>
        <v>1.8000000000000002E-2</v>
      </c>
      <c r="K11" s="3">
        <f>I11*G$29</f>
        <v>67500</v>
      </c>
      <c r="M11" s="11">
        <v>0</v>
      </c>
      <c r="N11" s="25">
        <f>N$29</f>
        <v>0.72000000000000008</v>
      </c>
      <c r="O11" s="8">
        <f>IFERROR(M11/N11,0)</f>
        <v>0</v>
      </c>
      <c r="P11" s="5">
        <f>O11+I11</f>
        <v>300000</v>
      </c>
      <c r="Q11" s="23">
        <f>IFERROR(P11/P$21,0)</f>
        <v>1.2394712428822551E-2</v>
      </c>
      <c r="R11" s="3">
        <f>P11*N$29</f>
        <v>216000.00000000003</v>
      </c>
      <c r="S11" s="8"/>
    </row>
    <row r="12" spans="2:19">
      <c r="B12" s="11" t="s">
        <v>34</v>
      </c>
      <c r="C12" s="12">
        <f>D12*C$21</f>
        <v>0</v>
      </c>
      <c r="D12" s="20">
        <v>0</v>
      </c>
      <c r="F12" s="11">
        <v>0</v>
      </c>
      <c r="G12" s="25">
        <f>G$29</f>
        <v>0.22500000000000001</v>
      </c>
      <c r="H12" s="8">
        <f>IFERROR(F12/G12,0)</f>
        <v>0</v>
      </c>
      <c r="I12" s="5">
        <f t="shared" si="0"/>
        <v>0</v>
      </c>
      <c r="J12" s="23">
        <f>IFERROR(I12/I$21,0)</f>
        <v>0</v>
      </c>
      <c r="K12" s="3">
        <f>I12*G$29</f>
        <v>0</v>
      </c>
      <c r="M12" s="11">
        <v>100000</v>
      </c>
      <c r="N12" s="25">
        <f>N$29</f>
        <v>0.72000000000000008</v>
      </c>
      <c r="O12" s="3">
        <f>IFERROR(M12/N12,0)</f>
        <v>138888.88888888888</v>
      </c>
      <c r="P12" s="5">
        <f>O12+I12</f>
        <v>138888.88888888888</v>
      </c>
      <c r="Q12" s="23">
        <f>IFERROR(P12/P$21,0)</f>
        <v>5.738292791121551E-3</v>
      </c>
      <c r="R12" s="3">
        <f>P12*N$29</f>
        <v>100000</v>
      </c>
      <c r="S12" s="8" t="s">
        <v>49</v>
      </c>
    </row>
    <row r="13" spans="2:19">
      <c r="D13" s="24"/>
      <c r="S13" s="8"/>
    </row>
    <row r="14" spans="2:19">
      <c r="B14" s="11" t="s">
        <v>30</v>
      </c>
      <c r="C14" s="12">
        <f>D14*C$21</f>
        <v>0</v>
      </c>
      <c r="D14" s="20">
        <v>0</v>
      </c>
      <c r="F14" s="11">
        <v>500000</v>
      </c>
      <c r="G14" s="25">
        <f>G$29</f>
        <v>0.22500000000000001</v>
      </c>
      <c r="H14" s="3">
        <f>IFERROR(F14/G14,0)</f>
        <v>2222222.222222222</v>
      </c>
      <c r="I14" s="5">
        <f t="shared" si="0"/>
        <v>2222222.222222222</v>
      </c>
      <c r="J14" s="23">
        <f>IFERROR(I14/I$21,0)</f>
        <v>0.13333333333333333</v>
      </c>
      <c r="K14" s="3">
        <f>I14*G$29</f>
        <v>499999.99999999994</v>
      </c>
      <c r="M14" s="11">
        <v>584107.32530946471</v>
      </c>
      <c r="N14" s="25">
        <f>N$29</f>
        <v>0.72000000000000008</v>
      </c>
      <c r="O14" s="3">
        <f>IFERROR(M14/N14,0)</f>
        <v>811260.17404092313</v>
      </c>
      <c r="P14" s="5">
        <f>O14+I14</f>
        <v>3033482.3962631449</v>
      </c>
      <c r="Q14" s="23">
        <f>IFERROR(P14/P$21,0)</f>
        <v>0.12533047319859072</v>
      </c>
      <c r="R14" s="3">
        <f>P14*N$29</f>
        <v>2184107.3253094647</v>
      </c>
      <c r="S14" s="8" t="s">
        <v>53</v>
      </c>
    </row>
    <row r="15" spans="2:19">
      <c r="B15" s="11" t="s">
        <v>34</v>
      </c>
      <c r="C15" s="12">
        <f>D15*C$21</f>
        <v>0</v>
      </c>
      <c r="D15" s="20">
        <v>0</v>
      </c>
      <c r="F15" s="11">
        <v>250000</v>
      </c>
      <c r="G15" s="25">
        <f>G$29</f>
        <v>0.22500000000000001</v>
      </c>
      <c r="H15" s="3">
        <f>IFERROR(F15/G15,0)</f>
        <v>1111111.111111111</v>
      </c>
      <c r="I15" s="5">
        <f t="shared" si="0"/>
        <v>1111111.111111111</v>
      </c>
      <c r="J15" s="23">
        <f>IFERROR(I15/I$21,0)</f>
        <v>6.6666666666666666E-2</v>
      </c>
      <c r="K15" s="3">
        <f>I15*G$29</f>
        <v>249999.99999999997</v>
      </c>
      <c r="M15" s="11">
        <v>0</v>
      </c>
      <c r="N15" s="25">
        <f>N$29</f>
        <v>0.72000000000000008</v>
      </c>
      <c r="O15" s="3">
        <f>IFERROR(M15/N15,0)</f>
        <v>0</v>
      </c>
      <c r="P15" s="5">
        <f>O15+I15</f>
        <v>1111111.111111111</v>
      </c>
      <c r="Q15" s="23">
        <f>IFERROR(P15/P$21,0)</f>
        <v>4.5906342328972408E-2</v>
      </c>
      <c r="R15" s="3">
        <f>P15*N$29</f>
        <v>800000</v>
      </c>
      <c r="S15" s="8"/>
    </row>
    <row r="16" spans="2:19">
      <c r="B16" s="11" t="s">
        <v>60</v>
      </c>
      <c r="C16" s="12">
        <f>D16*C$21</f>
        <v>0</v>
      </c>
      <c r="D16" s="20">
        <v>0</v>
      </c>
      <c r="F16" s="11">
        <v>0</v>
      </c>
      <c r="G16" s="25">
        <f>G$29</f>
        <v>0.22500000000000001</v>
      </c>
      <c r="H16" s="3">
        <f>IFERROR(F16/G16,0)</f>
        <v>0</v>
      </c>
      <c r="I16" s="5">
        <f t="shared" ref="I16" si="1">H16+C16</f>
        <v>0</v>
      </c>
      <c r="J16" s="23">
        <f>IFERROR(I16/I$21,0)</f>
        <v>0</v>
      </c>
      <c r="K16" s="3">
        <f>I16*G$29</f>
        <v>0</v>
      </c>
      <c r="M16" s="11">
        <v>3000000</v>
      </c>
      <c r="N16" s="25">
        <f>N$29</f>
        <v>0.72000000000000008</v>
      </c>
      <c r="O16" s="3">
        <f>IFERROR(M16/N16,0)</f>
        <v>4166666.666666666</v>
      </c>
      <c r="P16" s="5">
        <f>O16+I16</f>
        <v>4166666.666666666</v>
      </c>
      <c r="Q16" s="23">
        <f>IFERROR(P16/P$21,0)</f>
        <v>0.1721487837336465</v>
      </c>
      <c r="R16" s="3">
        <f>P16*N$29</f>
        <v>3000000</v>
      </c>
    </row>
    <row r="17" spans="2:18">
      <c r="D17" s="24"/>
    </row>
    <row r="18" spans="2:18">
      <c r="B18" s="8" t="s">
        <v>143</v>
      </c>
      <c r="C18" s="12">
        <f>D18*C$21</f>
        <v>0</v>
      </c>
      <c r="D18" s="20">
        <v>0</v>
      </c>
      <c r="F18" s="11">
        <v>0</v>
      </c>
      <c r="G18" s="25">
        <f>G$29</f>
        <v>0.22500000000000001</v>
      </c>
      <c r="H18" s="3">
        <f>G35*C19</f>
        <v>0</v>
      </c>
      <c r="I18" s="5">
        <f t="shared" ref="I18" si="2">H18+C18</f>
        <v>0</v>
      </c>
      <c r="J18" s="23">
        <f>IFERROR(I18/I$21,0)</f>
        <v>0</v>
      </c>
      <c r="K18" s="3">
        <f>I18*G$29</f>
        <v>0</v>
      </c>
      <c r="M18" s="11">
        <v>0</v>
      </c>
      <c r="N18" s="25">
        <f>N$29</f>
        <v>0.72000000000000008</v>
      </c>
      <c r="O18" s="3">
        <f>N35*I19</f>
        <v>1666666.6666666665</v>
      </c>
      <c r="P18" s="5">
        <f>O18+I18</f>
        <v>1666666.6666666665</v>
      </c>
      <c r="Q18" s="23">
        <f>IFERROR(P18/P$21,0)</f>
        <v>6.8859513493458605E-2</v>
      </c>
      <c r="R18" s="3">
        <f>P18*N$29</f>
        <v>1200000</v>
      </c>
    </row>
    <row r="19" spans="2:18">
      <c r="B19" s="11" t="s">
        <v>8</v>
      </c>
      <c r="C19" s="12">
        <f>D19*C$21</f>
        <v>0</v>
      </c>
      <c r="D19" s="20">
        <v>0</v>
      </c>
      <c r="F19" s="11">
        <v>0</v>
      </c>
      <c r="G19" s="25">
        <f>G29</f>
        <v>0.22500000000000001</v>
      </c>
      <c r="H19" s="5">
        <f>G34</f>
        <v>3333333.333333333</v>
      </c>
      <c r="I19" s="5">
        <f>H19+C19-H18</f>
        <v>3333333.333333333</v>
      </c>
      <c r="J19" s="23">
        <f>IFERROR(I19/I$21,0)</f>
        <v>0.2</v>
      </c>
      <c r="K19" s="3">
        <f>I19*G$29</f>
        <v>750000</v>
      </c>
      <c r="M19" s="11">
        <v>0</v>
      </c>
      <c r="N19" s="25">
        <f>N29</f>
        <v>0.72000000000000008</v>
      </c>
      <c r="O19" s="5">
        <f>N34</f>
        <v>2420386.9329181272</v>
      </c>
      <c r="P19" s="5">
        <f>O19+I19-O18</f>
        <v>4087053.5995847932</v>
      </c>
      <c r="Q19" s="23">
        <f>IFERROR(P19/P$21,0)</f>
        <v>0.1688595134934586</v>
      </c>
      <c r="R19" s="3">
        <f>P19*N$29</f>
        <v>2942678.5917010517</v>
      </c>
    </row>
    <row r="20" spans="2:18">
      <c r="D20" s="24"/>
    </row>
    <row r="21" spans="2:18">
      <c r="B21" s="26" t="s">
        <v>3</v>
      </c>
      <c r="C21" s="10">
        <v>10000000</v>
      </c>
      <c r="D21" s="6">
        <f>SUM(D8:D12,D14:D16,D18:D19)</f>
        <v>1</v>
      </c>
      <c r="F21" s="7">
        <f>SUM(F8:F12,F14:F16,F18:F19)</f>
        <v>750000</v>
      </c>
      <c r="G21" s="26"/>
      <c r="H21" s="7">
        <f>SUM(H8:H12,H14:H16,H18:H19)</f>
        <v>6666666.666666666</v>
      </c>
      <c r="I21" s="7">
        <f>SUM(I8:I12,I14:I16,I18:I19)</f>
        <v>16666666.666666664</v>
      </c>
      <c r="J21" s="6">
        <f>SUM(J8:J12,J14:J16,J18:J19)</f>
        <v>1</v>
      </c>
      <c r="K21" s="7">
        <f>SUM(K8:K12,K14:K16,K18:K19)</f>
        <v>3750000</v>
      </c>
      <c r="M21" s="7">
        <f>SUM(M8:M12,M14:M16,M18:M19)</f>
        <v>3684107.3253094647</v>
      </c>
      <c r="N21" s="26"/>
      <c r="O21" s="7">
        <f>SUM(O8:O12,O14:O16,O18:O19)</f>
        <v>9203869.3291812725</v>
      </c>
      <c r="P21" s="7">
        <f>SUM(P8:P12,P14:P16,P18:P19)</f>
        <v>24203869.329181269</v>
      </c>
      <c r="Q21" s="6">
        <f>SUM(Q8:Q12,Q14:Q16,Q18:Q19)</f>
        <v>1</v>
      </c>
      <c r="R21" s="7">
        <f>SUM(R8:R12,R14:R16,R18:R19)</f>
        <v>17426785.91701052</v>
      </c>
    </row>
    <row r="24" spans="2:18">
      <c r="F24" s="22" t="s">
        <v>35</v>
      </c>
      <c r="M24" s="22" t="s">
        <v>58</v>
      </c>
    </row>
    <row r="25" spans="2:18">
      <c r="F25" s="1" t="s">
        <v>37</v>
      </c>
      <c r="G25" s="5">
        <f>F21</f>
        <v>750000</v>
      </c>
      <c r="M25" s="1" t="s">
        <v>37</v>
      </c>
      <c r="N25" s="5">
        <f>M21</f>
        <v>3684107.3253094647</v>
      </c>
    </row>
    <row r="26" spans="2:18">
      <c r="F26" s="1" t="s">
        <v>81</v>
      </c>
      <c r="G26" s="5">
        <f>G27-G28*G32</f>
        <v>2250000</v>
      </c>
      <c r="M26" s="1" t="s">
        <v>81</v>
      </c>
      <c r="N26" s="5">
        <f>N27-N28*N32</f>
        <v>12000000</v>
      </c>
    </row>
    <row r="27" spans="2:18">
      <c r="F27" s="1" t="s">
        <v>36</v>
      </c>
      <c r="G27" s="11">
        <v>3000000</v>
      </c>
      <c r="M27" s="1" t="s">
        <v>36</v>
      </c>
      <c r="N27" s="11">
        <v>12000000</v>
      </c>
    </row>
    <row r="28" spans="2:18">
      <c r="F28" s="1" t="s">
        <v>72</v>
      </c>
      <c r="G28" s="5">
        <f>G27+G25</f>
        <v>3750000</v>
      </c>
      <c r="M28" s="1" t="s">
        <v>72</v>
      </c>
      <c r="N28" s="5">
        <f>N27+N25</f>
        <v>15684107.325309465</v>
      </c>
      <c r="P28" s="41"/>
    </row>
    <row r="29" spans="2:18">
      <c r="F29" s="1" t="s">
        <v>32</v>
      </c>
      <c r="G29" s="25">
        <f>G26/C21</f>
        <v>0.22500000000000001</v>
      </c>
      <c r="M29" s="1" t="s">
        <v>32</v>
      </c>
      <c r="N29" s="25">
        <f>N26/I21</f>
        <v>0.72000000000000008</v>
      </c>
    </row>
    <row r="30" spans="2:18">
      <c r="F30" s="1" t="s">
        <v>63</v>
      </c>
      <c r="G30" s="4">
        <f>G25/G28</f>
        <v>0.2</v>
      </c>
      <c r="M30" s="1" t="s">
        <v>63</v>
      </c>
      <c r="N30" s="4">
        <f>N25/N28</f>
        <v>0.23489429451712662</v>
      </c>
    </row>
    <row r="31" spans="2:18">
      <c r="H31" s="8"/>
      <c r="O31" s="8"/>
    </row>
    <row r="32" spans="2:18">
      <c r="F32" s="1" t="s">
        <v>83</v>
      </c>
      <c r="G32" s="20">
        <v>0.2</v>
      </c>
      <c r="H32" s="8" t="s">
        <v>48</v>
      </c>
      <c r="M32" s="1" t="s">
        <v>83</v>
      </c>
      <c r="N32" s="20">
        <v>0</v>
      </c>
      <c r="O32" s="8" t="s">
        <v>48</v>
      </c>
    </row>
    <row r="33" spans="2:15">
      <c r="F33" s="1" t="s">
        <v>84</v>
      </c>
      <c r="G33" s="20">
        <v>0</v>
      </c>
      <c r="H33" s="8" t="s">
        <v>48</v>
      </c>
      <c r="M33" s="1" t="s">
        <v>84</v>
      </c>
      <c r="N33" s="20">
        <v>0.1</v>
      </c>
      <c r="O33" s="8" t="s">
        <v>48</v>
      </c>
    </row>
    <row r="34" spans="2:15">
      <c r="F34" s="1" t="s">
        <v>82</v>
      </c>
      <c r="G34" s="3">
        <f>IF(G28=0,G33*C21/(1-G33),G33*G28/(G29*(1-G33)))+IF(G27=0,C21*G32,G32*G28/G29)</f>
        <v>3333333.333333333</v>
      </c>
      <c r="H34" s="8"/>
      <c r="M34" s="1" t="s">
        <v>82</v>
      </c>
      <c r="N34" s="3">
        <f>IF(N28=0,N33*I21/(1-N33),N33*N28/(N29*(1-N33)))+IF(N27=0,I21*N32,N32*N28/N29)</f>
        <v>2420386.9329181272</v>
      </c>
      <c r="O34" s="8"/>
    </row>
    <row r="35" spans="2:15">
      <c r="F35" s="1" t="s">
        <v>136</v>
      </c>
      <c r="G35" s="20">
        <v>0</v>
      </c>
      <c r="H35" s="8" t="s">
        <v>128</v>
      </c>
      <c r="M35" s="1" t="s">
        <v>136</v>
      </c>
      <c r="N35" s="20">
        <v>0.5</v>
      </c>
      <c r="O35" s="8" t="s">
        <v>128</v>
      </c>
    </row>
    <row r="36" spans="2:15">
      <c r="F36" s="1" t="s">
        <v>17</v>
      </c>
      <c r="G36" s="40">
        <f ca="1">EDATE(TODAY(),-18)</f>
        <v>43416</v>
      </c>
      <c r="H36" s="8" t="s">
        <v>139</v>
      </c>
      <c r="M36" s="1" t="s">
        <v>17</v>
      </c>
      <c r="N36" s="40">
        <f ca="1">TODAY()</f>
        <v>43963</v>
      </c>
      <c r="O36" s="8" t="s">
        <v>139</v>
      </c>
    </row>
    <row r="37" spans="2:15">
      <c r="O37" s="8"/>
    </row>
    <row r="38" spans="2:15">
      <c r="B38" s="21" t="s">
        <v>24</v>
      </c>
    </row>
    <row r="39" spans="2:15">
      <c r="B39" s="1" t="s">
        <v>134</v>
      </c>
    </row>
    <row r="40" spans="2:15">
      <c r="B40" s="1" t="s">
        <v>155</v>
      </c>
    </row>
    <row r="41" spans="2:15">
      <c r="B41" s="1" t="s">
        <v>138</v>
      </c>
    </row>
    <row r="42" spans="2:15">
      <c r="B42" s="1" t="s">
        <v>140</v>
      </c>
    </row>
    <row r="43" spans="2:15">
      <c r="B43" s="1" t="s">
        <v>141</v>
      </c>
    </row>
    <row r="44" spans="2:15">
      <c r="B44" s="1" t="s">
        <v>142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P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1.83203125" style="1" customWidth="1"/>
    <col min="7" max="8" width="18.6640625" style="1" customWidth="1"/>
    <col min="9" max="9" width="19.6640625" style="1" customWidth="1"/>
    <col min="10" max="12" width="16.83203125" style="1" customWidth="1"/>
    <col min="13" max="16" width="16.1640625" style="1" customWidth="1"/>
    <col min="17" max="16384" width="10.83203125" style="1"/>
  </cols>
  <sheetData>
    <row r="2" spans="2:16">
      <c r="B2" s="16" t="s">
        <v>66</v>
      </c>
    </row>
    <row r="3" spans="2:16">
      <c r="B3" s="22" t="s">
        <v>28</v>
      </c>
    </row>
    <row r="6" spans="2:16" s="31" customFormat="1" ht="36">
      <c r="B6" s="19" t="s">
        <v>25</v>
      </c>
      <c r="C6" s="18" t="s">
        <v>253</v>
      </c>
      <c r="D6" s="18" t="s">
        <v>16</v>
      </c>
      <c r="F6" s="18" t="s">
        <v>31</v>
      </c>
      <c r="G6" s="30" t="s">
        <v>1</v>
      </c>
      <c r="H6" s="30" t="s">
        <v>65</v>
      </c>
      <c r="I6" s="18" t="s">
        <v>96</v>
      </c>
      <c r="J6" s="18" t="s">
        <v>32</v>
      </c>
      <c r="K6" s="18" t="s">
        <v>85</v>
      </c>
      <c r="L6" s="18" t="s">
        <v>253</v>
      </c>
      <c r="M6" s="18" t="s">
        <v>16</v>
      </c>
      <c r="N6" s="18" t="s">
        <v>33</v>
      </c>
      <c r="O6" s="18" t="s">
        <v>274</v>
      </c>
      <c r="P6" s="18" t="s">
        <v>16</v>
      </c>
    </row>
    <row r="8" spans="2:16">
      <c r="B8" s="11" t="s">
        <v>27</v>
      </c>
      <c r="C8" s="12">
        <f>D8*C$17</f>
        <v>6000000</v>
      </c>
      <c r="D8" s="20">
        <v>0.6</v>
      </c>
      <c r="F8" s="11">
        <v>0</v>
      </c>
      <c r="G8" s="28">
        <v>0</v>
      </c>
      <c r="H8" s="11">
        <v>0</v>
      </c>
      <c r="I8" s="20">
        <v>0</v>
      </c>
      <c r="J8" s="25">
        <f>G$24</f>
        <v>0</v>
      </c>
      <c r="K8" s="8">
        <f>IFERROR(F8/J8,0)</f>
        <v>0</v>
      </c>
      <c r="L8" s="5">
        <f>K8+C8</f>
        <v>6000000</v>
      </c>
      <c r="M8" s="23">
        <f>IFERROR(L8/L$17,0)</f>
        <v>0.6</v>
      </c>
      <c r="N8" s="3">
        <f>L8*G$24</f>
        <v>0</v>
      </c>
      <c r="O8" s="3">
        <f>IFERROR(F8/(H8/C$17),0)+L8</f>
        <v>6000000</v>
      </c>
      <c r="P8" s="23">
        <f>IFERROR(O8/O$17,0)</f>
        <v>0.48</v>
      </c>
    </row>
    <row r="9" spans="2:16">
      <c r="B9" s="11" t="s">
        <v>27</v>
      </c>
      <c r="C9" s="12">
        <f>D9*C$17</f>
        <v>3000000</v>
      </c>
      <c r="D9" s="20">
        <v>0.3</v>
      </c>
      <c r="F9" s="11">
        <v>0</v>
      </c>
      <c r="G9" s="28">
        <v>0</v>
      </c>
      <c r="H9" s="11">
        <v>0</v>
      </c>
      <c r="I9" s="20">
        <v>0</v>
      </c>
      <c r="J9" s="25">
        <f>G$24</f>
        <v>0</v>
      </c>
      <c r="K9" s="8">
        <f>IFERROR(F9/J9,0)</f>
        <v>0</v>
      </c>
      <c r="L9" s="5">
        <f>K9+C9</f>
        <v>3000000</v>
      </c>
      <c r="M9" s="23">
        <f>IFERROR(L9/L$17,0)</f>
        <v>0.3</v>
      </c>
      <c r="N9" s="3">
        <f>L9*G$24</f>
        <v>0</v>
      </c>
      <c r="O9" s="3">
        <f>IFERROR(F9/(H9/C$17),0)+L9</f>
        <v>3000000</v>
      </c>
      <c r="P9" s="23">
        <f>IFERROR(O9/O$17,0)</f>
        <v>0.24</v>
      </c>
    </row>
    <row r="10" spans="2:16">
      <c r="B10" s="11" t="s">
        <v>29</v>
      </c>
      <c r="C10" s="12">
        <f>D10*C$17</f>
        <v>500000</v>
      </c>
      <c r="D10" s="20">
        <v>0.05</v>
      </c>
      <c r="F10" s="11">
        <v>0</v>
      </c>
      <c r="G10" s="28">
        <v>0</v>
      </c>
      <c r="H10" s="11">
        <v>0</v>
      </c>
      <c r="I10" s="20">
        <v>0</v>
      </c>
      <c r="J10" s="25">
        <f>G$24</f>
        <v>0</v>
      </c>
      <c r="K10" s="8">
        <f>IFERROR(F10/J10,0)</f>
        <v>0</v>
      </c>
      <c r="L10" s="5">
        <f>K10+C10</f>
        <v>500000</v>
      </c>
      <c r="M10" s="23">
        <f>IFERROR(L10/L$17,0)</f>
        <v>0.05</v>
      </c>
      <c r="N10" s="3">
        <f>L10*G$24</f>
        <v>0</v>
      </c>
      <c r="O10" s="3">
        <f>IFERROR(F10/(H10/C$17),0)+L10</f>
        <v>500000</v>
      </c>
      <c r="P10" s="23">
        <f>IFERROR(O10/O$17,0)</f>
        <v>0.04</v>
      </c>
    </row>
    <row r="11" spans="2:16">
      <c r="B11" s="11" t="s">
        <v>29</v>
      </c>
      <c r="C11" s="12">
        <f>D11*C$17</f>
        <v>300000</v>
      </c>
      <c r="D11" s="20">
        <v>0.03</v>
      </c>
      <c r="F11" s="11">
        <v>0</v>
      </c>
      <c r="G11" s="28">
        <v>0</v>
      </c>
      <c r="H11" s="11">
        <v>0</v>
      </c>
      <c r="I11" s="20">
        <v>0</v>
      </c>
      <c r="J11" s="25">
        <f>G$24</f>
        <v>0</v>
      </c>
      <c r="K11" s="8">
        <f>IFERROR(F11/J11,0)</f>
        <v>0</v>
      </c>
      <c r="L11" s="5">
        <f>K11+C11</f>
        <v>300000</v>
      </c>
      <c r="M11" s="23">
        <f>IFERROR(L11/L$17,0)</f>
        <v>0.03</v>
      </c>
      <c r="N11" s="3">
        <f>L11*G$24</f>
        <v>0</v>
      </c>
      <c r="O11" s="3">
        <f>IFERROR(F11/(H11/C$17),0)+L11</f>
        <v>300000</v>
      </c>
      <c r="P11" s="23">
        <f>IFERROR(O11/O$17,0)</f>
        <v>2.4E-2</v>
      </c>
    </row>
    <row r="12" spans="2:16">
      <c r="B12" s="11" t="s">
        <v>29</v>
      </c>
      <c r="C12" s="12">
        <f>D12*C$17</f>
        <v>200000</v>
      </c>
      <c r="D12" s="20">
        <v>0.02</v>
      </c>
      <c r="F12" s="11">
        <v>0</v>
      </c>
      <c r="G12" s="28">
        <v>0</v>
      </c>
      <c r="H12" s="11">
        <v>0</v>
      </c>
      <c r="I12" s="20">
        <v>0</v>
      </c>
      <c r="J12" s="25">
        <f>G$24</f>
        <v>0</v>
      </c>
      <c r="K12" s="8">
        <f>IFERROR(F12/J12,0)</f>
        <v>0</v>
      </c>
      <c r="L12" s="5">
        <f>K12+C12</f>
        <v>200000</v>
      </c>
      <c r="M12" s="23">
        <f>IFERROR(L12/L$17,0)</f>
        <v>0.02</v>
      </c>
      <c r="N12" s="3">
        <f>L12*G$24</f>
        <v>0</v>
      </c>
      <c r="O12" s="3">
        <f>IFERROR(F12/(H12/C$17),0)+L12</f>
        <v>200000</v>
      </c>
      <c r="P12" s="23">
        <f>IFERROR(O12/O$17,0)</f>
        <v>1.6E-2</v>
      </c>
    </row>
    <row r="13" spans="2:16">
      <c r="D13" s="24"/>
      <c r="G13" s="29"/>
    </row>
    <row r="14" spans="2:16">
      <c r="B14" s="11" t="s">
        <v>30</v>
      </c>
      <c r="C14" s="12">
        <f>D14*C$17</f>
        <v>0</v>
      </c>
      <c r="D14" s="20">
        <v>0</v>
      </c>
      <c r="F14" s="11">
        <v>500000</v>
      </c>
      <c r="G14" s="28">
        <v>0.2</v>
      </c>
      <c r="H14" s="11">
        <v>3000000</v>
      </c>
      <c r="I14" s="20">
        <v>0.08</v>
      </c>
      <c r="J14" s="25">
        <f>G$24</f>
        <v>0</v>
      </c>
      <c r="K14" s="3">
        <f>IFERROR(F14/J14,0)</f>
        <v>0</v>
      </c>
      <c r="L14" s="5">
        <f>K14+C14</f>
        <v>0</v>
      </c>
      <c r="M14" s="23">
        <f>IFERROR(L14/L$17,0)</f>
        <v>0</v>
      </c>
      <c r="N14" s="3">
        <f>L14*G$24</f>
        <v>0</v>
      </c>
      <c r="O14" s="3">
        <f>IFERROR(F14/(H14/C$17),0)+L14</f>
        <v>1666666.6666666667</v>
      </c>
      <c r="P14" s="23">
        <f>IFERROR(O14/O$17,0)</f>
        <v>0.13333333333333333</v>
      </c>
    </row>
    <row r="15" spans="2:16">
      <c r="B15" s="11" t="s">
        <v>34</v>
      </c>
      <c r="C15" s="12">
        <f>D15*C$17</f>
        <v>0</v>
      </c>
      <c r="D15" s="20">
        <v>0</v>
      </c>
      <c r="F15" s="11">
        <v>250000</v>
      </c>
      <c r="G15" s="28">
        <v>0.2</v>
      </c>
      <c r="H15" s="11">
        <v>3000000</v>
      </c>
      <c r="I15" s="20">
        <v>0.08</v>
      </c>
      <c r="J15" s="25">
        <f>G$24</f>
        <v>0</v>
      </c>
      <c r="K15" s="3">
        <f>IFERROR(F15/J15,0)</f>
        <v>0</v>
      </c>
      <c r="L15" s="5">
        <f>K15+C15</f>
        <v>0</v>
      </c>
      <c r="M15" s="23">
        <f>IFERROR(L15/L$17,0)</f>
        <v>0</v>
      </c>
      <c r="N15" s="3">
        <f>L15*G$24</f>
        <v>0</v>
      </c>
      <c r="O15" s="3">
        <f>IFERROR(F15/(H15/C$17),0)+L15</f>
        <v>833333.33333333337</v>
      </c>
      <c r="P15" s="23">
        <f>IFERROR(O15/O$17,0)</f>
        <v>6.6666666666666666E-2</v>
      </c>
    </row>
    <row r="16" spans="2:16">
      <c r="D16" s="24"/>
      <c r="O16" s="3"/>
      <c r="P16" s="23">
        <f>IFERROR(O16/O$17,0)</f>
        <v>0</v>
      </c>
    </row>
    <row r="17" spans="2:16">
      <c r="B17" s="26" t="s">
        <v>3</v>
      </c>
      <c r="C17" s="10">
        <v>10000000</v>
      </c>
      <c r="D17" s="27">
        <f>SUM(D8:D12,D14:D15)</f>
        <v>1</v>
      </c>
      <c r="F17" s="7">
        <f>SUM(F8:F12,F14:F15)</f>
        <v>750000</v>
      </c>
      <c r="G17" s="26"/>
      <c r="H17" s="26"/>
      <c r="I17" s="26"/>
      <c r="J17" s="26"/>
      <c r="K17" s="7">
        <f t="shared" ref="K17:P17" si="0">SUM(K8:K12,K14:K15)</f>
        <v>0</v>
      </c>
      <c r="L17" s="7">
        <f t="shared" si="0"/>
        <v>10000000</v>
      </c>
      <c r="M17" s="27">
        <f t="shared" si="0"/>
        <v>1</v>
      </c>
      <c r="N17" s="7">
        <f t="shared" si="0"/>
        <v>0</v>
      </c>
      <c r="O17" s="7">
        <f t="shared" si="0"/>
        <v>12500000</v>
      </c>
      <c r="P17" s="27">
        <f t="shared" si="0"/>
        <v>1</v>
      </c>
    </row>
    <row r="20" spans="2:16">
      <c r="F20" s="22" t="s">
        <v>35</v>
      </c>
    </row>
    <row r="21" spans="2:16">
      <c r="F21" s="1" t="s">
        <v>37</v>
      </c>
      <c r="G21" s="5">
        <f>F17</f>
        <v>750000</v>
      </c>
    </row>
    <row r="22" spans="2:16">
      <c r="F22" s="1" t="s">
        <v>36</v>
      </c>
      <c r="G22" s="11">
        <v>0</v>
      </c>
      <c r="H22" s="8" t="s">
        <v>48</v>
      </c>
    </row>
    <row r="23" spans="2:16">
      <c r="F23" s="1" t="s">
        <v>72</v>
      </c>
      <c r="G23" s="5">
        <f>IF(G22=0,0,G22+G21)</f>
        <v>0</v>
      </c>
    </row>
    <row r="24" spans="2:16">
      <c r="F24" s="1" t="s">
        <v>32</v>
      </c>
      <c r="G24" s="25">
        <f>G22/C17</f>
        <v>0</v>
      </c>
    </row>
    <row r="25" spans="2:16">
      <c r="F25" s="1" t="s">
        <v>63</v>
      </c>
      <c r="G25" s="4">
        <f>IFERROR(G21/G23,0)</f>
        <v>0</v>
      </c>
    </row>
    <row r="27" spans="2:16">
      <c r="B27" s="21" t="s">
        <v>24</v>
      </c>
    </row>
    <row r="29" spans="2:16">
      <c r="B29" s="1" t="s">
        <v>67</v>
      </c>
    </row>
    <row r="30" spans="2:16">
      <c r="B30" s="1" t="s">
        <v>68</v>
      </c>
    </row>
    <row r="31" spans="2:16">
      <c r="B31" s="1" t="s">
        <v>95</v>
      </c>
    </row>
    <row r="32" spans="2:16">
      <c r="B32" s="1" t="s">
        <v>275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2:AD48"/>
  <sheetViews>
    <sheetView showGridLines="0" topLeftCell="A4" workbookViewId="0">
      <pane xSplit="2" topLeftCell="O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7.83203125" style="1" customWidth="1"/>
    <col min="7" max="9" width="18.6640625" style="1" customWidth="1"/>
    <col min="10" max="16" width="16.83203125" style="1" customWidth="1"/>
    <col min="17" max="17" width="10.83203125" style="1"/>
    <col min="18" max="18" width="29.1640625" style="1" customWidth="1"/>
    <col min="19" max="19" width="18.1640625" style="1" customWidth="1"/>
    <col min="20" max="35" width="16.83203125" style="1" customWidth="1"/>
    <col min="36" max="16384" width="10.83203125" style="1"/>
  </cols>
  <sheetData>
    <row r="2" spans="2:30">
      <c r="B2" s="16" t="s">
        <v>101</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271</v>
      </c>
      <c r="P6" s="18" t="s">
        <v>288</v>
      </c>
      <c r="R6" s="18" t="s">
        <v>31</v>
      </c>
      <c r="S6" s="30" t="s">
        <v>69</v>
      </c>
      <c r="T6" s="30" t="s">
        <v>70</v>
      </c>
      <c r="U6" s="30" t="s">
        <v>71</v>
      </c>
      <c r="V6" s="30" t="s">
        <v>116</v>
      </c>
      <c r="W6" s="18" t="s">
        <v>111</v>
      </c>
      <c r="X6" s="18" t="s">
        <v>112</v>
      </c>
      <c r="Y6" s="18" t="s">
        <v>85</v>
      </c>
      <c r="Z6" s="18" t="s">
        <v>253</v>
      </c>
      <c r="AA6" s="18" t="s">
        <v>289</v>
      </c>
      <c r="AB6" s="18" t="s">
        <v>33</v>
      </c>
      <c r="AC6" s="18" t="s">
        <v>272</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IFERROR(U8/(1-(MAX(G8,(S$28-H8/L$18)/S$28))),0)</f>
        <v>0</v>
      </c>
      <c r="W8" s="25">
        <f>S$28</f>
        <v>1.2</v>
      </c>
      <c r="X8" s="25">
        <f ca="1">IF(U8=0,0,IF(H8&lt;&gt;0,MIN(W8*(1-G8),H8/L$18),W8*(1-G8)))</f>
        <v>0</v>
      </c>
      <c r="Y8" s="3">
        <f ca="1">IFERROR(R8/W8,0)+IFERROR(U8/X8,0)</f>
        <v>0</v>
      </c>
      <c r="Z8" s="5">
        <f ca="1">Y8+L8</f>
        <v>6000000</v>
      </c>
      <c r="AA8" s="23">
        <f ca="1">IFERROR(Z8/Z$18,0)</f>
        <v>0.44645492642301393</v>
      </c>
      <c r="AB8" s="3">
        <f ca="1">Z8*S$28</f>
        <v>7200000</v>
      </c>
      <c r="AC8" s="3">
        <f ca="1">Z8</f>
        <v>6000000</v>
      </c>
      <c r="AD8" s="23">
        <f ca="1">IFERROR(AC8/AC$18,0)</f>
        <v>0.44645492642301393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IFERROR(F9/(H9/C$18),0)+L9</f>
        <v>3000000</v>
      </c>
      <c r="P9" s="23">
        <f>IFERROR(O9/O$18,0)</f>
        <v>0.2774566473988439</v>
      </c>
      <c r="R9" s="44">
        <v>0</v>
      </c>
      <c r="S9" s="5">
        <f>F9</f>
        <v>0</v>
      </c>
      <c r="T9" s="3">
        <f t="shared" ref="T9:T16" ca="1" si="0">FV(I9/12,DATEDIF(G$29,S$29,"m"),0,-S9)-S9</f>
        <v>0</v>
      </c>
      <c r="U9" s="5">
        <f ca="1">T9+S9</f>
        <v>0</v>
      </c>
      <c r="V9" s="5">
        <f ca="1">IFERROR(U9/(1-(MAX(G9,(S$28-H9/L$18)/S$28))),0)</f>
        <v>0</v>
      </c>
      <c r="W9" s="25">
        <f>S$28</f>
        <v>1.2</v>
      </c>
      <c r="X9" s="25">
        <f ca="1">IF(U9=0,0,IF(H9&lt;&gt;0,MIN(W9*(1-G9),H9/L$18),W9*(1-G9)))</f>
        <v>0</v>
      </c>
      <c r="Y9" s="3">
        <f ca="1">IFERROR(R9/W9,0)+IFERROR(U9/X9,0)</f>
        <v>0</v>
      </c>
      <c r="Z9" s="5">
        <f ca="1">Y9+L9</f>
        <v>3000000</v>
      </c>
      <c r="AA9" s="23">
        <f ca="1">IFERROR(Z9/Z$18,0)</f>
        <v>0.22322746321150697</v>
      </c>
      <c r="AB9" s="3">
        <f ca="1">Z9*S$28</f>
        <v>3600000</v>
      </c>
      <c r="AC9" s="3">
        <f ca="1">Z9</f>
        <v>3000000</v>
      </c>
      <c r="AD9" s="23">
        <f ca="1">IFERROR(AC9/AC$18,0)</f>
        <v>0.22322746321150697</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IFERROR(F10/(H10/C$18),0)+L10</f>
        <v>500000</v>
      </c>
      <c r="P10" s="23">
        <f>IFERROR(O10/O$18,0)</f>
        <v>4.6242774566473986E-2</v>
      </c>
      <c r="R10" s="44">
        <v>0</v>
      </c>
      <c r="S10" s="5">
        <f>F10</f>
        <v>0</v>
      </c>
      <c r="T10" s="3">
        <f t="shared" ca="1" si="0"/>
        <v>0</v>
      </c>
      <c r="U10" s="5">
        <f ca="1">T10+S10</f>
        <v>0</v>
      </c>
      <c r="V10" s="5">
        <f ca="1">IFERROR(U10/(1-(MAX(G10,(S$28-H10/L$18)/S$28))),0)</f>
        <v>0</v>
      </c>
      <c r="W10" s="25">
        <f>S$28</f>
        <v>1.2</v>
      </c>
      <c r="X10" s="25">
        <f ca="1">IF(U10=0,0,IF(H10&lt;&gt;0,MIN(W10*(1-G10),H10/L$18),W10*(1-G10)))</f>
        <v>0</v>
      </c>
      <c r="Y10" s="3">
        <f ca="1">IFERROR(R10/W10,0)+IFERROR(U10/X10,0)</f>
        <v>0</v>
      </c>
      <c r="Z10" s="5">
        <f ca="1">Y10+L10</f>
        <v>500000</v>
      </c>
      <c r="AA10" s="23">
        <f ca="1">IFERROR(Z10/Z$18,0)</f>
        <v>3.7204577201917825E-2</v>
      </c>
      <c r="AB10" s="3">
        <f ca="1">Z10*S$28</f>
        <v>600000</v>
      </c>
      <c r="AC10" s="3">
        <f ca="1">Z10</f>
        <v>500000</v>
      </c>
      <c r="AD10" s="23">
        <f ca="1">IFERROR(AC10/AC$18,0)</f>
        <v>3.7204577201917825E-2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IFERROR(F11/(H11/C$18),0)+L11</f>
        <v>300000</v>
      </c>
      <c r="P11" s="23">
        <f>IFERROR(O11/O$18,0)</f>
        <v>2.7745664739884393E-2</v>
      </c>
      <c r="R11" s="44">
        <v>0</v>
      </c>
      <c r="S11" s="5">
        <f>F11</f>
        <v>0</v>
      </c>
      <c r="T11" s="3">
        <f t="shared" ca="1" si="0"/>
        <v>0</v>
      </c>
      <c r="U11" s="5">
        <f ca="1">T11+S11</f>
        <v>0</v>
      </c>
      <c r="V11" s="5">
        <f ca="1">IFERROR(U11/(1-(MAX(G11,(S$28-H11/L$18)/S$28))),0)</f>
        <v>0</v>
      </c>
      <c r="W11" s="25">
        <f>S$28</f>
        <v>1.2</v>
      </c>
      <c r="X11" s="25">
        <f ca="1">IF(U11=0,0,IF(H11&lt;&gt;0,MIN(W11*(1-G11),H11/L$18),W11*(1-G11)))</f>
        <v>0</v>
      </c>
      <c r="Y11" s="3">
        <f ca="1">IFERROR(R11/W11,0)+IFERROR(U11/X11,0)</f>
        <v>0</v>
      </c>
      <c r="Z11" s="5">
        <f ca="1">Y11+L11</f>
        <v>300000</v>
      </c>
      <c r="AA11" s="23">
        <f ca="1">IFERROR(Z11/Z$18,0)</f>
        <v>2.2322746321150697E-2</v>
      </c>
      <c r="AB11" s="3">
        <f ca="1">Z11*S$28</f>
        <v>360000</v>
      </c>
      <c r="AC11" s="3">
        <f ca="1">Z11</f>
        <v>300000</v>
      </c>
      <c r="AD11" s="23">
        <f ca="1">IFERROR(AC11/AC$18,0)</f>
        <v>2.2322746321150697E-2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IFERROR(F12/(H12/C$18),0)+L12</f>
        <v>200000</v>
      </c>
      <c r="P12" s="23">
        <f>IFERROR(O12/O$18,0)</f>
        <v>1.8497109826589597E-2</v>
      </c>
      <c r="R12" s="44">
        <v>0</v>
      </c>
      <c r="S12" s="5">
        <f>F12</f>
        <v>0</v>
      </c>
      <c r="T12" s="3">
        <f t="shared" ca="1" si="0"/>
        <v>0</v>
      </c>
      <c r="U12" s="5">
        <f ca="1">T12+S12</f>
        <v>0</v>
      </c>
      <c r="V12" s="5">
        <f ca="1">IFERROR(U12/(1-(MAX(G12,(S$28-H12/L$18)/S$28))),0)</f>
        <v>0</v>
      </c>
      <c r="W12" s="25">
        <f>S$28</f>
        <v>1.2</v>
      </c>
      <c r="X12" s="25">
        <f ca="1">IF(U12=0,0,IF(H12&lt;&gt;0,MIN(W12*(1-G12),H12/L$18),W12*(1-G12)))</f>
        <v>0</v>
      </c>
      <c r="Y12" s="3">
        <f ca="1">IFERROR(R12/W12,0)+IFERROR(U12/X12,0)</f>
        <v>0</v>
      </c>
      <c r="Z12" s="5">
        <f ca="1">Y12+L12</f>
        <v>200000</v>
      </c>
      <c r="AA12" s="23">
        <f ca="1">IFERROR(Z12/Z$18,0)</f>
        <v>1.4881830880767132E-2</v>
      </c>
      <c r="AB12" s="3">
        <f ca="1">Z12*S$28</f>
        <v>240000</v>
      </c>
      <c r="AC12" s="3">
        <f ca="1">Z12</f>
        <v>200000</v>
      </c>
      <c r="AD12" s="23">
        <f ca="1">IFERROR(AC12/AC$18,0)</f>
        <v>1.4881830880767132E-2</v>
      </c>
    </row>
    <row r="13" spans="2:30">
      <c r="D13" s="24"/>
      <c r="G13" s="29"/>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IFERROR(F14/(H14/C$18),0)+L14</f>
        <v>500000</v>
      </c>
      <c r="P14" s="23">
        <f>IFERROR(O14/O$18,0)</f>
        <v>4.6242774566473986E-2</v>
      </c>
      <c r="R14" s="44">
        <v>0</v>
      </c>
      <c r="S14" s="5">
        <f>F14</f>
        <v>500000</v>
      </c>
      <c r="T14" s="3">
        <f t="shared" ca="1" si="0"/>
        <v>63523.968350204988</v>
      </c>
      <c r="U14" s="5">
        <f ca="1">T14+S14</f>
        <v>563523.96835020499</v>
      </c>
      <c r="V14" s="5">
        <f ca="1">IFERROR(U14/(1-(MAX(G14,(S$28-H14/L$18)/S$28))),0)</f>
        <v>704404.96043775615</v>
      </c>
      <c r="W14" s="25">
        <f>S$28</f>
        <v>1.2</v>
      </c>
      <c r="X14" s="25">
        <f ca="1">IF(U14=0,0,IF(H14&lt;&gt;0,MIN(W14*(1-G14),H14/L$18),W14*(1-G14)))</f>
        <v>0.96</v>
      </c>
      <c r="Y14" s="3">
        <f ca="1">IFERROR(R14/W14,0)+IFERROR(U14/X14,0)</f>
        <v>587004.13369813026</v>
      </c>
      <c r="Z14" s="5">
        <f ca="1">Y14+L14</f>
        <v>587004.13369813026</v>
      </c>
      <c r="AA14" s="23">
        <f ca="1">IFERROR(Z14/Z$18,0)</f>
        <v>4.3678481220033961E-2</v>
      </c>
      <c r="AB14" s="3">
        <f ca="1">Z14*S$28</f>
        <v>704404.96043775626</v>
      </c>
      <c r="AC14" s="3">
        <f ca="1">Z14</f>
        <v>587004.13369813026</v>
      </c>
      <c r="AD14" s="23">
        <f ca="1">IFERROR(AC14/AC$18,0)</f>
        <v>4.3678481220033961E-2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IFERROR(F15/(H15/C$18),0)+L15</f>
        <v>312500</v>
      </c>
      <c r="P15" s="23">
        <f>IFERROR(O15/O$18,0)</f>
        <v>2.8901734104046242E-2</v>
      </c>
      <c r="R15" s="44">
        <v>0</v>
      </c>
      <c r="S15" s="5">
        <f>F15</f>
        <v>250000</v>
      </c>
      <c r="T15" s="3">
        <f t="shared" ca="1" si="0"/>
        <v>31761.984175102494</v>
      </c>
      <c r="U15" s="5">
        <f ca="1">T15+S15</f>
        <v>281761.98417510249</v>
      </c>
      <c r="V15" s="5">
        <f ca="1">IFERROR(U15/(1-(MAX(G15,(S$28-H15/L$18)/S$28))),0)</f>
        <v>422642.97626265371</v>
      </c>
      <c r="W15" s="25">
        <f>S$28</f>
        <v>1.2</v>
      </c>
      <c r="X15" s="25">
        <f ca="1">IF(U15=0,0,IF(H15&lt;&gt;0,MIN(W15*(1-G15),H15/L$18),W15*(1-G15)))</f>
        <v>0.8</v>
      </c>
      <c r="Y15" s="3">
        <f ca="1">IFERROR(R15/W15,0)+IFERROR(U15/X15,0)</f>
        <v>352202.48021887807</v>
      </c>
      <c r="Z15" s="5">
        <f ca="1">Y15+L15</f>
        <v>352202.48021887807</v>
      </c>
      <c r="AA15" s="23">
        <f ca="1">IFERROR(Z15/Z$18,0)</f>
        <v>2.6207088732020371E-2</v>
      </c>
      <c r="AB15" s="3">
        <f ca="1">Z15*S$28</f>
        <v>422642.97626265365</v>
      </c>
      <c r="AC15" s="3">
        <f ca="1">Z15</f>
        <v>352202.48021887807</v>
      </c>
      <c r="AD15" s="23">
        <f ca="1">IFERROR(AC15/AC$18,0)</f>
        <v>2.6207088732020371E-2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IFERROR(F16/(H16/C$18),0)+L16</f>
        <v>0</v>
      </c>
      <c r="P16" s="23">
        <f>IFERROR(O16/O$18,0)</f>
        <v>0</v>
      </c>
      <c r="R16" s="44">
        <v>3000000</v>
      </c>
      <c r="S16" s="5">
        <f>F16</f>
        <v>0</v>
      </c>
      <c r="T16" s="3">
        <f t="shared" ca="1" si="0"/>
        <v>0</v>
      </c>
      <c r="U16" s="5">
        <f ca="1">T16+S16</f>
        <v>0</v>
      </c>
      <c r="V16" s="5">
        <f ca="1">IFERROR(U16/(1-(MAX(G16,(S$28-H16/L$18)/S$28))),0)</f>
        <v>0</v>
      </c>
      <c r="W16" s="25">
        <f>S$28</f>
        <v>1.2</v>
      </c>
      <c r="X16" s="25">
        <f ca="1">IF(U16=0,0,IF(H16&lt;&gt;0,MIN(W16*(1-G16),H16/L$18),W16*(1-G16)))</f>
        <v>0</v>
      </c>
      <c r="Y16" s="3">
        <f ca="1">IFERROR(R16/W16,0)+IFERROR(U16/X16,0)</f>
        <v>2500000</v>
      </c>
      <c r="Z16" s="5">
        <f ca="1">Y16+L16</f>
        <v>2500000</v>
      </c>
      <c r="AA16" s="23">
        <f ca="1">IFERROR(Z16/Z$18,0)</f>
        <v>0.18602288600958913</v>
      </c>
      <c r="AB16" s="3">
        <f ca="1">Z16*S$28</f>
        <v>3000000</v>
      </c>
      <c r="AC16" s="3">
        <f ca="1">Z16</f>
        <v>2500000</v>
      </c>
      <c r="AD16" s="23">
        <f ca="1">IFERROR(AC16/AC$18,0)</f>
        <v>0.18602288600958913</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1127047.9367004097</v>
      </c>
      <c r="W18" s="33"/>
      <c r="X18" s="33" t="s">
        <v>113</v>
      </c>
      <c r="Y18" s="7">
        <f t="shared" ref="Y18:AD18" ca="1" si="1">SUM(Y8:Y12,Y14:Y16)</f>
        <v>3439206.613917008</v>
      </c>
      <c r="Z18" s="7">
        <f t="shared" ca="1" si="1"/>
        <v>13439206.613917008</v>
      </c>
      <c r="AA18" s="27">
        <f t="shared" ca="1" si="1"/>
        <v>1</v>
      </c>
      <c r="AB18" s="7">
        <f t="shared" ca="1" si="1"/>
        <v>16127047.936700409</v>
      </c>
      <c r="AC18" s="7">
        <f t="shared" ca="1" si="1"/>
        <v>13439206.613917008</v>
      </c>
      <c r="AD18" s="27">
        <f t="shared" ca="1" si="1"/>
        <v>1</v>
      </c>
    </row>
    <row r="19" spans="2:30">
      <c r="V19" s="34" t="s">
        <v>119</v>
      </c>
    </row>
    <row r="21" spans="2:30">
      <c r="F21" s="22" t="s">
        <v>35</v>
      </c>
      <c r="R21" s="22" t="s">
        <v>58</v>
      </c>
    </row>
    <row r="22" spans="2:30">
      <c r="F22" s="1" t="s">
        <v>37</v>
      </c>
      <c r="G22" s="5">
        <f>F18</f>
        <v>750000</v>
      </c>
      <c r="R22" s="1" t="s">
        <v>37</v>
      </c>
      <c r="S22" s="5">
        <f>R18</f>
        <v>3000000</v>
      </c>
      <c r="T22" s="8"/>
    </row>
    <row r="23" spans="2:30">
      <c r="F23" s="1" t="s">
        <v>69</v>
      </c>
      <c r="G23" s="5">
        <v>0</v>
      </c>
      <c r="R23" s="1" t="s">
        <v>69</v>
      </c>
      <c r="S23" s="5">
        <f ca="1">U18</f>
        <v>845285.95252530742</v>
      </c>
      <c r="T23" s="8" t="s">
        <v>103</v>
      </c>
    </row>
    <row r="24" spans="2:30">
      <c r="F24" s="1" t="s">
        <v>116</v>
      </c>
      <c r="G24" s="5">
        <v>0</v>
      </c>
      <c r="R24" s="1" t="s">
        <v>116</v>
      </c>
      <c r="S24" s="5">
        <f ca="1">V18</f>
        <v>1127047.9367004097</v>
      </c>
      <c r="T24" s="8" t="s">
        <v>119</v>
      </c>
    </row>
    <row r="25" spans="2:30">
      <c r="F25" s="1" t="s">
        <v>36</v>
      </c>
      <c r="G25" s="44">
        <v>0</v>
      </c>
      <c r="H25" s="8"/>
      <c r="R25" s="1" t="s">
        <v>36</v>
      </c>
      <c r="S25" s="44">
        <v>12000000</v>
      </c>
    </row>
    <row r="26" spans="2:30">
      <c r="F26" s="1" t="s">
        <v>72</v>
      </c>
      <c r="G26" s="12">
        <f>IF(G25=0,0,G25+G22)</f>
        <v>0</v>
      </c>
      <c r="H26" s="8"/>
      <c r="R26" s="1" t="s">
        <v>72</v>
      </c>
      <c r="S26" s="5">
        <f ca="1">S25+S22+S23</f>
        <v>15845285.952525306</v>
      </c>
      <c r="T26" s="8" t="s">
        <v>49</v>
      </c>
    </row>
    <row r="27" spans="2:30">
      <c r="F27" s="1" t="s">
        <v>120</v>
      </c>
      <c r="G27" s="5">
        <f>G26</f>
        <v>0</v>
      </c>
      <c r="R27" s="1" t="s">
        <v>120</v>
      </c>
      <c r="S27" s="5">
        <f ca="1">S25+S22+S24</f>
        <v>16127047.936700409</v>
      </c>
      <c r="T27" s="8"/>
    </row>
    <row r="28" spans="2:30">
      <c r="F28" s="1" t="s">
        <v>32</v>
      </c>
      <c r="G28" s="25">
        <f>G25/C18</f>
        <v>0</v>
      </c>
      <c r="R28" s="1" t="s">
        <v>32</v>
      </c>
      <c r="S28" s="25">
        <f>S25/L18</f>
        <v>1.2</v>
      </c>
      <c r="T28" s="8" t="s">
        <v>114</v>
      </c>
    </row>
    <row r="29" spans="2:30">
      <c r="F29" s="1" t="s">
        <v>17</v>
      </c>
      <c r="G29" s="17">
        <f ca="1">EDATE(TODAY(),-18)</f>
        <v>43416</v>
      </c>
      <c r="H29" s="8" t="s">
        <v>102</v>
      </c>
      <c r="R29" s="1" t="s">
        <v>17</v>
      </c>
      <c r="S29" s="17">
        <f ca="1">TODAY()</f>
        <v>43963</v>
      </c>
      <c r="T29" s="8" t="s">
        <v>102</v>
      </c>
    </row>
    <row r="31" spans="2:30">
      <c r="B31" s="21" t="s">
        <v>24</v>
      </c>
    </row>
    <row r="33" spans="2:2">
      <c r="B33" s="1" t="s">
        <v>97</v>
      </c>
    </row>
    <row r="34" spans="2:2">
      <c r="B34" s="1" t="s">
        <v>98</v>
      </c>
    </row>
    <row r="35" spans="2:2">
      <c r="B35" s="1" t="s">
        <v>99</v>
      </c>
    </row>
    <row r="36" spans="2:2">
      <c r="B36" s="1" t="s">
        <v>100</v>
      </c>
    </row>
    <row r="37" spans="2:2">
      <c r="B37" s="1" t="s">
        <v>104</v>
      </c>
    </row>
    <row r="38" spans="2:2">
      <c r="B38" s="1" t="s">
        <v>105</v>
      </c>
    </row>
    <row r="39" spans="2:2">
      <c r="B39" s="32" t="s">
        <v>106</v>
      </c>
    </row>
    <row r="40" spans="2:2">
      <c r="B40" s="32" t="s">
        <v>108</v>
      </c>
    </row>
    <row r="41" spans="2:2">
      <c r="B41" s="1" t="s">
        <v>109</v>
      </c>
    </row>
    <row r="42" spans="2:2">
      <c r="B42" s="1" t="s">
        <v>110</v>
      </c>
    </row>
    <row r="43" spans="2:2">
      <c r="B43" s="1" t="s">
        <v>152</v>
      </c>
    </row>
    <row r="44" spans="2:2">
      <c r="B44" s="1" t="s">
        <v>115</v>
      </c>
    </row>
    <row r="45" spans="2:2">
      <c r="B45" s="1" t="s">
        <v>118</v>
      </c>
    </row>
    <row r="46" spans="2:2">
      <c r="B46" s="1" t="s">
        <v>107</v>
      </c>
    </row>
    <row r="47" spans="2:2">
      <c r="B47" s="1" t="s">
        <v>270</v>
      </c>
    </row>
    <row r="48" spans="2:2">
      <c r="B48" s="1" t="s">
        <v>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2:AG43"/>
  <sheetViews>
    <sheetView showGridLines="0" zoomScaleNormal="100" workbookViewId="0">
      <pane xSplit="2" topLeftCell="C1" activePane="topRight" state="frozen"/>
      <selection activeCell="M74" sqref="M74"/>
      <selection pane="topRight" activeCell="Z27" sqref="Z21:Z27"/>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10" width="18.6640625" style="1" customWidth="1"/>
    <col min="11" max="17" width="16.83203125" style="1" customWidth="1"/>
    <col min="18" max="18" width="10.83203125" style="1"/>
    <col min="19" max="19" width="23.83203125" style="1" customWidth="1"/>
    <col min="20" max="20" width="18.1640625" style="1" customWidth="1"/>
    <col min="21" max="23" width="16.83203125" style="1" customWidth="1"/>
    <col min="24" max="24" width="18.6640625" style="1" customWidth="1"/>
    <col min="25" max="35" width="16.83203125" style="1" customWidth="1"/>
    <col min="36" max="16384" width="10.83203125" style="1"/>
  </cols>
  <sheetData>
    <row r="2" spans="2:33">
      <c r="B2" s="16" t="s">
        <v>303</v>
      </c>
    </row>
    <row r="3" spans="2:33">
      <c r="B3" s="22" t="s">
        <v>28</v>
      </c>
    </row>
    <row r="4" spans="2:33">
      <c r="B4" s="1" t="s">
        <v>309</v>
      </c>
    </row>
    <row r="6" spans="2:33" s="31" customFormat="1" ht="54">
      <c r="B6" s="19" t="s">
        <v>25</v>
      </c>
      <c r="C6" s="18" t="s">
        <v>253</v>
      </c>
      <c r="D6" s="18" t="s">
        <v>16</v>
      </c>
      <c r="F6" s="18" t="s">
        <v>31</v>
      </c>
      <c r="G6" s="30" t="s">
        <v>1</v>
      </c>
      <c r="H6" s="30" t="s">
        <v>65</v>
      </c>
      <c r="I6" s="18" t="s">
        <v>96</v>
      </c>
      <c r="J6" s="18" t="s">
        <v>508</v>
      </c>
      <c r="K6" s="18" t="s">
        <v>32</v>
      </c>
      <c r="L6" s="18" t="s">
        <v>85</v>
      </c>
      <c r="M6" s="18" t="s">
        <v>253</v>
      </c>
      <c r="N6" s="18" t="s">
        <v>289</v>
      </c>
      <c r="O6" s="18" t="s">
        <v>33</v>
      </c>
      <c r="P6" s="18" t="s">
        <v>279</v>
      </c>
      <c r="Q6" s="18" t="s">
        <v>288</v>
      </c>
      <c r="S6" s="18" t="s">
        <v>31</v>
      </c>
      <c r="T6" s="30" t="s">
        <v>69</v>
      </c>
      <c r="U6" s="30" t="s">
        <v>70</v>
      </c>
      <c r="V6" s="30" t="s">
        <v>71</v>
      </c>
      <c r="W6" s="30" t="s">
        <v>116</v>
      </c>
      <c r="X6" s="18" t="s">
        <v>508</v>
      </c>
      <c r="Y6" s="18" t="s">
        <v>111</v>
      </c>
      <c r="Z6" s="18" t="s">
        <v>112</v>
      </c>
      <c r="AA6" s="18" t="s">
        <v>85</v>
      </c>
      <c r="AB6" s="18" t="s">
        <v>253</v>
      </c>
      <c r="AC6" s="18" t="s">
        <v>289</v>
      </c>
      <c r="AD6" s="18" t="s">
        <v>33</v>
      </c>
      <c r="AE6" s="18" t="s">
        <v>280</v>
      </c>
      <c r="AF6" s="18" t="s">
        <v>288</v>
      </c>
    </row>
    <row r="8" spans="2:33">
      <c r="B8" s="44" t="s">
        <v>27</v>
      </c>
      <c r="C8" s="12">
        <f>D8*C$18</f>
        <v>7000000</v>
      </c>
      <c r="D8" s="46">
        <v>0.7</v>
      </c>
      <c r="F8" s="44">
        <v>0</v>
      </c>
      <c r="G8" s="45">
        <v>0</v>
      </c>
      <c r="H8" s="44">
        <v>0</v>
      </c>
      <c r="I8" s="46">
        <v>0</v>
      </c>
      <c r="J8" s="177" t="s">
        <v>514</v>
      </c>
      <c r="K8" s="25">
        <f>G$28</f>
        <v>0</v>
      </c>
      <c r="L8" s="8">
        <f>IFERROR(F8/K8,0)</f>
        <v>0</v>
      </c>
      <c r="M8" s="5">
        <f>L8+C8</f>
        <v>7000000</v>
      </c>
      <c r="N8" s="23">
        <f>IFERROR(M8/M$18,0)</f>
        <v>0.7</v>
      </c>
      <c r="O8" s="3">
        <f>M8*G$28</f>
        <v>0</v>
      </c>
      <c r="P8" s="3">
        <f>IFERROR(F8/(H8/C$18)/IF(G$31="postmoney",(1-G$32),1),0)+M8</f>
        <v>7000000</v>
      </c>
      <c r="Q8" s="23">
        <f>IFERROR(P8/P$18,0)</f>
        <v>0.6030120481927711</v>
      </c>
      <c r="S8" s="44">
        <v>0</v>
      </c>
      <c r="T8" s="5">
        <f>F8</f>
        <v>0</v>
      </c>
      <c r="U8" s="3">
        <f ca="1">FV(I8/12,DATEDIF(G$29,T$29,"m"),0,-T8)-T8</f>
        <v>0</v>
      </c>
      <c r="V8" s="5">
        <f ca="1">U8+T8</f>
        <v>0</v>
      </c>
      <c r="W8" s="5">
        <f ca="1">IF(G$30="no",IFERROR(V8/(1-G8),0),IFERROR(V8/(1-(MAX(G8,(T$28-H8/M$18)/T$28))),0))</f>
        <v>0</v>
      </c>
      <c r="X8" s="177" t="str">
        <f>J8</f>
        <v>original issuance</v>
      </c>
      <c r="Y8" s="25">
        <f>T$28</f>
        <v>1.0337349397590361</v>
      </c>
      <c r="Z8" s="180">
        <f ca="1">IF(V8=0,0,IF(H8&lt;&gt;0,MIN(Y8*(1-G8),H8/(M$18+IF(AND(T$31="postmoney",X8="postmoney SAFE"),T$33,0))*IF(AND(T$31="postmoney",X8="postmoney SAFE"),(1-T$32),1)),Y8*(1-G8)))</f>
        <v>0</v>
      </c>
      <c r="AA8" s="3">
        <f ca="1">IFERROR(S8/Y8,0)+IFERROR(V8/Z8,0)</f>
        <v>0</v>
      </c>
      <c r="AB8" s="5">
        <f ca="1">AA8+M8</f>
        <v>7000000</v>
      </c>
      <c r="AC8" s="23">
        <f ca="1">IFERROR(AB8/AB$18,0)</f>
        <v>0.48240963855421692</v>
      </c>
      <c r="AD8" s="3">
        <f ca="1">AB8*T$28</f>
        <v>7236144.5783132529</v>
      </c>
      <c r="AE8" s="3">
        <f ca="1">AB8</f>
        <v>7000000</v>
      </c>
      <c r="AF8" s="23">
        <f ca="1">IFERROR(AE8/AE$18,0)</f>
        <v>0.48240963855421692</v>
      </c>
      <c r="AG8" s="24"/>
    </row>
    <row r="9" spans="2:33">
      <c r="B9" s="44" t="s">
        <v>27</v>
      </c>
      <c r="C9" s="12">
        <f>D9*C$18</f>
        <v>3000000</v>
      </c>
      <c r="D9" s="46">
        <v>0.3</v>
      </c>
      <c r="F9" s="44">
        <v>0</v>
      </c>
      <c r="G9" s="45">
        <v>0</v>
      </c>
      <c r="H9" s="44">
        <v>0</v>
      </c>
      <c r="I9" s="46">
        <v>0</v>
      </c>
      <c r="J9" s="177" t="s">
        <v>514</v>
      </c>
      <c r="K9" s="25">
        <f>G$28</f>
        <v>0</v>
      </c>
      <c r="L9" s="8">
        <f>IFERROR(F9/K9,0)</f>
        <v>0</v>
      </c>
      <c r="M9" s="5">
        <f>L9+C9</f>
        <v>3000000</v>
      </c>
      <c r="N9" s="23">
        <f>IFERROR(M9/M$18,0)</f>
        <v>0.3</v>
      </c>
      <c r="O9" s="3">
        <f>M9*G$28</f>
        <v>0</v>
      </c>
      <c r="P9" s="3">
        <f>IFERROR(F9/(H9/C$18)/IF(G$31="postmoney",(1-G$32),1),0)+M9</f>
        <v>3000000</v>
      </c>
      <c r="Q9" s="23">
        <f>IFERROR(P9/P$18,0)</f>
        <v>0.25843373493975902</v>
      </c>
      <c r="S9" s="44">
        <v>0</v>
      </c>
      <c r="T9" s="5">
        <f>F9</f>
        <v>0</v>
      </c>
      <c r="U9" s="3">
        <f t="shared" ref="U9:U16" ca="1" si="0">FV(I9/12,DATEDIF(G$29,T$29,"m"),0,-T9)-T9</f>
        <v>0</v>
      </c>
      <c r="V9" s="5">
        <f ca="1">U9+T9</f>
        <v>0</v>
      </c>
      <c r="W9" s="5">
        <f ca="1">IF(G$30="no",IFERROR(V9/(1-G9),0),IFERROR(V9/(1-(MAX(G9,(T$28-H9/M$18)/T$28))),0))</f>
        <v>0</v>
      </c>
      <c r="X9" s="177" t="str">
        <f>J9</f>
        <v>original issuance</v>
      </c>
      <c r="Y9" s="25">
        <f>T$28</f>
        <v>1.0337349397590361</v>
      </c>
      <c r="Z9" s="180">
        <f ca="1">IF(V9=0,0,IF(H9&lt;&gt;0,MIN(Y9*(1-G9),H9/(M$18+IF(AND(T$31="postmoney",X9="postmoney SAFE"),T$33,0))*IF(AND(T$31="postmoney",X9="postmoney SAFE"),(1-T$32),1)),Y9*(1-G9)))</f>
        <v>0</v>
      </c>
      <c r="AA9" s="3">
        <f ca="1">IFERROR(S9/Y9,0)+IFERROR(V9/Z9,0)</f>
        <v>0</v>
      </c>
      <c r="AB9" s="5">
        <f ca="1">AA9+M9</f>
        <v>3000000</v>
      </c>
      <c r="AC9" s="23">
        <f ca="1">IFERROR(AB9/AB$18,0)</f>
        <v>0.20674698795180727</v>
      </c>
      <c r="AD9" s="3">
        <f ca="1">AB9*T$28</f>
        <v>3101204.8192771082</v>
      </c>
      <c r="AE9" s="3">
        <f ca="1">AB9</f>
        <v>3000000</v>
      </c>
      <c r="AF9" s="23">
        <f ca="1">IFERROR(AE9/AE$18,0)</f>
        <v>0.20674698795180727</v>
      </c>
    </row>
    <row r="10" spans="2:33">
      <c r="B10" s="44" t="s">
        <v>29</v>
      </c>
      <c r="C10" s="12">
        <f>D10*C$18</f>
        <v>0</v>
      </c>
      <c r="D10" s="46">
        <v>0</v>
      </c>
      <c r="F10" s="44">
        <v>0</v>
      </c>
      <c r="G10" s="45">
        <v>0</v>
      </c>
      <c r="H10" s="44">
        <v>0</v>
      </c>
      <c r="I10" s="46">
        <v>0</v>
      </c>
      <c r="J10" s="177" t="s">
        <v>7</v>
      </c>
      <c r="K10" s="25">
        <f>G$28</f>
        <v>0</v>
      </c>
      <c r="L10" s="8">
        <f>IFERROR(F10/K10,0)</f>
        <v>0</v>
      </c>
      <c r="M10" s="5">
        <f>L10+C10</f>
        <v>0</v>
      </c>
      <c r="N10" s="23">
        <f>IFERROR(M10/M$18,0)</f>
        <v>0</v>
      </c>
      <c r="O10" s="3">
        <f>M10*G$28</f>
        <v>0</v>
      </c>
      <c r="P10" s="3">
        <f>IFERROR(F10/(H10/C$18)/IF(G$31="postmoney",(1-G$32),1),0)+M10</f>
        <v>0</v>
      </c>
      <c r="Q10" s="23">
        <f>IFERROR(P10/P$18,0)</f>
        <v>0</v>
      </c>
      <c r="S10" s="44">
        <v>0</v>
      </c>
      <c r="T10" s="5">
        <f>F10</f>
        <v>0</v>
      </c>
      <c r="U10" s="3">
        <f t="shared" ca="1" si="0"/>
        <v>0</v>
      </c>
      <c r="V10" s="5">
        <f ca="1">U10+T10</f>
        <v>0</v>
      </c>
      <c r="W10" s="5">
        <f ca="1">IF(G$30="no",IFERROR(V10/(1-G10),0),IFERROR(V10/(1-(MAX(G10,(T$28-H10/M$18)/T$28))),0))</f>
        <v>0</v>
      </c>
      <c r="X10" s="177" t="str">
        <f>J10</f>
        <v>na</v>
      </c>
      <c r="Y10" s="25">
        <f>T$28</f>
        <v>1.0337349397590361</v>
      </c>
      <c r="Z10" s="180">
        <f ca="1">IF(V10=0,0,IF(H10&lt;&gt;0,MIN(Y10*(1-G10),H10/(M$18+IF(AND(T$31="postmoney",X10="postmoney SAFE"),T$33,0))*IF(AND(T$31="postmoney",X10="postmoney SAFE"),(1-T$32),1)),Y10*(1-G10)))</f>
        <v>0</v>
      </c>
      <c r="AA10" s="3">
        <f ca="1">IFERROR(S10/Y10,0)+IFERROR(V10/Z10,0)</f>
        <v>0</v>
      </c>
      <c r="AB10" s="5">
        <f ca="1">AA10+M10</f>
        <v>0</v>
      </c>
      <c r="AC10" s="23">
        <f ca="1">IFERROR(AB10/AB$18,0)</f>
        <v>0</v>
      </c>
      <c r="AD10" s="3">
        <f ca="1">AB10*T$28</f>
        <v>0</v>
      </c>
      <c r="AE10" s="3">
        <f ca="1">AB10</f>
        <v>0</v>
      </c>
      <c r="AF10" s="23">
        <f ca="1">IFERROR(AE10/AE$18,0)</f>
        <v>0</v>
      </c>
    </row>
    <row r="11" spans="2:33">
      <c r="B11" s="44" t="s">
        <v>29</v>
      </c>
      <c r="C11" s="12">
        <f>D11*C$18</f>
        <v>0</v>
      </c>
      <c r="D11" s="46">
        <v>0</v>
      </c>
      <c r="F11" s="44">
        <v>0</v>
      </c>
      <c r="G11" s="45">
        <v>0</v>
      </c>
      <c r="H11" s="44">
        <v>0</v>
      </c>
      <c r="I11" s="46">
        <v>0</v>
      </c>
      <c r="J11" s="177" t="s">
        <v>7</v>
      </c>
      <c r="K11" s="25">
        <f>G$28</f>
        <v>0</v>
      </c>
      <c r="L11" s="8">
        <f>IFERROR(F11/K11,0)</f>
        <v>0</v>
      </c>
      <c r="M11" s="5">
        <f>L11+C11</f>
        <v>0</v>
      </c>
      <c r="N11" s="23">
        <f>IFERROR(M11/M$18,0)</f>
        <v>0</v>
      </c>
      <c r="O11" s="3">
        <f>M11*G$28</f>
        <v>0</v>
      </c>
      <c r="P11" s="3">
        <f>IFERROR(F11/(H11/C$18)/IF(G$31="postmoney",(1-G$32),1),0)+M11</f>
        <v>0</v>
      </c>
      <c r="Q11" s="23">
        <f>IFERROR(P11/P$18,0)</f>
        <v>0</v>
      </c>
      <c r="S11" s="44">
        <v>0</v>
      </c>
      <c r="T11" s="5">
        <f>F11</f>
        <v>0</v>
      </c>
      <c r="U11" s="3">
        <f t="shared" ca="1" si="0"/>
        <v>0</v>
      </c>
      <c r="V11" s="5">
        <f ca="1">U11+T11</f>
        <v>0</v>
      </c>
      <c r="W11" s="5">
        <f ca="1">IF(G$30="no",IFERROR(V11/(1-G11),0),IFERROR(V11/(1-(MAX(G11,(T$28-H11/M$18)/T$28))),0))</f>
        <v>0</v>
      </c>
      <c r="X11" s="177" t="str">
        <f>J11</f>
        <v>na</v>
      </c>
      <c r="Y11" s="25">
        <f>T$28</f>
        <v>1.0337349397590361</v>
      </c>
      <c r="Z11" s="180">
        <f ca="1">IF(V11=0,0,IF(H11&lt;&gt;0,MIN(Y11*(1-G11),H11/(M$18+IF(AND(T$31="postmoney",X11="postmoney SAFE"),T$33,0))*IF(AND(T$31="postmoney",X11="postmoney SAFE"),(1-T$32),1)),Y11*(1-G11)))</f>
        <v>0</v>
      </c>
      <c r="AA11" s="3">
        <f ca="1">IFERROR(S11/Y11,0)+IFERROR(V11/Z11,0)</f>
        <v>0</v>
      </c>
      <c r="AB11" s="5">
        <f ca="1">AA11+M11</f>
        <v>0</v>
      </c>
      <c r="AC11" s="23">
        <f ca="1">IFERROR(AB11/AB$18,0)</f>
        <v>0</v>
      </c>
      <c r="AD11" s="3">
        <f ca="1">AB11*T$28</f>
        <v>0</v>
      </c>
      <c r="AE11" s="3">
        <f ca="1">AB11</f>
        <v>0</v>
      </c>
      <c r="AF11" s="23">
        <f ca="1">IFERROR(AE11/AE$18,0)</f>
        <v>0</v>
      </c>
    </row>
    <row r="12" spans="2:33">
      <c r="B12" s="44" t="s">
        <v>29</v>
      </c>
      <c r="C12" s="12">
        <f>D12*C$18</f>
        <v>0</v>
      </c>
      <c r="D12" s="46">
        <v>0</v>
      </c>
      <c r="F12" s="44">
        <v>0</v>
      </c>
      <c r="G12" s="45">
        <v>0</v>
      </c>
      <c r="H12" s="44">
        <v>0</v>
      </c>
      <c r="I12" s="46">
        <v>0</v>
      </c>
      <c r="J12" s="177" t="s">
        <v>7</v>
      </c>
      <c r="K12" s="25">
        <f>G$28</f>
        <v>0</v>
      </c>
      <c r="L12" s="8">
        <f>IFERROR(F12/K12,0)</f>
        <v>0</v>
      </c>
      <c r="M12" s="5">
        <f>L12+C12</f>
        <v>0</v>
      </c>
      <c r="N12" s="23">
        <f>IFERROR(M12/M$18,0)</f>
        <v>0</v>
      </c>
      <c r="O12" s="3">
        <f>M12*G$28</f>
        <v>0</v>
      </c>
      <c r="P12" s="3">
        <f>IFERROR(F12/(H12/C$18)/IF(G$31="postmoney",(1-G$32),1),0)+M12</f>
        <v>0</v>
      </c>
      <c r="Q12" s="23">
        <f>IFERROR(P12/P$18,0)</f>
        <v>0</v>
      </c>
      <c r="S12" s="44">
        <v>0</v>
      </c>
      <c r="T12" s="5">
        <f>F12</f>
        <v>0</v>
      </c>
      <c r="U12" s="3">
        <f t="shared" ca="1" si="0"/>
        <v>0</v>
      </c>
      <c r="V12" s="5">
        <f ca="1">U12+T12</f>
        <v>0</v>
      </c>
      <c r="W12" s="5">
        <f ca="1">IF(G$30="no",IFERROR(V12/(1-G12),0),IFERROR(V12/(1-(MAX(G12,(T$28-H12/M$18)/T$28))),0))</f>
        <v>0</v>
      </c>
      <c r="X12" s="177" t="str">
        <f>J12</f>
        <v>na</v>
      </c>
      <c r="Y12" s="25">
        <f>T$28</f>
        <v>1.0337349397590361</v>
      </c>
      <c r="Z12" s="180">
        <f ca="1">IF(V12=0,0,IF(H12&lt;&gt;0,MIN(Y12*(1-G12),H12/(M$18+IF(AND(T$31="postmoney",X12="postmoney SAFE"),T$33,0))*IF(AND(T$31="postmoney",X12="postmoney SAFE"),(1-T$32),1)),Y12*(1-G12)))</f>
        <v>0</v>
      </c>
      <c r="AA12" s="3">
        <f ca="1">IFERROR(S12/Y12,0)+IFERROR(V12/Z12,0)</f>
        <v>0</v>
      </c>
      <c r="AB12" s="5">
        <f ca="1">AA12+M12</f>
        <v>0</v>
      </c>
      <c r="AC12" s="23">
        <f ca="1">IFERROR(AB12/AB$18,0)</f>
        <v>0</v>
      </c>
      <c r="AD12" s="3">
        <f ca="1">AB12*T$28</f>
        <v>0</v>
      </c>
      <c r="AE12" s="3">
        <f ca="1">AB12</f>
        <v>0</v>
      </c>
      <c r="AF12" s="23">
        <f ca="1">IFERROR(AE12/AE$18,0)</f>
        <v>0</v>
      </c>
    </row>
    <row r="13" spans="2:33">
      <c r="J13" s="35"/>
      <c r="X13" s="35"/>
    </row>
    <row r="14" spans="2:33">
      <c r="B14" s="44" t="s">
        <v>305</v>
      </c>
      <c r="C14" s="12">
        <f>D14*C$18</f>
        <v>0</v>
      </c>
      <c r="D14" s="46">
        <v>0</v>
      </c>
      <c r="F14" s="44">
        <v>500000</v>
      </c>
      <c r="G14" s="45">
        <v>0</v>
      </c>
      <c r="H14" s="44">
        <v>5500000</v>
      </c>
      <c r="I14" s="46">
        <v>0</v>
      </c>
      <c r="J14" s="177" t="s">
        <v>513</v>
      </c>
      <c r="K14" s="25">
        <f>G$28</f>
        <v>0</v>
      </c>
      <c r="L14" s="3">
        <f>IFERROR(F14/K14,0)</f>
        <v>0</v>
      </c>
      <c r="M14" s="5">
        <f>L14+C14</f>
        <v>0</v>
      </c>
      <c r="N14" s="23">
        <f>IFERROR(M14/M$18,0)</f>
        <v>0</v>
      </c>
      <c r="O14" s="3">
        <f>M14*G$28</f>
        <v>0</v>
      </c>
      <c r="P14" s="3">
        <f>IFERROR(F14/(H14/C$18)/IF(G$31="postmoney",(1-G$32),1),0)+M14</f>
        <v>967365.96736596734</v>
      </c>
      <c r="Q14" s="23">
        <f>IFERROR(P14/P$18,0)</f>
        <v>8.3333333333333329E-2</v>
      </c>
      <c r="S14" s="44">
        <v>0</v>
      </c>
      <c r="T14" s="5">
        <f>F14</f>
        <v>500000</v>
      </c>
      <c r="U14" s="3">
        <f t="shared" ca="1" si="0"/>
        <v>0</v>
      </c>
      <c r="V14" s="5">
        <f ca="1">U14+T14</f>
        <v>500000</v>
      </c>
      <c r="W14" s="5">
        <f ca="1">IF(G$30="no",IFERROR(V14/(1-G14),0),IFERROR(V14/(1-(MAX(G14,(T$28-H14/M$18)/T$28))),0))</f>
        <v>939759.03614457813</v>
      </c>
      <c r="X14" s="177" t="s">
        <v>513</v>
      </c>
      <c r="Y14" s="25">
        <f>T$28</f>
        <v>1.0337349397590361</v>
      </c>
      <c r="Z14" s="180">
        <f ca="1">IF(V14=0,0,IF(H14&lt;&gt;0,MIN(Y14*(1-G14),H14/(M$18+IF(AND(T$31="postmoney",X14="postmoney SAFE"),T$33,0))*IF(AND(T$31="postmoney",X14="postmoney SAFE"),(1-T$32),1)),Y14*(1-G14)))</f>
        <v>0.55000000000000004</v>
      </c>
      <c r="AA14" s="3">
        <f ca="1">IFERROR(S14/Y14,0)+IFERROR(V14/Z14,0)</f>
        <v>909090.90909090906</v>
      </c>
      <c r="AB14" s="5">
        <f ca="1">AA14+M14</f>
        <v>909090.90909090906</v>
      </c>
      <c r="AC14" s="23">
        <f ca="1">IFERROR(AB14/AB$18,0)</f>
        <v>6.2650602409638559E-2</v>
      </c>
      <c r="AD14" s="3">
        <f ca="1">AB14*T$28</f>
        <v>939759.03614457825</v>
      </c>
      <c r="AE14" s="3">
        <f ca="1">AB14</f>
        <v>909090.90909090906</v>
      </c>
      <c r="AF14" s="23">
        <f ca="1">IFERROR(AE14/AE$18,0)</f>
        <v>6.2650602409638559E-2</v>
      </c>
    </row>
    <row r="15" spans="2:33">
      <c r="B15" s="44" t="s">
        <v>305</v>
      </c>
      <c r="C15" s="12">
        <f>D15*C$18</f>
        <v>0</v>
      </c>
      <c r="D15" s="46">
        <v>0</v>
      </c>
      <c r="F15" s="44">
        <v>500000</v>
      </c>
      <c r="G15" s="45">
        <v>0</v>
      </c>
      <c r="H15" s="44">
        <v>8300000</v>
      </c>
      <c r="I15" s="46">
        <v>0</v>
      </c>
      <c r="J15" s="177" t="s">
        <v>511</v>
      </c>
      <c r="K15" s="25">
        <f>G$28</f>
        <v>0</v>
      </c>
      <c r="L15" s="3">
        <f>IFERROR(F15/K15,0)</f>
        <v>0</v>
      </c>
      <c r="M15" s="5">
        <f>L15+C15</f>
        <v>0</v>
      </c>
      <c r="N15" s="23">
        <f>IFERROR(M15/M$18,0)</f>
        <v>0</v>
      </c>
      <c r="O15" s="3">
        <f>M15*G$28</f>
        <v>0</v>
      </c>
      <c r="P15" s="3">
        <f>IFERROR(F15/(H15/C$18)/IF(G$31="postmoney",(1-G$32),1),0)+M15</f>
        <v>641025.64102564112</v>
      </c>
      <c r="Q15" s="23">
        <f>IFERROR(P15/P$18,0)</f>
        <v>5.5220883534136553E-2</v>
      </c>
      <c r="S15" s="44">
        <v>0</v>
      </c>
      <c r="T15" s="5">
        <f>F15</f>
        <v>500000</v>
      </c>
      <c r="U15" s="3">
        <f t="shared" ca="1" si="0"/>
        <v>0</v>
      </c>
      <c r="V15" s="5">
        <f ca="1">U15+T15</f>
        <v>500000</v>
      </c>
      <c r="W15" s="5">
        <f ca="1">IF(G$30="no",IFERROR(V15/(1-G15),0),IFERROR(V15/(1-(MAX(G15,(T$28-H15/M$18)/T$28))),0))</f>
        <v>622731.89142110618</v>
      </c>
      <c r="X15" s="177" t="str">
        <f>J15</f>
        <v>postmoney SAFE</v>
      </c>
      <c r="Y15" s="25">
        <f>T$28</f>
        <v>1.0337349397590361</v>
      </c>
      <c r="Z15" s="180">
        <f ca="1">IF(V15=0,0,IF(H15&lt;&gt;0,MIN(Y15*(1-G15),H15/(M$18+IF(AND(T$31="postmoney",X15="postmoney SAFE"),T$33,0))*IF(AND(T$31="postmoney",X15="postmoney SAFE"),(1-T$32),1)),Y15*(1-G15)))</f>
        <v>0.71500000000000008</v>
      </c>
      <c r="AA15" s="3">
        <f ca="1">IFERROR(S15/Y15,0)+IFERROR(V15/Z15,0)</f>
        <v>699300.69930069917</v>
      </c>
      <c r="AB15" s="5">
        <f ca="1">AA15+M15</f>
        <v>699300.69930069917</v>
      </c>
      <c r="AC15" s="23">
        <f ca="1">IFERROR(AB15/AB$18,0)</f>
        <v>4.8192771084337345E-2</v>
      </c>
      <c r="AD15" s="3">
        <f ca="1">AB15*T$28</f>
        <v>722891.5662650601</v>
      </c>
      <c r="AE15" s="3">
        <f ca="1">AB15</f>
        <v>699300.69930069917</v>
      </c>
      <c r="AF15" s="23">
        <f ca="1">IFERROR(AE15/AE$18,0)</f>
        <v>4.8192771084337345E-2</v>
      </c>
    </row>
    <row r="16" spans="2:33">
      <c r="B16" s="44" t="s">
        <v>306</v>
      </c>
      <c r="C16" s="12">
        <f>D16*C$18</f>
        <v>0</v>
      </c>
      <c r="D16" s="46">
        <v>0</v>
      </c>
      <c r="F16" s="44">
        <v>0</v>
      </c>
      <c r="G16" s="45">
        <v>0</v>
      </c>
      <c r="H16" s="44">
        <v>0</v>
      </c>
      <c r="I16" s="46">
        <v>0</v>
      </c>
      <c r="J16" s="177" t="s">
        <v>512</v>
      </c>
      <c r="K16" s="25">
        <f>G$28</f>
        <v>0</v>
      </c>
      <c r="L16" s="3">
        <f>IFERROR(F16/K16,0)</f>
        <v>0</v>
      </c>
      <c r="M16" s="5">
        <f>L16+C16</f>
        <v>0</v>
      </c>
      <c r="N16" s="23">
        <f>IFERROR(M16/M$18,0)</f>
        <v>0</v>
      </c>
      <c r="O16" s="3">
        <f>M16*G$28</f>
        <v>0</v>
      </c>
      <c r="P16" s="3">
        <f>IFERROR(F16/(H16/C$18)/IF(G$31="postmoney",(1-G$32),1),0)+M16</f>
        <v>0</v>
      </c>
      <c r="Q16" s="23">
        <f>IFERROR(P16/P$18,0)</f>
        <v>0</v>
      </c>
      <c r="S16" s="44">
        <v>3000000</v>
      </c>
      <c r="T16" s="5">
        <f>F16</f>
        <v>0</v>
      </c>
      <c r="U16" s="3">
        <f t="shared" ca="1" si="0"/>
        <v>0</v>
      </c>
      <c r="V16" s="5">
        <f ca="1">U16+T16</f>
        <v>0</v>
      </c>
      <c r="W16" s="5">
        <f ca="1">IF(G$30="no",IFERROR(V16/(1-G16),0),IFERROR(V16/(1-(MAX(G16,(T$28-H16/M$18)/T$28))),0))</f>
        <v>0</v>
      </c>
      <c r="X16" s="177" t="str">
        <f>J16</f>
        <v>equity</v>
      </c>
      <c r="Y16" s="25">
        <f>T$28</f>
        <v>1.0337349397590361</v>
      </c>
      <c r="Z16" s="180">
        <f ca="1">IF(V16=0,0,IF(H16&lt;&gt;0,MIN(Y16*(1-G16),H16/(M$18+IF(AND(T$31="postmoney",X16="postmoney SAFE"),T$33,0))*IF(AND(T$31="postmoney",X16="postmoney SAFE"),(1-T$32),1)),Y16*(1-G16)))</f>
        <v>0</v>
      </c>
      <c r="AA16" s="3">
        <f ca="1">IFERROR(S16/Y16,0)+IFERROR(V16/Z16,0)</f>
        <v>2902097.9020979023</v>
      </c>
      <c r="AB16" s="5">
        <f ca="1">AA16+M16</f>
        <v>2902097.9020979023</v>
      </c>
      <c r="AC16" s="23">
        <f ca="1">IFERROR(AB16/AB$18,0)</f>
        <v>0.20000000000000004</v>
      </c>
      <c r="AD16" s="3">
        <f ca="1">AB16*T$28</f>
        <v>3000000</v>
      </c>
      <c r="AE16" s="3">
        <f ca="1">AB16</f>
        <v>2902097.9020979023</v>
      </c>
      <c r="AF16" s="23">
        <f ca="1">IFERROR(AE16/AE$18,0)</f>
        <v>0.20000000000000004</v>
      </c>
    </row>
    <row r="17" spans="2:32">
      <c r="D17" s="24"/>
    </row>
    <row r="18" spans="2:32">
      <c r="B18" s="26" t="s">
        <v>3</v>
      </c>
      <c r="C18" s="47">
        <v>10000000</v>
      </c>
      <c r="D18" s="27">
        <f>SUM(D8:D12,D14:D16)</f>
        <v>1</v>
      </c>
      <c r="F18" s="7">
        <f>SUM(F8:F12,F14:F16)</f>
        <v>1000000</v>
      </c>
      <c r="G18" s="26"/>
      <c r="H18" s="26"/>
      <c r="I18" s="26"/>
      <c r="J18" s="26"/>
      <c r="K18" s="26"/>
      <c r="L18" s="7">
        <f>SUM(L8:L12,L14:L15)</f>
        <v>0</v>
      </c>
      <c r="M18" s="7">
        <f>SUM(M8:M12,M14:M16)</f>
        <v>10000000</v>
      </c>
      <c r="N18" s="27">
        <f>SUM(N8:N12,N14:N16)</f>
        <v>1</v>
      </c>
      <c r="O18" s="7">
        <f>SUM(O8:O12,O14:O16)</f>
        <v>0</v>
      </c>
      <c r="P18" s="7">
        <f>SUM(P8:P12,P14:P16)</f>
        <v>11608391.608391609</v>
      </c>
      <c r="Q18" s="27">
        <f>SUM(Q8:Q12,Q14:Q16)</f>
        <v>1</v>
      </c>
      <c r="S18" s="7">
        <f>SUM(S8:S12,S14:S16)</f>
        <v>3000000</v>
      </c>
      <c r="T18" s="7">
        <f>SUM(T8:T12,T14:T16)</f>
        <v>1000000</v>
      </c>
      <c r="U18" s="7">
        <f ca="1">SUM(U8:U12,U14:U16)</f>
        <v>0</v>
      </c>
      <c r="V18" s="7">
        <f ca="1">SUM(V8:V12,V14:V16)</f>
        <v>1000000</v>
      </c>
      <c r="W18" s="7">
        <f ca="1">SUM(W8:W12,W14:W16)</f>
        <v>1562490.9275656843</v>
      </c>
      <c r="X18" s="26"/>
      <c r="Y18" s="33"/>
      <c r="Z18" s="33"/>
      <c r="AA18" s="7">
        <f t="shared" ref="AA18:AF18" ca="1" si="1">SUM(AA8:AA12,AA14:AA16)</f>
        <v>4510489.5104895104</v>
      </c>
      <c r="AB18" s="7">
        <f t="shared" ca="1" si="1"/>
        <v>14510489.510489509</v>
      </c>
      <c r="AC18" s="27">
        <f t="shared" ca="1" si="1"/>
        <v>1.0000000000000002</v>
      </c>
      <c r="AD18" s="7">
        <f t="shared" ca="1" si="1"/>
        <v>15000000</v>
      </c>
      <c r="AE18" s="7">
        <f t="shared" ca="1" si="1"/>
        <v>14510489.510489509</v>
      </c>
      <c r="AF18" s="27">
        <f t="shared" ca="1" si="1"/>
        <v>1.0000000000000002</v>
      </c>
    </row>
    <row r="19" spans="2:32">
      <c r="AC19" s="35" t="s">
        <v>51</v>
      </c>
    </row>
    <row r="21" spans="2:32">
      <c r="F21" s="22" t="s">
        <v>35</v>
      </c>
      <c r="Q21" s="24"/>
      <c r="S21" s="22" t="s">
        <v>58</v>
      </c>
    </row>
    <row r="22" spans="2:32">
      <c r="F22" s="1" t="s">
        <v>37</v>
      </c>
      <c r="G22" s="5">
        <f>F18</f>
        <v>1000000</v>
      </c>
      <c r="Q22" s="24"/>
      <c r="S22" s="1" t="s">
        <v>37</v>
      </c>
      <c r="T22" s="5">
        <f>S18</f>
        <v>3000000</v>
      </c>
    </row>
    <row r="23" spans="2:32">
      <c r="F23" s="1" t="s">
        <v>69</v>
      </c>
      <c r="G23" s="5">
        <v>0</v>
      </c>
      <c r="S23" s="1" t="s">
        <v>69</v>
      </c>
      <c r="T23" s="5">
        <f ca="1">V18</f>
        <v>1000000</v>
      </c>
    </row>
    <row r="24" spans="2:32">
      <c r="F24" s="1" t="s">
        <v>116</v>
      </c>
      <c r="G24" s="5">
        <v>0</v>
      </c>
      <c r="S24" s="1" t="s">
        <v>116</v>
      </c>
      <c r="T24" s="5">
        <f ca="1">W18</f>
        <v>1562490.9275656843</v>
      </c>
      <c r="U24" s="43"/>
    </row>
    <row r="25" spans="2:32">
      <c r="F25" s="1" t="s">
        <v>36</v>
      </c>
      <c r="G25" s="11">
        <v>0</v>
      </c>
      <c r="H25" s="8"/>
      <c r="S25" s="1" t="s">
        <v>36</v>
      </c>
      <c r="T25" s="39">
        <f>T26-T22</f>
        <v>12000000</v>
      </c>
      <c r="U25" s="8" t="s">
        <v>52</v>
      </c>
    </row>
    <row r="26" spans="2:32">
      <c r="F26" s="1" t="s">
        <v>72</v>
      </c>
      <c r="G26" s="5">
        <f>IF(G25=0,0,G25+G22)</f>
        <v>0</v>
      </c>
      <c r="S26" s="1" t="s">
        <v>72</v>
      </c>
      <c r="T26" s="44">
        <v>15000000</v>
      </c>
      <c r="U26" s="8" t="s">
        <v>48</v>
      </c>
    </row>
    <row r="27" spans="2:32">
      <c r="F27" s="1" t="s">
        <v>120</v>
      </c>
      <c r="G27" s="5">
        <f>G26</f>
        <v>0</v>
      </c>
      <c r="S27" s="1" t="s">
        <v>120</v>
      </c>
      <c r="T27" s="5">
        <f>T26</f>
        <v>15000000</v>
      </c>
      <c r="U27" s="8"/>
    </row>
    <row r="28" spans="2:32">
      <c r="F28" s="1" t="s">
        <v>32</v>
      </c>
      <c r="G28" s="25">
        <f>G25/C18</f>
        <v>0</v>
      </c>
      <c r="S28" s="1" t="s">
        <v>32</v>
      </c>
      <c r="T28" s="25">
        <f>T25/IF(T31="postmoney",P18,M18)</f>
        <v>1.0337349397590361</v>
      </c>
      <c r="U28" s="8"/>
    </row>
    <row r="29" spans="2:32">
      <c r="F29" s="1" t="s">
        <v>17</v>
      </c>
      <c r="G29" s="17">
        <f ca="1">EDATE(TODAY(),-18)</f>
        <v>43416</v>
      </c>
      <c r="S29" s="1" t="s">
        <v>17</v>
      </c>
      <c r="T29" s="17">
        <f ca="1">TODAY()</f>
        <v>43963</v>
      </c>
      <c r="U29" s="8"/>
    </row>
    <row r="30" spans="2:32">
      <c r="F30" s="1" t="s">
        <v>144</v>
      </c>
      <c r="G30" s="38" t="s">
        <v>324</v>
      </c>
      <c r="H30" s="8" t="s">
        <v>50</v>
      </c>
      <c r="S30" s="1" t="s">
        <v>144</v>
      </c>
      <c r="T30" s="42" t="str">
        <f>G30</f>
        <v>yes</v>
      </c>
    </row>
    <row r="31" spans="2:32">
      <c r="F31" s="1" t="s">
        <v>310</v>
      </c>
      <c r="G31" s="38" t="s">
        <v>308</v>
      </c>
      <c r="H31" s="8" t="s">
        <v>57</v>
      </c>
      <c r="S31" s="1" t="str">
        <f>F31</f>
        <v>Convert SAFE (or Note) on premoney or postmoney</v>
      </c>
      <c r="T31" s="38" t="s">
        <v>308</v>
      </c>
      <c r="U31" s="8" t="s">
        <v>57</v>
      </c>
    </row>
    <row r="32" spans="2:32">
      <c r="F32" s="1" t="s">
        <v>515</v>
      </c>
      <c r="G32" s="23">
        <f>IF(J14="postmoney safe",IFERROR(F$14/H$14,0),0)+IF(J15="postmoney safe",IFERROR(F$15/H$15,0),0)+IF(J16="postmoney safe",IFERROR(F$16/H$16,0),0)+IF(J8="postmoney safe",IFERROR(F$8/H$8,0),0)+IF(J9="postmoney safe",IFERROR(F$9/H$9,0),0)+IF(J10="postmoney safe",IFERROR(F$10/H$10,0),0)+IF(J12="postmoney safe",IFERROR(F$11/H$11,0)+IFERROR(F$12/H$12,0),0)</f>
        <v>6.0240963855421686E-2</v>
      </c>
      <c r="H32" s="8" t="s">
        <v>57</v>
      </c>
      <c r="S32" s="1" t="str">
        <f>F32</f>
        <v>Total postmoney SAFE dilution</v>
      </c>
      <c r="T32" s="48">
        <f>G32</f>
        <v>6.0240963855421686E-2</v>
      </c>
      <c r="U32" s="8" t="s">
        <v>57</v>
      </c>
    </row>
    <row r="33" spans="2:21">
      <c r="H33" s="8"/>
      <c r="S33" s="1" t="s">
        <v>516</v>
      </c>
      <c r="T33" s="3">
        <f ca="1">SUMIFS(AA8:AA16,T8:T16,"&lt;&gt;0",X8:X16,"&lt;&gt;"&amp;"postmoney SAFE")</f>
        <v>909090.90909090906</v>
      </c>
      <c r="U33" s="8" t="s">
        <v>521</v>
      </c>
    </row>
    <row r="34" spans="2:21">
      <c r="T34" s="8"/>
      <c r="U34" s="8"/>
    </row>
    <row r="35" spans="2:21">
      <c r="B35" s="21" t="s">
        <v>24</v>
      </c>
    </row>
    <row r="36" spans="2:21">
      <c r="B36" s="1" t="s">
        <v>121</v>
      </c>
    </row>
    <row r="37" spans="2:21">
      <c r="B37" s="1" t="s">
        <v>311</v>
      </c>
    </row>
    <row r="38" spans="2:21">
      <c r="B38" s="1" t="s">
        <v>123</v>
      </c>
    </row>
    <row r="39" spans="2:21">
      <c r="B39" s="1" t="s">
        <v>146</v>
      </c>
    </row>
    <row r="40" spans="2:21">
      <c r="B40" s="1" t="s">
        <v>307</v>
      </c>
    </row>
    <row r="41" spans="2:21">
      <c r="B41" s="1" t="s">
        <v>282</v>
      </c>
    </row>
    <row r="42" spans="2:21">
      <c r="B42" s="1" t="s">
        <v>517</v>
      </c>
    </row>
    <row r="43" spans="2:21">
      <c r="B43" s="1" t="s">
        <v>518</v>
      </c>
    </row>
  </sheetData>
  <dataValidations count="3">
    <dataValidation type="list" allowBlank="1" showInputMessage="1" showErrorMessage="1" sqref="G30" xr:uid="{00000000-0002-0000-0D00-000000000000}">
      <formula1>"no,yes"</formula1>
    </dataValidation>
    <dataValidation type="list" allowBlank="1" showInputMessage="1" showErrorMessage="1" sqref="G31 T31" xr:uid="{00000000-0002-0000-0D00-000001000000}">
      <formula1>"premoney,postmoney"</formula1>
    </dataValidation>
    <dataValidation type="list" allowBlank="1" showInputMessage="1" showErrorMessage="1" sqref="J8:J12 J14:J16 X8:X12 X14:X16" xr:uid="{DD513A9F-B5E5-9F46-985C-4B4AFDCA0AA0}">
      <formula1>"premoney SAFE,postmoney SAFE,convertible note,equity,original issuance,grant or cancellation,warrants,available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AD37"/>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9" width="18.6640625" style="1" customWidth="1"/>
    <col min="10" max="16" width="16.83203125" style="1" customWidth="1"/>
    <col min="17" max="17" width="10.83203125" style="1"/>
    <col min="18" max="18" width="23.83203125" style="1" customWidth="1"/>
    <col min="19" max="19" width="18.1640625" style="1" customWidth="1"/>
    <col min="20" max="33" width="16.83203125" style="1" customWidth="1"/>
    <col min="34" max="16384" width="10.83203125" style="1"/>
  </cols>
  <sheetData>
    <row r="2" spans="2:30">
      <c r="B2" s="16" t="s">
        <v>117</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IF(S$30="no",IFERROR(U8/(1-G8),0),IFERROR(U8/(1-(MAX(G8,(S$28-H8/L$18)/S$28))),0))</f>
        <v>0</v>
      </c>
      <c r="W8" s="25">
        <f ca="1">S$28</f>
        <v>1.0943392559343366</v>
      </c>
      <c r="X8" s="25">
        <f ca="1">IF(U8=0,0,IF(H8&lt;&gt;0,MIN(W8*(1-G8),H8/L$18),W8*(1-G8)))</f>
        <v>0</v>
      </c>
      <c r="Y8" s="3">
        <f ca="1">IFERROR(R8/W8,0)+IFERROR(U8/X8,0)</f>
        <v>0</v>
      </c>
      <c r="Z8" s="5">
        <f ca="1">Y8+L8</f>
        <v>6000000</v>
      </c>
      <c r="AA8" s="23">
        <f ca="1">IFERROR(Z8/Z$18,0)</f>
        <v>0.43676821651723863</v>
      </c>
      <c r="AB8" s="3">
        <f ca="1">Z8*S$28</f>
        <v>6566035.5356060192</v>
      </c>
      <c r="AC8" s="3">
        <f ca="1">Z8</f>
        <v>6000000</v>
      </c>
      <c r="AD8" s="23">
        <f ca="1">IFERROR(AC8/AC$18,0)</f>
        <v>0.43676821651723863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 t="shared" ref="O9:O16" si="0">IFERROR(F9/(H9/C$18),0)+L9</f>
        <v>3000000</v>
      </c>
      <c r="P9" s="23">
        <f>IFERROR(O9/O$18,0)</f>
        <v>0.2774566473988439</v>
      </c>
      <c r="R9" s="44">
        <v>0</v>
      </c>
      <c r="S9" s="5">
        <f>F9</f>
        <v>0</v>
      </c>
      <c r="T9" s="3">
        <f t="shared" ref="T9:T16" ca="1" si="1">FV(I9/12,DATEDIF(G$29,S$29,"m"),0,-S9)-S9</f>
        <v>0</v>
      </c>
      <c r="U9" s="5">
        <f ca="1">T9+S9</f>
        <v>0</v>
      </c>
      <c r="V9" s="5">
        <f ca="1">IF(S$30="no",IFERROR(U9/(1-G9),0),IFERROR(U9/(1-(MAX(G9,(S$28-H9/L$18)/S$28))),0))</f>
        <v>0</v>
      </c>
      <c r="W9" s="25">
        <f ca="1">S$28</f>
        <v>1.0943392559343366</v>
      </c>
      <c r="X9" s="25">
        <f ca="1">IF(U9=0,0,IF(H9&lt;&gt;0,MIN(W9*(1-G9),H9/L$18),W9*(1-G9)))</f>
        <v>0</v>
      </c>
      <c r="Y9" s="3">
        <f ca="1">IFERROR(R9/W9,0)+IFERROR(U9/X9,0)</f>
        <v>0</v>
      </c>
      <c r="Z9" s="5">
        <f ca="1">Y9+L9</f>
        <v>3000000</v>
      </c>
      <c r="AA9" s="23">
        <f ca="1">IFERROR(Z9/Z$18,0)</f>
        <v>0.21838410825861931</v>
      </c>
      <c r="AB9" s="3">
        <f ca="1">Z9*S$28</f>
        <v>3283017.7678030096</v>
      </c>
      <c r="AC9" s="3">
        <f ca="1">Z9</f>
        <v>3000000</v>
      </c>
      <c r="AD9" s="23">
        <f ca="1">IFERROR(AC9/AC$18,0)</f>
        <v>0.21838410825861931</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 t="shared" si="0"/>
        <v>500000</v>
      </c>
      <c r="P10" s="23">
        <f>IFERROR(O10/O$18,0)</f>
        <v>4.6242774566473986E-2</v>
      </c>
      <c r="R10" s="44">
        <v>0</v>
      </c>
      <c r="S10" s="5">
        <f>F10</f>
        <v>0</v>
      </c>
      <c r="T10" s="3">
        <f t="shared" ca="1" si="1"/>
        <v>0</v>
      </c>
      <c r="U10" s="5">
        <f ca="1">T10+S10</f>
        <v>0</v>
      </c>
      <c r="V10" s="5">
        <f ca="1">IF(S$30="no",IFERROR(U10/(1-G10),0),IFERROR(U10/(1-(MAX(G10,(S$28-H10/L$18)/S$28))),0))</f>
        <v>0</v>
      </c>
      <c r="W10" s="25">
        <f ca="1">S$28</f>
        <v>1.0943392559343366</v>
      </c>
      <c r="X10" s="25">
        <f ca="1">IF(U10=0,0,IF(H10&lt;&gt;0,MIN(W10*(1-G10),H10/L$18),W10*(1-G10)))</f>
        <v>0</v>
      </c>
      <c r="Y10" s="3">
        <f ca="1">IFERROR(R10/W10,0)+IFERROR(U10/X10,0)</f>
        <v>0</v>
      </c>
      <c r="Z10" s="5">
        <f ca="1">Y10+L10</f>
        <v>500000</v>
      </c>
      <c r="AA10" s="23">
        <f ca="1">IFERROR(Z10/Z$18,0)</f>
        <v>3.6397351376436557E-2</v>
      </c>
      <c r="AB10" s="3">
        <f ca="1">Z10*S$28</f>
        <v>547169.62796716823</v>
      </c>
      <c r="AC10" s="3">
        <f ca="1">Z10</f>
        <v>500000</v>
      </c>
      <c r="AD10" s="23">
        <f ca="1">IFERROR(AC10/AC$18,0)</f>
        <v>3.6397351376436557E-2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 t="shared" si="0"/>
        <v>300000</v>
      </c>
      <c r="P11" s="23">
        <f>IFERROR(O11/O$18,0)</f>
        <v>2.7745664739884393E-2</v>
      </c>
      <c r="R11" s="44">
        <v>0</v>
      </c>
      <c r="S11" s="5">
        <f>F11</f>
        <v>0</v>
      </c>
      <c r="T11" s="3">
        <f t="shared" ca="1" si="1"/>
        <v>0</v>
      </c>
      <c r="U11" s="5">
        <f ca="1">T11+S11</f>
        <v>0</v>
      </c>
      <c r="V11" s="5">
        <f ca="1">IF(S$30="no",IFERROR(U11/(1-G11),0),IFERROR(U11/(1-(MAX(G11,(S$28-H11/L$18)/S$28))),0))</f>
        <v>0</v>
      </c>
      <c r="W11" s="25">
        <f ca="1">S$28</f>
        <v>1.0943392559343366</v>
      </c>
      <c r="X11" s="25">
        <f ca="1">IF(U11=0,0,IF(H11&lt;&gt;0,MIN(W11*(1-G11),H11/L$18),W11*(1-G11)))</f>
        <v>0</v>
      </c>
      <c r="Y11" s="3">
        <f ca="1">IFERROR(R11/W11,0)+IFERROR(U11/X11,0)</f>
        <v>0</v>
      </c>
      <c r="Z11" s="5">
        <f ca="1">Y11+L11</f>
        <v>300000</v>
      </c>
      <c r="AA11" s="23">
        <f ca="1">IFERROR(Z11/Z$18,0)</f>
        <v>2.1838410825861933E-2</v>
      </c>
      <c r="AB11" s="3">
        <f ca="1">Z11*S$28</f>
        <v>328301.77678030095</v>
      </c>
      <c r="AC11" s="3">
        <f ca="1">Z11</f>
        <v>300000</v>
      </c>
      <c r="AD11" s="23">
        <f ca="1">IFERROR(AC11/AC$18,0)</f>
        <v>2.1838410825861933E-2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 t="shared" si="0"/>
        <v>200000</v>
      </c>
      <c r="P12" s="23">
        <f>IFERROR(O12/O$18,0)</f>
        <v>1.8497109826589597E-2</v>
      </c>
      <c r="R12" s="44">
        <v>0</v>
      </c>
      <c r="S12" s="5">
        <f>F12</f>
        <v>0</v>
      </c>
      <c r="T12" s="3">
        <f t="shared" ca="1" si="1"/>
        <v>0</v>
      </c>
      <c r="U12" s="5">
        <f ca="1">T12+S12</f>
        <v>0</v>
      </c>
      <c r="V12" s="5">
        <f ca="1">IF(S$30="no",IFERROR(U12/(1-G12),0),IFERROR(U12/(1-(MAX(G12,(S$28-H12/L$18)/S$28))),0))</f>
        <v>0</v>
      </c>
      <c r="W12" s="25">
        <f ca="1">S$28</f>
        <v>1.0943392559343366</v>
      </c>
      <c r="X12" s="25">
        <f ca="1">IF(U12=0,0,IF(H12&lt;&gt;0,MIN(W12*(1-G12),H12/L$18),W12*(1-G12)))</f>
        <v>0</v>
      </c>
      <c r="Y12" s="3">
        <f ca="1">IFERROR(R12/W12,0)+IFERROR(U12/X12,0)</f>
        <v>0</v>
      </c>
      <c r="Z12" s="5">
        <f ca="1">Y12+L12</f>
        <v>200000</v>
      </c>
      <c r="AA12" s="23">
        <f ca="1">IFERROR(Z12/Z$18,0)</f>
        <v>1.4558940550574622E-2</v>
      </c>
      <c r="AB12" s="3">
        <f ca="1">Z12*S$28</f>
        <v>218867.85118686731</v>
      </c>
      <c r="AC12" s="3">
        <f ca="1">Z12</f>
        <v>200000</v>
      </c>
      <c r="AD12" s="23">
        <f ca="1">IFERROR(AC12/AC$18,0)</f>
        <v>1.4558940550574622E-2</v>
      </c>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 t="shared" si="0"/>
        <v>500000</v>
      </c>
      <c r="P14" s="23">
        <f>IFERROR(O14/O$18,0)</f>
        <v>4.6242774566473986E-2</v>
      </c>
      <c r="R14" s="44">
        <v>0</v>
      </c>
      <c r="S14" s="5">
        <f>F14</f>
        <v>500000</v>
      </c>
      <c r="T14" s="3">
        <f t="shared" ca="1" si="1"/>
        <v>63523.968350204988</v>
      </c>
      <c r="U14" s="5">
        <f ca="1">T14+S14</f>
        <v>563523.96835020499</v>
      </c>
      <c r="V14" s="5">
        <f ca="1">IF(S$30="no",IFERROR(U14/(1-G14),0),IFERROR(U14/(1-(MAX(G14,(S$28-H14/L$18)/S$28))),0))</f>
        <v>704404.96043775615</v>
      </c>
      <c r="W14" s="25">
        <f ca="1">S$28</f>
        <v>1.0943392559343366</v>
      </c>
      <c r="X14" s="25">
        <f ca="1">IF(U14=0,0,IF(H14&lt;&gt;0,MIN(W14*(1-G14),H14/L$18),W14*(1-G14)))</f>
        <v>0.87547140474746932</v>
      </c>
      <c r="Y14" s="3">
        <f ca="1">IFERROR(R14/W14,0)+IFERROR(U14/X14,0)</f>
        <v>643680.6105766003</v>
      </c>
      <c r="Z14" s="5">
        <f ca="1">Y14+L14</f>
        <v>643680.6105766003</v>
      </c>
      <c r="AA14" s="23">
        <f ca="1">IFERROR(Z14/Z$18,0)</f>
        <v>4.6856538714711488E-2</v>
      </c>
      <c r="AB14" s="3">
        <f ca="1">Z14*S$28</f>
        <v>704404.96043775626</v>
      </c>
      <c r="AC14" s="3">
        <f ca="1">Z14</f>
        <v>643680.6105766003</v>
      </c>
      <c r="AD14" s="23">
        <f ca="1">IFERROR(AC14/AC$18,0)</f>
        <v>4.6856538714711488E-2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 t="shared" si="0"/>
        <v>312500</v>
      </c>
      <c r="P15" s="23">
        <f>IFERROR(O15/O$18,0)</f>
        <v>2.8901734104046242E-2</v>
      </c>
      <c r="R15" s="44">
        <v>0</v>
      </c>
      <c r="S15" s="5">
        <f>F15</f>
        <v>250000</v>
      </c>
      <c r="T15" s="3">
        <f t="shared" ca="1" si="1"/>
        <v>31761.984175102494</v>
      </c>
      <c r="U15" s="5">
        <f ca="1">T15+S15</f>
        <v>281761.98417510249</v>
      </c>
      <c r="V15" s="5">
        <f ca="1">IF(S$30="no",IFERROR(U15/(1-G15),0),IFERROR(U15/(1-(MAX(G15,(S$28-H15/L$18)/S$28))),0))</f>
        <v>352202.48021887807</v>
      </c>
      <c r="W15" s="25">
        <f ca="1">S$28</f>
        <v>1.0943392559343366</v>
      </c>
      <c r="X15" s="25">
        <f ca="1">IF(U15=0,0,IF(H15&lt;&gt;0,MIN(W15*(1-G15),H15/L$18),W15*(1-G15)))</f>
        <v>0.8</v>
      </c>
      <c r="Y15" s="3">
        <f ca="1">IFERROR(R15/W15,0)+IFERROR(U15/X15,0)</f>
        <v>352202.48021887807</v>
      </c>
      <c r="Z15" s="5">
        <f ca="1">Y15+L15</f>
        <v>352202.48021887807</v>
      </c>
      <c r="AA15" s="23">
        <f ca="1">IFERROR(Z15/Z$18,0)</f>
        <v>2.5638474856357899E-2</v>
      </c>
      <c r="AB15" s="3">
        <f ca="1">Z15*S$28</f>
        <v>385429.00014095491</v>
      </c>
      <c r="AC15" s="3">
        <f ca="1">Z15</f>
        <v>352202.48021887807</v>
      </c>
      <c r="AD15" s="23">
        <f ca="1">IFERROR(AC15/AC$18,0)</f>
        <v>2.5638474856357899E-2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 t="shared" si="0"/>
        <v>0</v>
      </c>
      <c r="P16" s="23">
        <f>IFERROR(O16/O$18,0)</f>
        <v>0</v>
      </c>
      <c r="R16" s="44">
        <v>3000000</v>
      </c>
      <c r="S16" s="5">
        <f>F16</f>
        <v>0</v>
      </c>
      <c r="T16" s="3">
        <f t="shared" ca="1" si="1"/>
        <v>0</v>
      </c>
      <c r="U16" s="5">
        <f ca="1">T16+S16</f>
        <v>0</v>
      </c>
      <c r="V16" s="5">
        <f ca="1">IF(S$30="no",IFERROR(U16/(1-G16),0),IFERROR(U16/(1-(MAX(G16,(S$28-H16/L$18)/S$28))),0))</f>
        <v>0</v>
      </c>
      <c r="W16" s="25">
        <f ca="1">S$28</f>
        <v>1.0943392559343366</v>
      </c>
      <c r="X16" s="25">
        <f ca="1">IF(U16=0,0,IF(H16&lt;&gt;0,MIN(W16*(1-G16),H16/L$18),W16*(1-G16)))</f>
        <v>0</v>
      </c>
      <c r="Y16" s="3">
        <f ca="1">IFERROR(R16/W16,0)+IFERROR(U16/X16,0)</f>
        <v>2741380.2289662249</v>
      </c>
      <c r="Z16" s="5">
        <f ca="1">Y16+L16</f>
        <v>2741380.2289662249</v>
      </c>
      <c r="AA16" s="23">
        <f ca="1">IFERROR(Z16/Z$18,0)</f>
        <v>0.19955795890019956</v>
      </c>
      <c r="AB16" s="3">
        <f ca="1">Z16*S$28</f>
        <v>3000000</v>
      </c>
      <c r="AC16" s="3">
        <f ca="1">Z16</f>
        <v>2741380.2289662249</v>
      </c>
      <c r="AD16" s="23">
        <f ca="1">IFERROR(AC16/AC$18,0)</f>
        <v>0.19955795890019956</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3737263.3197617033</v>
      </c>
      <c r="Z18" s="7">
        <f t="shared" ca="1" si="2"/>
        <v>13737263.319761703</v>
      </c>
      <c r="AA18" s="27">
        <f t="shared" ca="1" si="2"/>
        <v>1</v>
      </c>
      <c r="AB18" s="7">
        <f t="shared" ca="1" si="2"/>
        <v>15033226.519922078</v>
      </c>
      <c r="AC18" s="7">
        <f t="shared" ca="1" si="2"/>
        <v>13737263.319761703</v>
      </c>
      <c r="AD18" s="27">
        <f t="shared" ca="1" si="2"/>
        <v>1</v>
      </c>
    </row>
    <row r="19" spans="2:30">
      <c r="AA19" s="35" t="s">
        <v>51</v>
      </c>
    </row>
    <row r="21" spans="2:30">
      <c r="F21" s="22" t="s">
        <v>35</v>
      </c>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T24" s="43"/>
    </row>
    <row r="25" spans="2:30">
      <c r="F25" s="1" t="s">
        <v>36</v>
      </c>
      <c r="G25" s="11">
        <v>0</v>
      </c>
      <c r="H25" s="8"/>
      <c r="R25" s="1" t="s">
        <v>36</v>
      </c>
      <c r="S25" s="5">
        <f ca="1">S26-S24-S22</f>
        <v>10943392.559343366</v>
      </c>
      <c r="T25" s="8" t="s">
        <v>52</v>
      </c>
    </row>
    <row r="26" spans="2:30">
      <c r="F26" s="1" t="s">
        <v>72</v>
      </c>
      <c r="G26" s="5">
        <f>IF(G25=0,0,G25+G22)</f>
        <v>0</v>
      </c>
      <c r="R26" s="1" t="s">
        <v>72</v>
      </c>
      <c r="S26" s="44">
        <v>15000000</v>
      </c>
      <c r="T26" s="8" t="s">
        <v>48</v>
      </c>
    </row>
    <row r="27" spans="2:30">
      <c r="F27" s="1" t="s">
        <v>120</v>
      </c>
      <c r="G27" s="5">
        <f>G26</f>
        <v>0</v>
      </c>
      <c r="R27" s="1" t="s">
        <v>120</v>
      </c>
      <c r="S27" s="5">
        <f>S26</f>
        <v>15000000</v>
      </c>
      <c r="T27" s="8"/>
    </row>
    <row r="28" spans="2:30">
      <c r="F28" s="1" t="s">
        <v>32</v>
      </c>
      <c r="G28" s="25">
        <f>G25/C18</f>
        <v>0</v>
      </c>
      <c r="R28" s="1" t="s">
        <v>32</v>
      </c>
      <c r="S28" s="25">
        <f ca="1">S25/L18</f>
        <v>1.0943392559343366</v>
      </c>
      <c r="T28" s="8"/>
    </row>
    <row r="29" spans="2:30">
      <c r="F29" s="1" t="s">
        <v>17</v>
      </c>
      <c r="G29" s="17">
        <f ca="1">EDATE(TODAY(),-18)</f>
        <v>43416</v>
      </c>
      <c r="R29" s="1" t="s">
        <v>17</v>
      </c>
      <c r="S29" s="17">
        <f ca="1">TODAY()</f>
        <v>43963</v>
      </c>
      <c r="T29" s="8"/>
    </row>
    <row r="30" spans="2:30">
      <c r="R30" s="1" t="s">
        <v>144</v>
      </c>
      <c r="S30" s="38" t="s">
        <v>145</v>
      </c>
      <c r="T30" s="8" t="s">
        <v>50</v>
      </c>
    </row>
    <row r="31" spans="2:30">
      <c r="B31" s="21" t="s">
        <v>24</v>
      </c>
    </row>
    <row r="32" spans="2:30">
      <c r="B32" s="1" t="s">
        <v>121</v>
      </c>
    </row>
    <row r="33" spans="2:2">
      <c r="B33" s="1" t="s">
        <v>122</v>
      </c>
    </row>
    <row r="34" spans="2:2">
      <c r="B34" s="1" t="s">
        <v>123</v>
      </c>
    </row>
    <row r="35" spans="2:2">
      <c r="B35" s="1" t="s">
        <v>146</v>
      </c>
    </row>
    <row r="36" spans="2:2">
      <c r="B36" s="1" t="s">
        <v>281</v>
      </c>
    </row>
    <row r="37" spans="2:2">
      <c r="B37" s="1" t="s">
        <v>282</v>
      </c>
    </row>
  </sheetData>
  <dataValidations count="1">
    <dataValidation type="list" allowBlank="1" showInputMessage="1" showErrorMessage="1" sqref="S30" xr:uid="{00000000-0002-0000-0E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AD39"/>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8.33203125" style="1" customWidth="1"/>
    <col min="7" max="9" width="18.6640625" style="1" customWidth="1"/>
    <col min="10" max="16" width="16.83203125" style="1" customWidth="1"/>
    <col min="17" max="17" width="10.83203125" style="1"/>
    <col min="18" max="18" width="28.6640625" style="1" customWidth="1"/>
    <col min="19" max="19" width="18.1640625" style="1" customWidth="1"/>
    <col min="20" max="33" width="16.83203125" style="1" customWidth="1"/>
    <col min="34" max="16384" width="10.83203125" style="1"/>
  </cols>
  <sheetData>
    <row r="2" spans="2:30">
      <c r="B2" s="16" t="s">
        <v>254</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11" t="s">
        <v>27</v>
      </c>
      <c r="C8" s="12">
        <f>D8*C$18</f>
        <v>6000000</v>
      </c>
      <c r="D8" s="20">
        <v>0.6</v>
      </c>
      <c r="F8" s="11">
        <v>0</v>
      </c>
      <c r="G8" s="28">
        <v>0</v>
      </c>
      <c r="H8" s="11">
        <v>0</v>
      </c>
      <c r="I8" s="20">
        <v>0</v>
      </c>
      <c r="J8" s="25">
        <f>G$29</f>
        <v>0</v>
      </c>
      <c r="K8" s="8">
        <f>IFERROR(F8/J8,0)</f>
        <v>0</v>
      </c>
      <c r="L8" s="5">
        <f>K8+C8</f>
        <v>6000000</v>
      </c>
      <c r="M8" s="23">
        <f>IFERROR(L8/L$18,0)</f>
        <v>0.6</v>
      </c>
      <c r="N8" s="3">
        <f>L8*G$29</f>
        <v>0</v>
      </c>
      <c r="O8" s="3">
        <f>IFERROR(F8/(H8/C$18),0)+L8</f>
        <v>6000000</v>
      </c>
      <c r="P8" s="23">
        <f>IFERROR(O8/O$18,0)</f>
        <v>0.55491329479768781</v>
      </c>
      <c r="R8" s="11">
        <v>0</v>
      </c>
      <c r="S8" s="5">
        <f>F8</f>
        <v>0</v>
      </c>
      <c r="T8" s="3">
        <f ca="1">FV(I8/12,DATEDIF(G$30,S$30,"m"),0,-S8)-S8</f>
        <v>0</v>
      </c>
      <c r="U8" s="5">
        <f ca="1">T8+S8</f>
        <v>0</v>
      </c>
      <c r="V8" s="5">
        <f ca="1">IF(S$31="no",IFERROR(U8/(1-G8),0),IFERROR(U8/(1-(MAX(G8,(S$29-H8/L$18)/S$29))),0))</f>
        <v>0</v>
      </c>
      <c r="W8" s="25">
        <f ca="1">S$29</f>
        <v>1.1788678511868673</v>
      </c>
      <c r="X8" s="25">
        <f ca="1">IF(U8=0,0,IF(H8&lt;&gt;0,MIN(W8*(1-G8),H8/L$18),W8*(1-G8)))</f>
        <v>0</v>
      </c>
      <c r="Y8" s="3">
        <f ca="1">IFERROR(R8/W8,0)+IFERROR(U8/X8,0)</f>
        <v>0</v>
      </c>
      <c r="Z8" s="5">
        <f ca="1">Y8+L8</f>
        <v>6000000</v>
      </c>
      <c r="AA8" s="23">
        <f ca="1">IFERROR(Z8/Z$18,0)</f>
        <v>0.44462415061564797</v>
      </c>
      <c r="AB8" s="3">
        <f ca="1">Z8*S$29</f>
        <v>7073207.107121204</v>
      </c>
      <c r="AC8" s="3">
        <f ca="1">Z8</f>
        <v>6000000</v>
      </c>
      <c r="AD8" s="23">
        <f ca="1">IFERROR(AC8/AC$18,0)</f>
        <v>0.44462415061564797</v>
      </c>
    </row>
    <row r="9" spans="2:30">
      <c r="B9" s="11" t="s">
        <v>27</v>
      </c>
      <c r="C9" s="12">
        <f>D9*C$18</f>
        <v>3000000</v>
      </c>
      <c r="D9" s="20">
        <v>0.3</v>
      </c>
      <c r="F9" s="11">
        <v>0</v>
      </c>
      <c r="G9" s="28">
        <v>0</v>
      </c>
      <c r="H9" s="11">
        <v>0</v>
      </c>
      <c r="I9" s="20">
        <v>0</v>
      </c>
      <c r="J9" s="25">
        <f>G$29</f>
        <v>0</v>
      </c>
      <c r="K9" s="8">
        <f>IFERROR(F9/J9,0)</f>
        <v>0</v>
      </c>
      <c r="L9" s="5">
        <f>K9+C9</f>
        <v>3000000</v>
      </c>
      <c r="M9" s="23">
        <f>IFERROR(L9/L$18,0)</f>
        <v>0.3</v>
      </c>
      <c r="N9" s="3">
        <f>L9*G$29</f>
        <v>0</v>
      </c>
      <c r="O9" s="3">
        <f t="shared" ref="O9:O16" si="0">IFERROR(F9/(H9/C$18),0)+L9</f>
        <v>3000000</v>
      </c>
      <c r="P9" s="23">
        <f>IFERROR(O9/O$18,0)</f>
        <v>0.2774566473988439</v>
      </c>
      <c r="R9" s="11">
        <v>0</v>
      </c>
      <c r="S9" s="5">
        <f>F9</f>
        <v>0</v>
      </c>
      <c r="T9" s="3">
        <f t="shared" ref="T9:T16" ca="1" si="1">FV(I9/12,DATEDIF(G$30,S$30,"m"),0,-S9)-S9</f>
        <v>0</v>
      </c>
      <c r="U9" s="5">
        <f ca="1">T9+S9</f>
        <v>0</v>
      </c>
      <c r="V9" s="5">
        <f ca="1">IF(S$31="no",IFERROR(U9/(1-G9),0),IFERROR(U9/(1-(MAX(G9,(S$29-H9/L$18)/S$29))),0))</f>
        <v>0</v>
      </c>
      <c r="W9" s="25">
        <f ca="1">S$29</f>
        <v>1.1788678511868673</v>
      </c>
      <c r="X9" s="25">
        <f ca="1">IF(U9=0,0,IF(H9&lt;&gt;0,MIN(W9*(1-G9),H9/L$18),W9*(1-G9)))</f>
        <v>0</v>
      </c>
      <c r="Y9" s="3">
        <f ca="1">IFERROR(R9/W9,0)+IFERROR(U9/X9,0)</f>
        <v>0</v>
      </c>
      <c r="Z9" s="5">
        <f ca="1">Y9+L9</f>
        <v>3000000</v>
      </c>
      <c r="AA9" s="23">
        <f ca="1">IFERROR(Z9/Z$18,0)</f>
        <v>0.22231207530782399</v>
      </c>
      <c r="AB9" s="3">
        <f ca="1">Z9*S$29</f>
        <v>3536603.553560602</v>
      </c>
      <c r="AC9" s="3">
        <f ca="1">Z9</f>
        <v>3000000</v>
      </c>
      <c r="AD9" s="23">
        <f ca="1">IFERROR(AC9/AC$18,0)</f>
        <v>0.22231207530782399</v>
      </c>
    </row>
    <row r="10" spans="2:30">
      <c r="B10" s="11" t="s">
        <v>29</v>
      </c>
      <c r="C10" s="12">
        <f>D10*C$18</f>
        <v>500000</v>
      </c>
      <c r="D10" s="20">
        <v>0.05</v>
      </c>
      <c r="F10" s="11">
        <v>0</v>
      </c>
      <c r="G10" s="28">
        <v>0</v>
      </c>
      <c r="H10" s="11">
        <v>0</v>
      </c>
      <c r="I10" s="20">
        <v>0</v>
      </c>
      <c r="J10" s="25">
        <f>G$29</f>
        <v>0</v>
      </c>
      <c r="K10" s="8">
        <f>IFERROR(F10/J10,0)</f>
        <v>0</v>
      </c>
      <c r="L10" s="5">
        <f>K10+C10</f>
        <v>500000</v>
      </c>
      <c r="M10" s="23">
        <f>IFERROR(L10/L$18,0)</f>
        <v>0.05</v>
      </c>
      <c r="N10" s="3">
        <f>L10*G$29</f>
        <v>0</v>
      </c>
      <c r="O10" s="3">
        <f t="shared" si="0"/>
        <v>500000</v>
      </c>
      <c r="P10" s="23">
        <f>IFERROR(O10/O$18,0)</f>
        <v>4.6242774566473986E-2</v>
      </c>
      <c r="R10" s="11">
        <v>0</v>
      </c>
      <c r="S10" s="5">
        <f>F10</f>
        <v>0</v>
      </c>
      <c r="T10" s="3">
        <f t="shared" ca="1" si="1"/>
        <v>0</v>
      </c>
      <c r="U10" s="5">
        <f ca="1">T10+S10</f>
        <v>0</v>
      </c>
      <c r="V10" s="5">
        <f ca="1">IF(S$31="no",IFERROR(U10/(1-G10),0),IFERROR(U10/(1-(MAX(G10,(S$29-H10/L$18)/S$29))),0))</f>
        <v>0</v>
      </c>
      <c r="W10" s="25">
        <f ca="1">S$29</f>
        <v>1.1788678511868673</v>
      </c>
      <c r="X10" s="25">
        <f ca="1">IF(U10=0,0,IF(H10&lt;&gt;0,MIN(W10*(1-G10),H10/L$18),W10*(1-G10)))</f>
        <v>0</v>
      </c>
      <c r="Y10" s="3">
        <f ca="1">IFERROR(R10/W10,0)+IFERROR(U10/X10,0)</f>
        <v>0</v>
      </c>
      <c r="Z10" s="5">
        <f ca="1">Y10+L10</f>
        <v>500000</v>
      </c>
      <c r="AA10" s="23">
        <f ca="1">IFERROR(Z10/Z$18,0)</f>
        <v>3.7052012551303998E-2</v>
      </c>
      <c r="AB10" s="3">
        <f ca="1">Z10*S$29</f>
        <v>589433.92559343367</v>
      </c>
      <c r="AC10" s="3">
        <f ca="1">Z10</f>
        <v>500000</v>
      </c>
      <c r="AD10" s="23">
        <f ca="1">IFERROR(AC10/AC$18,0)</f>
        <v>3.7052012551303998E-2</v>
      </c>
    </row>
    <row r="11" spans="2:30">
      <c r="B11" s="11" t="s">
        <v>29</v>
      </c>
      <c r="C11" s="12">
        <f>D11*C$18</f>
        <v>300000</v>
      </c>
      <c r="D11" s="20">
        <v>0.03</v>
      </c>
      <c r="F11" s="11">
        <v>0</v>
      </c>
      <c r="G11" s="28">
        <v>0</v>
      </c>
      <c r="H11" s="11">
        <v>0</v>
      </c>
      <c r="I11" s="20">
        <v>0</v>
      </c>
      <c r="J11" s="25">
        <f>G$29</f>
        <v>0</v>
      </c>
      <c r="K11" s="8">
        <f>IFERROR(F11/J11,0)</f>
        <v>0</v>
      </c>
      <c r="L11" s="5">
        <f>K11+C11</f>
        <v>300000</v>
      </c>
      <c r="M11" s="23">
        <f>IFERROR(L11/L$18,0)</f>
        <v>0.03</v>
      </c>
      <c r="N11" s="3">
        <f>L11*G$29</f>
        <v>0</v>
      </c>
      <c r="O11" s="3">
        <f t="shared" si="0"/>
        <v>300000</v>
      </c>
      <c r="P11" s="23">
        <f>IFERROR(O11/O$18,0)</f>
        <v>2.7745664739884393E-2</v>
      </c>
      <c r="R11" s="11">
        <v>0</v>
      </c>
      <c r="S11" s="5">
        <f>F11</f>
        <v>0</v>
      </c>
      <c r="T11" s="3">
        <f t="shared" ca="1" si="1"/>
        <v>0</v>
      </c>
      <c r="U11" s="5">
        <f ca="1">T11+S11</f>
        <v>0</v>
      </c>
      <c r="V11" s="5">
        <f ca="1">IF(S$31="no",IFERROR(U11/(1-G11),0),IFERROR(U11/(1-(MAX(G11,(S$29-H11/L$18)/S$29))),0))</f>
        <v>0</v>
      </c>
      <c r="W11" s="25">
        <f ca="1">S$29</f>
        <v>1.1788678511868673</v>
      </c>
      <c r="X11" s="25">
        <f ca="1">IF(U11=0,0,IF(H11&lt;&gt;0,MIN(W11*(1-G11),H11/L$18),W11*(1-G11)))</f>
        <v>0</v>
      </c>
      <c r="Y11" s="3">
        <f ca="1">IFERROR(R11/W11,0)+IFERROR(U11/X11,0)</f>
        <v>0</v>
      </c>
      <c r="Z11" s="5">
        <f ca="1">Y11+L11</f>
        <v>300000</v>
      </c>
      <c r="AA11" s="23">
        <f ca="1">IFERROR(Z11/Z$18,0)</f>
        <v>2.2231207530782397E-2</v>
      </c>
      <c r="AB11" s="3">
        <f ca="1">Z11*S$29</f>
        <v>353660.3553560602</v>
      </c>
      <c r="AC11" s="3">
        <f ca="1">Z11</f>
        <v>300000</v>
      </c>
      <c r="AD11" s="23">
        <f ca="1">IFERROR(AC11/AC$18,0)</f>
        <v>2.2231207530782397E-2</v>
      </c>
    </row>
    <row r="12" spans="2:30">
      <c r="B12" s="11" t="s">
        <v>29</v>
      </c>
      <c r="C12" s="12">
        <f>D12*C$18</f>
        <v>200000</v>
      </c>
      <c r="D12" s="20">
        <v>0.02</v>
      </c>
      <c r="F12" s="11">
        <v>0</v>
      </c>
      <c r="G12" s="28">
        <v>0</v>
      </c>
      <c r="H12" s="11">
        <v>0</v>
      </c>
      <c r="I12" s="20">
        <v>0</v>
      </c>
      <c r="J12" s="25">
        <f>G$29</f>
        <v>0</v>
      </c>
      <c r="K12" s="8">
        <f>IFERROR(F12/J12,0)</f>
        <v>0</v>
      </c>
      <c r="L12" s="5">
        <f>K12+C12</f>
        <v>200000</v>
      </c>
      <c r="M12" s="23">
        <f>IFERROR(L12/L$18,0)</f>
        <v>0.02</v>
      </c>
      <c r="N12" s="3">
        <f>L12*G$29</f>
        <v>0</v>
      </c>
      <c r="O12" s="3">
        <f t="shared" si="0"/>
        <v>200000</v>
      </c>
      <c r="P12" s="23">
        <f>IFERROR(O12/O$18,0)</f>
        <v>1.8497109826589597E-2</v>
      </c>
      <c r="R12" s="11">
        <v>0</v>
      </c>
      <c r="S12" s="5">
        <f>F12</f>
        <v>0</v>
      </c>
      <c r="T12" s="3">
        <f t="shared" ca="1" si="1"/>
        <v>0</v>
      </c>
      <c r="U12" s="5">
        <f ca="1">T12+S12</f>
        <v>0</v>
      </c>
      <c r="V12" s="5">
        <f ca="1">IF(S$31="no",IFERROR(U12/(1-G12),0),IFERROR(U12/(1-(MAX(G12,(S$29-H12/L$18)/S$29))),0))</f>
        <v>0</v>
      </c>
      <c r="W12" s="25">
        <f ca="1">S$29</f>
        <v>1.1788678511868673</v>
      </c>
      <c r="X12" s="25">
        <f ca="1">IF(U12=0,0,IF(H12&lt;&gt;0,MIN(W12*(1-G12),H12/L$18),W12*(1-G12)))</f>
        <v>0</v>
      </c>
      <c r="Y12" s="3">
        <f ca="1">IFERROR(R12/W12,0)+IFERROR(U12/X12,0)</f>
        <v>0</v>
      </c>
      <c r="Z12" s="5">
        <f ca="1">Y12+L12</f>
        <v>200000</v>
      </c>
      <c r="AA12" s="23">
        <f ca="1">IFERROR(Z12/Z$18,0)</f>
        <v>1.4820805020521598E-2</v>
      </c>
      <c r="AB12" s="3">
        <f ca="1">Z12*S$29</f>
        <v>235773.57023737347</v>
      </c>
      <c r="AC12" s="3">
        <f ca="1">Z12</f>
        <v>200000</v>
      </c>
      <c r="AD12" s="23">
        <f ca="1">IFERROR(AC12/AC$18,0)</f>
        <v>1.4820805020521598E-2</v>
      </c>
    </row>
    <row r="13" spans="2:30">
      <c r="D13" s="24"/>
      <c r="G13" s="29"/>
    </row>
    <row r="14" spans="2:30">
      <c r="B14" s="11" t="s">
        <v>30</v>
      </c>
      <c r="C14" s="12">
        <f>D14*C$18</f>
        <v>0</v>
      </c>
      <c r="D14" s="20">
        <v>0</v>
      </c>
      <c r="F14" s="11">
        <v>500000</v>
      </c>
      <c r="G14" s="28">
        <v>0.2</v>
      </c>
      <c r="H14" s="11">
        <v>10000000</v>
      </c>
      <c r="I14" s="20">
        <v>0.08</v>
      </c>
      <c r="J14" s="25">
        <f>G$29</f>
        <v>0</v>
      </c>
      <c r="K14" s="3">
        <f>IFERROR(F14/J14,0)</f>
        <v>0</v>
      </c>
      <c r="L14" s="5">
        <f>K14+C14</f>
        <v>0</v>
      </c>
      <c r="M14" s="23">
        <f>IFERROR(L14/L$18,0)</f>
        <v>0</v>
      </c>
      <c r="N14" s="3">
        <f>L14*G$29</f>
        <v>0</v>
      </c>
      <c r="O14" s="3">
        <f t="shared" si="0"/>
        <v>500000</v>
      </c>
      <c r="P14" s="23">
        <f>IFERROR(O14/O$18,0)</f>
        <v>4.6242774566473986E-2</v>
      </c>
      <c r="R14" s="11">
        <v>0</v>
      </c>
      <c r="S14" s="5">
        <f>F14</f>
        <v>500000</v>
      </c>
      <c r="T14" s="3">
        <f t="shared" ca="1" si="1"/>
        <v>63523.968350204988</v>
      </c>
      <c r="U14" s="5">
        <f ca="1">T14+S14</f>
        <v>563523.96835020499</v>
      </c>
      <c r="V14" s="5">
        <f ca="1">IF(S$31="no",IFERROR(U14/(1-G14),0),IFERROR(U14/(1-(MAX(G14,(S$29-H14/L$18)/S$29))),0))</f>
        <v>704404.96043775615</v>
      </c>
      <c r="W14" s="25">
        <f ca="1">S$29</f>
        <v>1.1788678511868673</v>
      </c>
      <c r="X14" s="25">
        <f ca="1">IF(U14=0,0,IF(H14&lt;&gt;0,MIN(W14*(1-G14),H14/L$18),W14*(1-G14)))</f>
        <v>0.94309428094949388</v>
      </c>
      <c r="Y14" s="3">
        <f ca="1">IFERROR(R14/W14,0)+IFERROR(U14/X14,0)</f>
        <v>597526.65214219841</v>
      </c>
      <c r="Z14" s="5">
        <f ca="1">Y14+L14</f>
        <v>597526.65214219841</v>
      </c>
      <c r="AA14" s="23">
        <f ca="1">IFERROR(Z14/Z$18,0)</f>
        <v>4.4279130029822783E-2</v>
      </c>
      <c r="AB14" s="3">
        <f ca="1">Z14*S$29</f>
        <v>704404.96043775615</v>
      </c>
      <c r="AC14" s="3">
        <f ca="1">Z14</f>
        <v>597526.65214219841</v>
      </c>
      <c r="AD14" s="23">
        <f ca="1">IFERROR(AC14/AC$18,0)</f>
        <v>4.4279130029822783E-2</v>
      </c>
    </row>
    <row r="15" spans="2:30">
      <c r="B15" s="11" t="s">
        <v>34</v>
      </c>
      <c r="C15" s="12">
        <f>D15*C$18</f>
        <v>0</v>
      </c>
      <c r="D15" s="20">
        <v>0</v>
      </c>
      <c r="F15" s="11">
        <v>250000</v>
      </c>
      <c r="G15" s="28">
        <v>0.2</v>
      </c>
      <c r="H15" s="11">
        <v>8000000</v>
      </c>
      <c r="I15" s="20">
        <v>0.08</v>
      </c>
      <c r="J15" s="25">
        <f>G$29</f>
        <v>0</v>
      </c>
      <c r="K15" s="3">
        <f>IFERROR(F15/J15,0)</f>
        <v>0</v>
      </c>
      <c r="L15" s="5">
        <f>K15+C15</f>
        <v>0</v>
      </c>
      <c r="M15" s="23">
        <f>IFERROR(L15/L$18,0)</f>
        <v>0</v>
      </c>
      <c r="N15" s="3">
        <f>L15*G$29</f>
        <v>0</v>
      </c>
      <c r="O15" s="3">
        <f t="shared" si="0"/>
        <v>312500</v>
      </c>
      <c r="P15" s="23">
        <f>IFERROR(O15/O$18,0)</f>
        <v>2.8901734104046242E-2</v>
      </c>
      <c r="R15" s="11">
        <v>0</v>
      </c>
      <c r="S15" s="5">
        <f>F15</f>
        <v>250000</v>
      </c>
      <c r="T15" s="3">
        <f t="shared" ca="1" si="1"/>
        <v>31761.984175102494</v>
      </c>
      <c r="U15" s="5">
        <f ca="1">T15+S15</f>
        <v>281761.98417510249</v>
      </c>
      <c r="V15" s="5">
        <f ca="1">IF(S$31="no",IFERROR(U15/(1-G15),0),IFERROR(U15/(1-(MAX(G15,(S$29-H15/L$18)/S$29))),0))</f>
        <v>352202.48021887807</v>
      </c>
      <c r="W15" s="25">
        <f ca="1">S$29</f>
        <v>1.1788678511868673</v>
      </c>
      <c r="X15" s="25">
        <f ca="1">IF(U15=0,0,IF(H15&lt;&gt;0,MIN(W15*(1-G15),H15/L$18),W15*(1-G15)))</f>
        <v>0.8</v>
      </c>
      <c r="Y15" s="3">
        <f ca="1">IFERROR(R15/W15,0)+IFERROR(U15/X15,0)</f>
        <v>352202.48021887807</v>
      </c>
      <c r="Z15" s="5">
        <f ca="1">Y15+L15</f>
        <v>352202.48021887807</v>
      </c>
      <c r="AA15" s="23">
        <f ca="1">IFERROR(Z15/Z$18,0)</f>
        <v>2.6099621435340534E-2</v>
      </c>
      <c r="AB15" s="3">
        <f ca="1">Z15*S$29</f>
        <v>415200.18103831395</v>
      </c>
      <c r="AC15" s="3">
        <f ca="1">Z15</f>
        <v>352202.48021887807</v>
      </c>
      <c r="AD15" s="23">
        <f ca="1">IFERROR(AC15/AC$18,0)</f>
        <v>2.6099621435340534E-2</v>
      </c>
    </row>
    <row r="16" spans="2:30">
      <c r="B16" s="11" t="s">
        <v>60</v>
      </c>
      <c r="C16" s="12">
        <f>D16*C$18</f>
        <v>0</v>
      </c>
      <c r="D16" s="20">
        <v>0</v>
      </c>
      <c r="F16" s="11">
        <v>0</v>
      </c>
      <c r="G16" s="28">
        <v>0</v>
      </c>
      <c r="H16" s="11">
        <v>0</v>
      </c>
      <c r="I16" s="20">
        <v>0</v>
      </c>
      <c r="J16" s="25">
        <f>G$29</f>
        <v>0</v>
      </c>
      <c r="K16" s="3">
        <f>IFERROR(F16/J16,0)</f>
        <v>0</v>
      </c>
      <c r="L16" s="5">
        <f>K16+C16</f>
        <v>0</v>
      </c>
      <c r="M16" s="23">
        <f>IFERROR(L16/L$18,0)</f>
        <v>0</v>
      </c>
      <c r="N16" s="3">
        <f>L16*G$29</f>
        <v>0</v>
      </c>
      <c r="O16" s="3">
        <f t="shared" si="0"/>
        <v>0</v>
      </c>
      <c r="P16" s="23">
        <f>IFERROR(O16/O$18,0)</f>
        <v>0</v>
      </c>
      <c r="R16" s="11">
        <v>3000000</v>
      </c>
      <c r="S16" s="5">
        <f>F16</f>
        <v>0</v>
      </c>
      <c r="T16" s="3">
        <f t="shared" ca="1" si="1"/>
        <v>0</v>
      </c>
      <c r="U16" s="5">
        <f ca="1">T16+S16</f>
        <v>0</v>
      </c>
      <c r="V16" s="5">
        <f ca="1">IF(S$31="no",IFERROR(U16/(1-G16),0),IFERROR(U16/(1-(MAX(G16,(S$29-H16/L$18)/S$29))),0))</f>
        <v>0</v>
      </c>
      <c r="W16" s="25">
        <f ca="1">S$29</f>
        <v>1.1788678511868673</v>
      </c>
      <c r="X16" s="25">
        <f ca="1">IF(U16=0,0,IF(H16&lt;&gt;0,MIN(W16*(1-G16),H16/L$18),W16*(1-G16)))</f>
        <v>0</v>
      </c>
      <c r="Y16" s="3">
        <f ca="1">IFERROR(R16/W16,0)+IFERROR(U16/X16,0)</f>
        <v>2544814.498910665</v>
      </c>
      <c r="Z16" s="5">
        <f ca="1">Y16+L16</f>
        <v>2544814.498910665</v>
      </c>
      <c r="AA16" s="23">
        <f ca="1">IFERROR(Z16/Z$18,0)</f>
        <v>0.1885809975087567</v>
      </c>
      <c r="AB16" s="3">
        <f ca="1">Z16*S$29</f>
        <v>3000000</v>
      </c>
      <c r="AC16" s="3">
        <f ca="1">Z16</f>
        <v>2544814.498910665</v>
      </c>
      <c r="AD16" s="23">
        <f ca="1">IFERROR(AC16/AC$18,0)</f>
        <v>0.1885809975087567</v>
      </c>
    </row>
    <row r="17" spans="2:30">
      <c r="D17" s="24"/>
    </row>
    <row r="18" spans="2:30">
      <c r="B18" s="26" t="s">
        <v>3</v>
      </c>
      <c r="C18" s="10">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3494543.6312717414</v>
      </c>
      <c r="Z18" s="7">
        <f t="shared" ca="1" si="2"/>
        <v>13494543.631271742</v>
      </c>
      <c r="AA18" s="27">
        <f t="shared" ca="1" si="2"/>
        <v>0.99999999999999989</v>
      </c>
      <c r="AB18" s="7">
        <f t="shared" ca="1" si="2"/>
        <v>15908283.653344745</v>
      </c>
      <c r="AC18" s="7">
        <f t="shared" ca="1" si="2"/>
        <v>13494543.631271742</v>
      </c>
      <c r="AD18" s="27">
        <f t="shared" ca="1" si="2"/>
        <v>0.99999999999999989</v>
      </c>
    </row>
    <row r="19" spans="2:30">
      <c r="X19" s="1">
        <f ca="1">(W15-X15)/W15</f>
        <v>0.32138280029048932</v>
      </c>
    </row>
    <row r="21" spans="2:30">
      <c r="F21" s="22" t="s">
        <v>35</v>
      </c>
      <c r="J21" s="4"/>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V24" s="36"/>
    </row>
    <row r="25" spans="2:30">
      <c r="F25" s="1" t="s">
        <v>81</v>
      </c>
      <c r="G25" s="5">
        <v>0</v>
      </c>
      <c r="R25" s="1" t="s">
        <v>81</v>
      </c>
      <c r="S25" s="5">
        <f ca="1">S26-(S24-S23)</f>
        <v>11788678.511868672</v>
      </c>
      <c r="T25" s="8" t="s">
        <v>128</v>
      </c>
    </row>
    <row r="26" spans="2:30">
      <c r="F26" s="1" t="s">
        <v>36</v>
      </c>
      <c r="G26" s="11">
        <v>0</v>
      </c>
      <c r="R26" s="1" t="s">
        <v>36</v>
      </c>
      <c r="S26" s="11">
        <v>12000000</v>
      </c>
      <c r="T26" s="8" t="s">
        <v>48</v>
      </c>
    </row>
    <row r="27" spans="2:30">
      <c r="F27" s="1" t="s">
        <v>72</v>
      </c>
      <c r="G27" s="5">
        <f>IF(G26=0,0,G26+G22)</f>
        <v>0</v>
      </c>
      <c r="R27" s="1" t="s">
        <v>72</v>
      </c>
      <c r="S27" s="5">
        <f ca="1">S26+S22+S23</f>
        <v>15845285.952525306</v>
      </c>
      <c r="T27" s="8" t="s">
        <v>48</v>
      </c>
    </row>
    <row r="28" spans="2:30">
      <c r="F28" s="1" t="s">
        <v>120</v>
      </c>
      <c r="G28" s="5">
        <f>G27</f>
        <v>0</v>
      </c>
      <c r="R28" s="1" t="s">
        <v>120</v>
      </c>
      <c r="S28" s="5">
        <f ca="1">S26+S22+S23</f>
        <v>15845285.952525306</v>
      </c>
      <c r="T28" s="8"/>
    </row>
    <row r="29" spans="2:30">
      <c r="F29" s="1" t="s">
        <v>32</v>
      </c>
      <c r="G29" s="37">
        <f>G26/C18</f>
        <v>0</v>
      </c>
      <c r="R29" s="1" t="s">
        <v>32</v>
      </c>
      <c r="S29" s="2">
        <f ca="1">S25/L18</f>
        <v>1.1788678511868673</v>
      </c>
    </row>
    <row r="30" spans="2:30">
      <c r="F30" s="1" t="s">
        <v>17</v>
      </c>
      <c r="G30" s="17">
        <f ca="1">EDATE(TODAY(),-18)</f>
        <v>43416</v>
      </c>
      <c r="R30" s="1" t="s">
        <v>17</v>
      </c>
      <c r="S30" s="17">
        <f ca="1">TODAY()</f>
        <v>43963</v>
      </c>
    </row>
    <row r="31" spans="2:30">
      <c r="R31" s="1" t="s">
        <v>144</v>
      </c>
      <c r="S31" s="38" t="s">
        <v>145</v>
      </c>
      <c r="T31" s="8" t="s">
        <v>50</v>
      </c>
    </row>
    <row r="32" spans="2:30">
      <c r="S32" s="8"/>
      <c r="T32" s="8"/>
    </row>
    <row r="33" spans="2:6">
      <c r="B33" s="21" t="s">
        <v>24</v>
      </c>
    </row>
    <row r="34" spans="2:6">
      <c r="B34" s="9" t="s">
        <v>125</v>
      </c>
      <c r="C34" s="9"/>
      <c r="D34" s="9"/>
      <c r="E34" s="9"/>
      <c r="F34" s="9"/>
    </row>
    <row r="35" spans="2:6">
      <c r="B35" s="1" t="s">
        <v>126</v>
      </c>
    </row>
    <row r="36" spans="2:6">
      <c r="B36" s="1" t="s">
        <v>127</v>
      </c>
    </row>
    <row r="37" spans="2:6">
      <c r="B37" s="1" t="s">
        <v>154</v>
      </c>
    </row>
    <row r="38" spans="2:6">
      <c r="B38" s="1" t="s">
        <v>281</v>
      </c>
    </row>
    <row r="39" spans="2:6">
      <c r="B39" s="1" t="s">
        <v>282</v>
      </c>
    </row>
  </sheetData>
  <dataValidations count="1">
    <dataValidation type="list" allowBlank="1" showInputMessage="1" showErrorMessage="1" sqref="S31" xr:uid="{00000000-0002-0000-0F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99C88-FC6B-9C44-9A90-3C9ADCE87C3A}">
  <dimension ref="A2:Z337"/>
  <sheetViews>
    <sheetView showGridLines="0" zoomScaleNormal="100" workbookViewId="0">
      <selection activeCell="C5" sqref="C5"/>
    </sheetView>
  </sheetViews>
  <sheetFormatPr baseColWidth="10" defaultRowHeight="20" outlineLevelRow="1"/>
  <cols>
    <col min="1" max="1" width="4.6640625" style="58" customWidth="1"/>
    <col min="2" max="2" width="57" style="58" customWidth="1"/>
    <col min="3" max="3" width="17.6640625" style="58" customWidth="1"/>
    <col min="4" max="4" width="5.6640625" style="64" customWidth="1"/>
    <col min="5" max="11" width="17.1640625" style="58" customWidth="1"/>
    <col min="12" max="12" width="8.83203125" style="125" customWidth="1"/>
    <col min="13" max="13" width="17.1640625" style="83" customWidth="1"/>
    <col min="14" max="16" width="17.1640625" style="58" customWidth="1"/>
    <col min="17" max="16384" width="10.83203125" style="58"/>
  </cols>
  <sheetData>
    <row r="2" spans="2:18" s="58" customFormat="1">
      <c r="B2" s="53" t="s">
        <v>353</v>
      </c>
      <c r="C2" s="54"/>
      <c r="D2" s="54"/>
      <c r="E2" s="54"/>
      <c r="F2" s="54"/>
      <c r="G2" s="54"/>
      <c r="H2" s="54"/>
      <c r="I2" s="54"/>
      <c r="J2" s="54"/>
      <c r="K2" s="54"/>
      <c r="L2" s="55"/>
      <c r="M2" s="56"/>
      <c r="N2" s="54"/>
      <c r="O2" s="57"/>
      <c r="P2" s="57"/>
      <c r="Q2" s="57"/>
      <c r="R2" s="57"/>
    </row>
    <row r="3" spans="2:18" s="58" customFormat="1">
      <c r="B3" s="59" t="s">
        <v>354</v>
      </c>
      <c r="C3" s="54"/>
      <c r="D3" s="54"/>
      <c r="E3" s="54"/>
      <c r="F3" s="54"/>
      <c r="G3" s="54"/>
      <c r="H3" s="54"/>
      <c r="I3" s="54"/>
      <c r="J3" s="54"/>
      <c r="K3" s="54"/>
      <c r="L3" s="55"/>
      <c r="M3" s="56"/>
      <c r="N3" s="54"/>
      <c r="O3" s="57"/>
      <c r="P3" s="57"/>
      <c r="Q3" s="57"/>
      <c r="R3" s="57"/>
    </row>
    <row r="4" spans="2:18" s="58" customFormat="1">
      <c r="B4" s="57"/>
      <c r="C4" s="54"/>
      <c r="D4" s="54"/>
      <c r="E4" s="54"/>
      <c r="F4" s="54"/>
      <c r="G4" s="54"/>
      <c r="H4" s="54"/>
      <c r="I4" s="54"/>
      <c r="J4" s="54"/>
      <c r="K4" s="54"/>
      <c r="L4" s="55"/>
      <c r="M4" s="56"/>
      <c r="N4" s="54"/>
      <c r="O4" s="57"/>
      <c r="P4" s="57"/>
      <c r="Q4" s="57"/>
      <c r="R4" s="57"/>
    </row>
    <row r="5" spans="2:18" s="58" customFormat="1">
      <c r="B5" s="57" t="s">
        <v>355</v>
      </c>
      <c r="C5" s="54"/>
      <c r="D5" s="60" t="s">
        <v>124</v>
      </c>
      <c r="E5" s="61">
        <v>50000</v>
      </c>
      <c r="F5" s="54"/>
      <c r="G5" s="54"/>
      <c r="H5" s="54"/>
      <c r="I5" s="54"/>
      <c r="J5" s="54"/>
      <c r="K5" s="54"/>
      <c r="L5" s="55">
        <v>1</v>
      </c>
      <c r="M5" s="56" t="s">
        <v>356</v>
      </c>
      <c r="N5" s="54"/>
      <c r="O5" s="57"/>
      <c r="P5" s="57"/>
      <c r="Q5" s="57"/>
      <c r="R5" s="57"/>
    </row>
    <row r="6" spans="2:18" s="58" customFormat="1">
      <c r="B6" s="57" t="s">
        <v>357</v>
      </c>
      <c r="C6" s="54"/>
      <c r="D6" s="54" t="s">
        <v>156</v>
      </c>
      <c r="E6" s="62">
        <f ca="1">EDATE(TODAY(),24)</f>
        <v>44693</v>
      </c>
      <c r="I6" s="54"/>
      <c r="J6" s="54"/>
      <c r="K6" s="54"/>
      <c r="L6" s="55">
        <f>IF(ISBLANK(M6),"",MAX(L$5:L5)+1)</f>
        <v>2</v>
      </c>
      <c r="M6" s="56" t="s">
        <v>358</v>
      </c>
      <c r="N6" s="54"/>
      <c r="O6" s="57"/>
      <c r="P6" s="57"/>
      <c r="Q6" s="57"/>
      <c r="R6" s="57"/>
    </row>
    <row r="7" spans="2:18" s="58" customFormat="1">
      <c r="B7" s="57" t="s">
        <v>359</v>
      </c>
      <c r="C7" s="54"/>
      <c r="D7" s="54" t="s">
        <v>22</v>
      </c>
      <c r="E7" s="63">
        <v>0.5</v>
      </c>
      <c r="I7" s="54"/>
      <c r="J7" s="54"/>
      <c r="K7" s="54"/>
      <c r="L7" s="55">
        <f>IF(ISBLANK(M7),"",MAX(L$5:L6)+1)</f>
        <v>3</v>
      </c>
      <c r="M7" s="56" t="s">
        <v>360</v>
      </c>
      <c r="N7" s="54"/>
      <c r="O7" s="57"/>
      <c r="P7" s="57"/>
      <c r="Q7" s="57"/>
      <c r="R7" s="57"/>
    </row>
    <row r="8" spans="2:18" s="58" customFormat="1">
      <c r="B8" s="57" t="s">
        <v>144</v>
      </c>
      <c r="C8" s="54"/>
      <c r="D8" s="64" t="s">
        <v>361</v>
      </c>
      <c r="E8" s="65" t="s">
        <v>145</v>
      </c>
      <c r="I8" s="54"/>
      <c r="J8" s="54"/>
      <c r="K8" s="54"/>
      <c r="L8" s="55">
        <f>IF(ISBLANK(M8),"",MAX(L$5:L7)+1)</f>
        <v>4</v>
      </c>
      <c r="M8" s="58" t="s">
        <v>362</v>
      </c>
      <c r="N8" s="54"/>
      <c r="O8" s="57"/>
      <c r="P8" s="57"/>
      <c r="Q8" s="57"/>
      <c r="R8" s="57"/>
    </row>
    <row r="9" spans="2:18" s="58" customFormat="1">
      <c r="B9" s="57" t="s">
        <v>363</v>
      </c>
      <c r="C9" s="54"/>
      <c r="D9" s="64" t="s">
        <v>361</v>
      </c>
      <c r="E9" s="66" t="str">
        <f>IF(SUM(E202:K202)=0,"yes","no")</f>
        <v>no</v>
      </c>
      <c r="I9" s="54"/>
      <c r="J9" s="54"/>
      <c r="K9" s="54"/>
      <c r="L9" s="55">
        <f>IF(ISBLANK(M9),"",MAX(L$5:L8)+1)</f>
        <v>5</v>
      </c>
      <c r="M9" s="67" t="s">
        <v>364</v>
      </c>
      <c r="N9" s="54"/>
      <c r="O9" s="57"/>
      <c r="P9" s="57"/>
      <c r="Q9" s="57"/>
      <c r="R9" s="57"/>
    </row>
    <row r="10" spans="2:18" s="58" customFormat="1">
      <c r="B10" s="57"/>
      <c r="C10" s="54"/>
      <c r="D10" s="54"/>
      <c r="E10" s="54"/>
      <c r="F10" s="54"/>
      <c r="G10" s="54"/>
      <c r="H10" s="54"/>
      <c r="I10" s="54"/>
      <c r="J10" s="54"/>
      <c r="K10" s="54"/>
      <c r="L10" s="55" t="str">
        <f>IF(ISBLANK(M10),"",MAX(L$5:L9)+1)</f>
        <v/>
      </c>
      <c r="M10" s="56"/>
      <c r="N10" s="54"/>
      <c r="O10" s="57"/>
      <c r="P10" s="57"/>
      <c r="Q10" s="57"/>
      <c r="R10" s="57"/>
    </row>
    <row r="11" spans="2:18" s="58" customFormat="1">
      <c r="B11" s="59" t="s">
        <v>365</v>
      </c>
      <c r="C11" s="54"/>
      <c r="D11" s="54"/>
      <c r="E11" s="54"/>
      <c r="F11" s="54"/>
      <c r="G11" s="54"/>
      <c r="H11" s="54"/>
      <c r="I11" s="54"/>
      <c r="J11" s="54"/>
      <c r="K11" s="54"/>
      <c r="L11" s="55">
        <f>IF(ISBLANK(M11),"",MAX(L$5:L10)+1)</f>
        <v>6</v>
      </c>
      <c r="M11" s="56" t="s">
        <v>366</v>
      </c>
      <c r="N11" s="54"/>
      <c r="O11" s="57"/>
      <c r="P11" s="57"/>
      <c r="Q11" s="57"/>
      <c r="R11" s="57"/>
    </row>
    <row r="12" spans="2:18" s="58" customFormat="1">
      <c r="B12" s="57"/>
      <c r="C12" s="54"/>
      <c r="D12" s="54"/>
      <c r="E12" s="54"/>
      <c r="F12" s="54"/>
      <c r="G12" s="54"/>
      <c r="H12" s="54"/>
      <c r="I12" s="54"/>
      <c r="J12" s="54"/>
      <c r="K12" s="54"/>
      <c r="L12" s="55" t="str">
        <f>IF(ISBLANK(M12),"",MAX(L$5:L11)+1)</f>
        <v/>
      </c>
      <c r="M12" s="56"/>
      <c r="N12" s="54"/>
      <c r="O12" s="57"/>
      <c r="P12" s="57"/>
      <c r="Q12" s="57"/>
      <c r="R12" s="57"/>
    </row>
    <row r="13" spans="2:18" s="58" customFormat="1">
      <c r="B13" s="57" t="s">
        <v>367</v>
      </c>
      <c r="C13" s="216" t="s">
        <v>577</v>
      </c>
      <c r="D13" s="54"/>
      <c r="E13" s="68" t="s">
        <v>13</v>
      </c>
      <c r="F13" s="68" t="s">
        <v>12</v>
      </c>
      <c r="G13" s="68" t="s">
        <v>11</v>
      </c>
      <c r="H13" s="68" t="s">
        <v>6</v>
      </c>
      <c r="I13" s="69" t="s">
        <v>4</v>
      </c>
      <c r="J13" s="69" t="s">
        <v>5</v>
      </c>
      <c r="K13" s="69" t="s">
        <v>3</v>
      </c>
      <c r="L13" s="55" t="str">
        <f>IF(ISBLANK(M13),"",MAX(L$5:L12)+1)</f>
        <v/>
      </c>
      <c r="M13" s="56"/>
      <c r="N13" s="54"/>
      <c r="O13" s="57"/>
      <c r="P13" s="57"/>
      <c r="Q13" s="57"/>
      <c r="R13" s="57"/>
    </row>
    <row r="14" spans="2:18" s="58" customFormat="1">
      <c r="B14" s="61" t="s">
        <v>322</v>
      </c>
      <c r="C14" s="217">
        <v>0</v>
      </c>
      <c r="D14" s="54" t="s">
        <v>130</v>
      </c>
      <c r="E14" s="61">
        <v>0</v>
      </c>
      <c r="F14" s="61">
        <v>0</v>
      </c>
      <c r="G14" s="61">
        <v>0</v>
      </c>
      <c r="H14" s="61">
        <v>0</v>
      </c>
      <c r="I14" s="61">
        <v>0</v>
      </c>
      <c r="J14" s="61">
        <v>0</v>
      </c>
      <c r="K14" s="70">
        <f t="shared" ref="K14:K22" si="0">SUM(E14:J14)</f>
        <v>0</v>
      </c>
      <c r="L14" s="55">
        <f>IF(ISBLANK(M14),"",MAX(L$5:L13)+1)</f>
        <v>7</v>
      </c>
      <c r="M14" s="56" t="s">
        <v>368</v>
      </c>
      <c r="N14" s="54"/>
      <c r="O14" s="57"/>
      <c r="P14" s="57"/>
      <c r="Q14" s="57"/>
      <c r="R14" s="57"/>
    </row>
    <row r="15" spans="2:18" s="58" customFormat="1">
      <c r="B15" s="61" t="s">
        <v>322</v>
      </c>
      <c r="C15" s="217">
        <v>0</v>
      </c>
      <c r="D15" s="54" t="s">
        <v>130</v>
      </c>
      <c r="E15" s="61">
        <v>0</v>
      </c>
      <c r="F15" s="61">
        <v>0</v>
      </c>
      <c r="G15" s="61">
        <v>0</v>
      </c>
      <c r="H15" s="61">
        <v>0</v>
      </c>
      <c r="I15" s="61">
        <v>0</v>
      </c>
      <c r="J15" s="61">
        <v>0</v>
      </c>
      <c r="K15" s="70">
        <f t="shared" si="0"/>
        <v>0</v>
      </c>
      <c r="L15" s="55" t="str">
        <f>IF(ISBLANK(M15),"",MAX(L$5:L14)+1)</f>
        <v/>
      </c>
      <c r="M15" s="56"/>
      <c r="N15" s="54"/>
      <c r="O15" s="57"/>
      <c r="P15" s="57"/>
      <c r="Q15" s="57"/>
      <c r="R15" s="57"/>
    </row>
    <row r="16" spans="2:18" s="58" customFormat="1">
      <c r="B16" s="61" t="s">
        <v>322</v>
      </c>
      <c r="C16" s="217">
        <v>0</v>
      </c>
      <c r="D16" s="54" t="s">
        <v>130</v>
      </c>
      <c r="E16" s="61">
        <v>0</v>
      </c>
      <c r="F16" s="61">
        <v>0</v>
      </c>
      <c r="G16" s="61">
        <v>0</v>
      </c>
      <c r="H16" s="61">
        <v>0</v>
      </c>
      <c r="I16" s="61">
        <v>0</v>
      </c>
      <c r="J16" s="61">
        <v>0</v>
      </c>
      <c r="K16" s="70">
        <f t="shared" si="0"/>
        <v>0</v>
      </c>
      <c r="L16" s="55" t="str">
        <f>IF(ISBLANK(M16),"",MAX(L$5:L15)+1)</f>
        <v/>
      </c>
      <c r="M16" s="56"/>
      <c r="N16" s="54"/>
      <c r="O16" s="57"/>
      <c r="P16" s="57"/>
      <c r="Q16" s="57"/>
      <c r="R16" s="57"/>
    </row>
    <row r="17" spans="2:18" s="58" customFormat="1">
      <c r="B17" s="61" t="s">
        <v>322</v>
      </c>
      <c r="C17" s="217">
        <v>0</v>
      </c>
      <c r="D17" s="54" t="s">
        <v>130</v>
      </c>
      <c r="E17" s="61">
        <v>0</v>
      </c>
      <c r="F17" s="61">
        <v>0</v>
      </c>
      <c r="G17" s="61">
        <v>0</v>
      </c>
      <c r="H17" s="61">
        <v>0</v>
      </c>
      <c r="I17" s="61">
        <v>0</v>
      </c>
      <c r="J17" s="61">
        <v>0</v>
      </c>
      <c r="K17" s="70">
        <f t="shared" si="0"/>
        <v>0</v>
      </c>
      <c r="L17" s="55" t="str">
        <f>IF(ISBLANK(M17),"",MAX(L$5:L16)+1)</f>
        <v/>
      </c>
      <c r="M17" s="56"/>
      <c r="N17" s="54"/>
      <c r="O17" s="57"/>
      <c r="P17" s="57"/>
      <c r="Q17" s="57"/>
      <c r="R17" s="57"/>
    </row>
    <row r="18" spans="2:18" s="58" customFormat="1">
      <c r="B18" s="61" t="s">
        <v>322</v>
      </c>
      <c r="C18" s="217">
        <v>0</v>
      </c>
      <c r="D18" s="54" t="s">
        <v>130</v>
      </c>
      <c r="E18" s="61">
        <v>0</v>
      </c>
      <c r="F18" s="61">
        <v>0</v>
      </c>
      <c r="G18" s="61">
        <v>0</v>
      </c>
      <c r="H18" s="61">
        <v>0</v>
      </c>
      <c r="I18" s="61">
        <v>0</v>
      </c>
      <c r="J18" s="61">
        <v>0</v>
      </c>
      <c r="K18" s="70">
        <f t="shared" si="0"/>
        <v>0</v>
      </c>
      <c r="L18" s="55" t="str">
        <f>IF(ISBLANK(M18),"",MAX(L$5:L17)+1)</f>
        <v/>
      </c>
      <c r="M18" s="56"/>
      <c r="N18" s="54"/>
      <c r="O18" s="57"/>
      <c r="P18" s="57"/>
      <c r="Q18" s="57"/>
      <c r="R18" s="57"/>
    </row>
    <row r="19" spans="2:18" s="58" customFormat="1">
      <c r="B19" s="61" t="s">
        <v>322</v>
      </c>
      <c r="C19" s="217">
        <v>0</v>
      </c>
      <c r="D19" s="54" t="s">
        <v>130</v>
      </c>
      <c r="E19" s="61">
        <v>0</v>
      </c>
      <c r="F19" s="61">
        <v>0</v>
      </c>
      <c r="G19" s="61">
        <v>0</v>
      </c>
      <c r="H19" s="61">
        <v>0</v>
      </c>
      <c r="I19" s="61">
        <v>0</v>
      </c>
      <c r="J19" s="61">
        <v>0</v>
      </c>
      <c r="K19" s="70">
        <f t="shared" si="0"/>
        <v>0</v>
      </c>
      <c r="L19" s="55" t="str">
        <f>IF(ISBLANK(M19),"",MAX(L$5:L18)+1)</f>
        <v/>
      </c>
      <c r="M19" s="56"/>
      <c r="N19" s="54"/>
      <c r="O19" s="57"/>
      <c r="P19" s="57"/>
      <c r="Q19" s="57"/>
      <c r="R19" s="57"/>
    </row>
    <row r="20" spans="2:18" s="58" customFormat="1">
      <c r="B20" s="61" t="s">
        <v>369</v>
      </c>
      <c r="C20" s="217">
        <v>0</v>
      </c>
      <c r="D20" s="54" t="s">
        <v>130</v>
      </c>
      <c r="E20" s="61">
        <v>0</v>
      </c>
      <c r="F20" s="61">
        <v>0</v>
      </c>
      <c r="G20" s="61">
        <v>0</v>
      </c>
      <c r="H20" s="61">
        <v>0</v>
      </c>
      <c r="I20" s="61">
        <v>0</v>
      </c>
      <c r="J20" s="61">
        <v>0</v>
      </c>
      <c r="K20" s="70">
        <f t="shared" si="0"/>
        <v>0</v>
      </c>
      <c r="L20" s="55" t="str">
        <f>IF(ISBLANK(M20),"",MAX(L$5:L19)+1)</f>
        <v/>
      </c>
      <c r="M20" s="56"/>
      <c r="N20" s="54"/>
      <c r="O20" s="57"/>
      <c r="P20" s="57"/>
      <c r="Q20" s="57"/>
      <c r="R20" s="57"/>
    </row>
    <row r="21" spans="2:18" s="58" customFormat="1">
      <c r="B21" s="61" t="s">
        <v>369</v>
      </c>
      <c r="C21" s="217">
        <v>0</v>
      </c>
      <c r="D21" s="54" t="s">
        <v>130</v>
      </c>
      <c r="E21" s="70">
        <v>0</v>
      </c>
      <c r="F21" s="70">
        <v>0</v>
      </c>
      <c r="G21" s="70">
        <v>0</v>
      </c>
      <c r="H21" s="70">
        <v>0</v>
      </c>
      <c r="I21" s="70">
        <v>0</v>
      </c>
      <c r="J21" s="61">
        <v>0</v>
      </c>
      <c r="K21" s="70">
        <f t="shared" si="0"/>
        <v>0</v>
      </c>
      <c r="L21" s="55">
        <f>IF(ISBLANK(M21),"",MAX(L$5:L20)+1)</f>
        <v>8</v>
      </c>
      <c r="M21" s="56" t="s">
        <v>370</v>
      </c>
      <c r="N21" s="54"/>
      <c r="O21" s="57"/>
      <c r="P21" s="57"/>
      <c r="Q21" s="57"/>
      <c r="R21" s="57"/>
    </row>
    <row r="22" spans="2:18" s="58" customFormat="1">
      <c r="B22" s="61" t="s">
        <v>8</v>
      </c>
      <c r="C22" s="217">
        <v>0</v>
      </c>
      <c r="D22" s="54" t="s">
        <v>130</v>
      </c>
      <c r="E22" s="70">
        <v>0</v>
      </c>
      <c r="F22" s="70">
        <v>0</v>
      </c>
      <c r="G22" s="70">
        <v>0</v>
      </c>
      <c r="H22" s="70">
        <v>0</v>
      </c>
      <c r="I22" s="70">
        <v>0</v>
      </c>
      <c r="J22" s="61">
        <v>0</v>
      </c>
      <c r="K22" s="70">
        <f t="shared" si="0"/>
        <v>0</v>
      </c>
      <c r="L22" s="55">
        <f>IF(ISBLANK(M22),"",MAX(L$5:L21)+1)</f>
        <v>9</v>
      </c>
      <c r="M22" s="56" t="s">
        <v>371</v>
      </c>
      <c r="N22" s="54"/>
      <c r="O22" s="57"/>
      <c r="P22" s="57"/>
      <c r="Q22" s="57"/>
      <c r="R22" s="57"/>
    </row>
    <row r="23" spans="2:18" s="58" customFormat="1">
      <c r="B23" s="57"/>
      <c r="C23" s="70"/>
      <c r="D23" s="54"/>
      <c r="E23" s="70"/>
      <c r="F23" s="70"/>
      <c r="G23" s="70"/>
      <c r="H23" s="70"/>
      <c r="I23" s="70"/>
      <c r="J23" s="70"/>
      <c r="K23" s="70"/>
      <c r="L23" s="55" t="str">
        <f>IF(ISBLANK(M23),"",MAX(L$5:L22)+1)</f>
        <v/>
      </c>
      <c r="M23" s="56"/>
      <c r="N23" s="54"/>
      <c r="O23" s="57"/>
      <c r="P23" s="57"/>
      <c r="Q23" s="57"/>
      <c r="R23" s="57"/>
    </row>
    <row r="24" spans="2:18" s="58" customFormat="1">
      <c r="B24" s="71" t="s">
        <v>372</v>
      </c>
      <c r="C24" s="218"/>
      <c r="D24" s="54" t="s">
        <v>130</v>
      </c>
      <c r="E24" s="72">
        <f t="shared" ref="E24:K24" si="1">SUM(E14:E22)</f>
        <v>0</v>
      </c>
      <c r="F24" s="72">
        <f t="shared" si="1"/>
        <v>0</v>
      </c>
      <c r="G24" s="72">
        <f t="shared" si="1"/>
        <v>0</v>
      </c>
      <c r="H24" s="72">
        <f t="shared" si="1"/>
        <v>0</v>
      </c>
      <c r="I24" s="72">
        <f t="shared" si="1"/>
        <v>0</v>
      </c>
      <c r="J24" s="72">
        <f t="shared" si="1"/>
        <v>0</v>
      </c>
      <c r="K24" s="72">
        <f t="shared" si="1"/>
        <v>0</v>
      </c>
      <c r="L24" s="55" t="str">
        <f>IF(ISBLANK(M24),"",MAX(L$5:L23)+1)</f>
        <v/>
      </c>
      <c r="M24" s="56"/>
      <c r="N24" s="54"/>
      <c r="O24" s="57"/>
      <c r="P24" s="57"/>
      <c r="Q24" s="57"/>
      <c r="R24" s="57"/>
    </row>
    <row r="25" spans="2:18" s="58" customFormat="1">
      <c r="B25" s="71" t="s">
        <v>373</v>
      </c>
      <c r="C25" s="73"/>
      <c r="D25" s="54" t="s">
        <v>22</v>
      </c>
      <c r="E25" s="73">
        <f>IFERROR(E24/$K24,0)</f>
        <v>0</v>
      </c>
      <c r="F25" s="73">
        <f t="shared" ref="F25:K25" si="2">IFERROR(F24/$K24,0)</f>
        <v>0</v>
      </c>
      <c r="G25" s="73">
        <f t="shared" si="2"/>
        <v>0</v>
      </c>
      <c r="H25" s="73">
        <f t="shared" si="2"/>
        <v>0</v>
      </c>
      <c r="I25" s="73">
        <f t="shared" si="2"/>
        <v>0</v>
      </c>
      <c r="J25" s="73">
        <f t="shared" si="2"/>
        <v>0</v>
      </c>
      <c r="K25" s="73">
        <f t="shared" si="2"/>
        <v>0</v>
      </c>
      <c r="L25" s="55" t="str">
        <f>IF(ISBLANK(M25),"",MAX(L$5:L24)+1)</f>
        <v/>
      </c>
      <c r="M25" s="56"/>
      <c r="N25" s="54"/>
      <c r="O25" s="57"/>
      <c r="P25" s="57"/>
      <c r="Q25" s="57"/>
      <c r="R25" s="57"/>
    </row>
    <row r="26" spans="2:18" s="58" customFormat="1">
      <c r="B26" s="71"/>
      <c r="C26" s="54"/>
      <c r="D26" s="54"/>
      <c r="E26" s="54"/>
      <c r="F26" s="54"/>
      <c r="G26" s="54"/>
      <c r="H26" s="54"/>
      <c r="I26" s="54"/>
      <c r="J26" s="54"/>
      <c r="K26" s="54"/>
      <c r="L26" s="55" t="str">
        <f>IF(ISBLANK(M26),"",MAX(L$5:L25)+1)</f>
        <v/>
      </c>
      <c r="M26" s="56"/>
      <c r="N26" s="54"/>
      <c r="O26" s="57"/>
      <c r="P26" s="57"/>
      <c r="Q26" s="57"/>
      <c r="R26" s="57"/>
    </row>
    <row r="27" spans="2:18" s="58" customFormat="1">
      <c r="B27" s="74" t="s">
        <v>374</v>
      </c>
      <c r="C27" s="54"/>
      <c r="D27" s="54"/>
      <c r="E27" s="54"/>
      <c r="F27" s="54"/>
      <c r="G27" s="54"/>
      <c r="H27" s="54"/>
      <c r="I27" s="54"/>
      <c r="J27" s="54"/>
      <c r="K27" s="54"/>
      <c r="L27" s="55">
        <f>IF(ISBLANK(M27),"",MAX(L$5:L26)+1)</f>
        <v>10</v>
      </c>
      <c r="M27" s="56" t="s">
        <v>375</v>
      </c>
      <c r="N27" s="54"/>
      <c r="O27" s="57"/>
      <c r="P27" s="57"/>
      <c r="Q27" s="57"/>
      <c r="R27" s="57"/>
    </row>
    <row r="28" spans="2:18" s="58" customFormat="1" outlineLevel="1">
      <c r="B28" s="71" t="str">
        <f t="shared" ref="B28:B36" si="3">B14</f>
        <v>Investor</v>
      </c>
      <c r="C28" s="70"/>
      <c r="D28" s="54" t="str">
        <f t="shared" ref="D28:D38" si="4">D$5</f>
        <v>$</v>
      </c>
      <c r="E28" s="61">
        <v>0</v>
      </c>
      <c r="F28" s="61">
        <v>0</v>
      </c>
      <c r="G28" s="61">
        <v>0</v>
      </c>
      <c r="H28" s="61">
        <v>0</v>
      </c>
      <c r="I28" s="61">
        <v>0</v>
      </c>
      <c r="J28" s="61">
        <v>0</v>
      </c>
      <c r="K28" s="70">
        <f t="shared" ref="K28:K36" si="5">SUM(E28:J28)</f>
        <v>0</v>
      </c>
      <c r="L28" s="55">
        <f>IF(ISBLANK(M28),"",MAX(L$5:L27)+1)</f>
        <v>11</v>
      </c>
      <c r="M28" s="56" t="s">
        <v>376</v>
      </c>
      <c r="N28" s="54"/>
      <c r="O28" s="57"/>
      <c r="P28" s="57"/>
      <c r="Q28" s="57"/>
      <c r="R28" s="57"/>
    </row>
    <row r="29" spans="2:18" s="58" customFormat="1" outlineLevel="1">
      <c r="B29" s="71" t="str">
        <f t="shared" si="3"/>
        <v>Investor</v>
      </c>
      <c r="C29" s="70"/>
      <c r="D29" s="54" t="str">
        <f t="shared" si="4"/>
        <v>$</v>
      </c>
      <c r="E29" s="61">
        <v>0</v>
      </c>
      <c r="F29" s="61">
        <v>0</v>
      </c>
      <c r="G29" s="61">
        <v>0</v>
      </c>
      <c r="H29" s="61">
        <v>0</v>
      </c>
      <c r="I29" s="61">
        <v>0</v>
      </c>
      <c r="J29" s="61">
        <v>0</v>
      </c>
      <c r="K29" s="70">
        <f t="shared" si="5"/>
        <v>0</v>
      </c>
      <c r="L29" s="55" t="str">
        <f>IF(ISBLANK(M29),"",MAX(L$5:L28)+1)</f>
        <v/>
      </c>
      <c r="M29" s="56"/>
      <c r="N29" s="54"/>
      <c r="O29" s="57"/>
      <c r="P29" s="57"/>
      <c r="Q29" s="57"/>
      <c r="R29" s="57"/>
    </row>
    <row r="30" spans="2:18" s="58" customFormat="1" outlineLevel="1">
      <c r="B30" s="71" t="str">
        <f t="shared" si="3"/>
        <v>Investor</v>
      </c>
      <c r="C30" s="70"/>
      <c r="D30" s="54" t="str">
        <f t="shared" si="4"/>
        <v>$</v>
      </c>
      <c r="E30" s="61">
        <v>0</v>
      </c>
      <c r="F30" s="61">
        <v>0</v>
      </c>
      <c r="G30" s="61">
        <v>0</v>
      </c>
      <c r="H30" s="61">
        <v>0</v>
      </c>
      <c r="I30" s="61">
        <v>0</v>
      </c>
      <c r="J30" s="61">
        <v>0</v>
      </c>
      <c r="K30" s="70">
        <f t="shared" si="5"/>
        <v>0</v>
      </c>
      <c r="L30" s="55" t="str">
        <f>IF(ISBLANK(M30),"",MAX(L$5:L29)+1)</f>
        <v/>
      </c>
      <c r="M30" s="56"/>
      <c r="N30" s="54"/>
      <c r="O30" s="57"/>
      <c r="P30" s="57"/>
      <c r="Q30" s="57"/>
      <c r="R30" s="57"/>
    </row>
    <row r="31" spans="2:18" s="58" customFormat="1" outlineLevel="1">
      <c r="B31" s="71" t="str">
        <f t="shared" si="3"/>
        <v>Investor</v>
      </c>
      <c r="C31" s="70"/>
      <c r="D31" s="54" t="str">
        <f t="shared" si="4"/>
        <v>$</v>
      </c>
      <c r="E31" s="61">
        <v>0</v>
      </c>
      <c r="F31" s="61">
        <v>0</v>
      </c>
      <c r="G31" s="61">
        <v>0</v>
      </c>
      <c r="H31" s="61">
        <v>0</v>
      </c>
      <c r="I31" s="61">
        <v>0</v>
      </c>
      <c r="J31" s="61">
        <v>0</v>
      </c>
      <c r="K31" s="70">
        <f t="shared" si="5"/>
        <v>0</v>
      </c>
      <c r="L31" s="55" t="str">
        <f>IF(ISBLANK(M31),"",MAX(L$5:L30)+1)</f>
        <v/>
      </c>
      <c r="M31" s="56"/>
      <c r="N31" s="54"/>
      <c r="O31" s="57"/>
      <c r="P31" s="57"/>
      <c r="Q31" s="57"/>
      <c r="R31" s="57"/>
    </row>
    <row r="32" spans="2:18" s="58" customFormat="1" outlineLevel="1">
      <c r="B32" s="71" t="str">
        <f t="shared" si="3"/>
        <v>Investor</v>
      </c>
      <c r="C32" s="70"/>
      <c r="D32" s="54" t="str">
        <f t="shared" si="4"/>
        <v>$</v>
      </c>
      <c r="E32" s="61">
        <v>0</v>
      </c>
      <c r="F32" s="61">
        <v>0</v>
      </c>
      <c r="G32" s="61">
        <v>0</v>
      </c>
      <c r="H32" s="61">
        <v>0</v>
      </c>
      <c r="I32" s="61">
        <v>0</v>
      </c>
      <c r="J32" s="61">
        <v>0</v>
      </c>
      <c r="K32" s="70">
        <f t="shared" si="5"/>
        <v>0</v>
      </c>
      <c r="L32" s="55" t="str">
        <f>IF(ISBLANK(M32),"",MAX(L$5:L31)+1)</f>
        <v/>
      </c>
      <c r="M32" s="56"/>
      <c r="N32" s="54"/>
      <c r="O32" s="57"/>
      <c r="P32" s="57"/>
      <c r="Q32" s="57"/>
      <c r="R32" s="57"/>
    </row>
    <row r="33" spans="2:18" s="58" customFormat="1" outlineLevel="1">
      <c r="B33" s="71" t="str">
        <f t="shared" si="3"/>
        <v>Investor</v>
      </c>
      <c r="C33" s="70"/>
      <c r="D33" s="54" t="str">
        <f t="shared" si="4"/>
        <v>$</v>
      </c>
      <c r="E33" s="61">
        <v>0</v>
      </c>
      <c r="F33" s="61">
        <v>0</v>
      </c>
      <c r="G33" s="61">
        <v>0</v>
      </c>
      <c r="H33" s="61">
        <v>0</v>
      </c>
      <c r="I33" s="61">
        <v>0</v>
      </c>
      <c r="J33" s="61">
        <v>0</v>
      </c>
      <c r="K33" s="70">
        <f t="shared" si="5"/>
        <v>0</v>
      </c>
      <c r="L33" s="55" t="str">
        <f>IF(ISBLANK(M33),"",MAX(L$5:L32)+1)</f>
        <v/>
      </c>
      <c r="M33" s="56"/>
      <c r="N33" s="54"/>
      <c r="O33" s="57"/>
      <c r="P33" s="57"/>
      <c r="Q33" s="57"/>
      <c r="R33" s="57"/>
    </row>
    <row r="34" spans="2:18" s="58" customFormat="1" outlineLevel="1">
      <c r="B34" s="71" t="str">
        <f t="shared" si="3"/>
        <v>Options Exercised</v>
      </c>
      <c r="C34" s="70"/>
      <c r="D34" s="54" t="str">
        <f t="shared" si="4"/>
        <v>$</v>
      </c>
      <c r="E34" s="61">
        <v>0</v>
      </c>
      <c r="F34" s="61">
        <v>0</v>
      </c>
      <c r="G34" s="61">
        <v>0</v>
      </c>
      <c r="H34" s="61">
        <v>0</v>
      </c>
      <c r="I34" s="61">
        <v>0</v>
      </c>
      <c r="J34" s="61">
        <v>0</v>
      </c>
      <c r="K34" s="70">
        <f t="shared" si="5"/>
        <v>0</v>
      </c>
      <c r="L34" s="55" t="str">
        <f>IF(ISBLANK(M34),"",MAX(L$5:L33)+1)</f>
        <v/>
      </c>
      <c r="M34" s="56"/>
      <c r="N34" s="54"/>
      <c r="O34" s="57"/>
      <c r="P34" s="57"/>
      <c r="Q34" s="57"/>
      <c r="R34" s="57"/>
    </row>
    <row r="35" spans="2:18" s="58" customFormat="1" outlineLevel="1">
      <c r="B35" s="71" t="str">
        <f t="shared" si="3"/>
        <v>Options Exercised</v>
      </c>
      <c r="C35" s="70"/>
      <c r="D35" s="54" t="str">
        <f t="shared" si="4"/>
        <v>$</v>
      </c>
      <c r="E35" s="61">
        <v>0</v>
      </c>
      <c r="F35" s="61">
        <v>0</v>
      </c>
      <c r="G35" s="61">
        <v>0</v>
      </c>
      <c r="H35" s="61">
        <v>0</v>
      </c>
      <c r="I35" s="61">
        <v>0</v>
      </c>
      <c r="J35" s="61">
        <v>0</v>
      </c>
      <c r="K35" s="70">
        <f t="shared" si="5"/>
        <v>0</v>
      </c>
      <c r="L35" s="55" t="str">
        <f>IF(ISBLANK(M35),"",MAX(L$5:L34)+1)</f>
        <v/>
      </c>
      <c r="M35" s="56"/>
      <c r="N35" s="54"/>
      <c r="O35" s="57"/>
      <c r="P35" s="57"/>
      <c r="Q35" s="57"/>
      <c r="R35" s="57"/>
    </row>
    <row r="36" spans="2:18" s="58" customFormat="1" outlineLevel="1">
      <c r="B36" s="71" t="str">
        <f t="shared" si="3"/>
        <v>Option Pool</v>
      </c>
      <c r="C36" s="70"/>
      <c r="D36" s="54" t="str">
        <f t="shared" si="4"/>
        <v>$</v>
      </c>
      <c r="E36" s="61">
        <v>0</v>
      </c>
      <c r="F36" s="61">
        <v>0</v>
      </c>
      <c r="G36" s="61">
        <v>0</v>
      </c>
      <c r="H36" s="61">
        <v>0</v>
      </c>
      <c r="I36" s="61">
        <v>0</v>
      </c>
      <c r="J36" s="61">
        <v>0</v>
      </c>
      <c r="K36" s="70">
        <f t="shared" si="5"/>
        <v>0</v>
      </c>
      <c r="L36" s="55" t="str">
        <f>IF(ISBLANK(M36),"",MAX(L$5:L35)+1)</f>
        <v/>
      </c>
      <c r="M36" s="56"/>
      <c r="N36" s="54"/>
      <c r="O36" s="57"/>
      <c r="P36" s="57"/>
      <c r="Q36" s="57"/>
      <c r="R36" s="57"/>
    </row>
    <row r="37" spans="2:18" s="58" customFormat="1" outlineLevel="1">
      <c r="B37" s="71"/>
      <c r="C37" s="54"/>
      <c r="D37" s="54"/>
      <c r="E37" s="54"/>
      <c r="F37" s="54"/>
      <c r="G37" s="54"/>
      <c r="H37" s="54"/>
      <c r="I37" s="54"/>
      <c r="J37" s="54"/>
      <c r="K37" s="54"/>
      <c r="L37" s="55" t="str">
        <f>IF(ISBLANK(M37),"",MAX(L$5:L36)+1)</f>
        <v/>
      </c>
      <c r="M37" s="56"/>
      <c r="N37" s="54"/>
      <c r="O37" s="57"/>
      <c r="P37" s="57"/>
      <c r="Q37" s="57"/>
      <c r="R37" s="57"/>
    </row>
    <row r="38" spans="2:18" s="58" customFormat="1" outlineLevel="1">
      <c r="B38" s="71" t="s">
        <v>377</v>
      </c>
      <c r="C38" s="76"/>
      <c r="D38" s="54" t="str">
        <f t="shared" si="4"/>
        <v>$</v>
      </c>
      <c r="E38" s="75">
        <f t="shared" ref="E38:J38" si="6">SUM(E28:E36)</f>
        <v>0</v>
      </c>
      <c r="F38" s="75">
        <f t="shared" si="6"/>
        <v>0</v>
      </c>
      <c r="G38" s="75">
        <f t="shared" si="6"/>
        <v>0</v>
      </c>
      <c r="H38" s="75">
        <f t="shared" si="6"/>
        <v>0</v>
      </c>
      <c r="I38" s="75">
        <f t="shared" si="6"/>
        <v>0</v>
      </c>
      <c r="J38" s="75">
        <f t="shared" si="6"/>
        <v>0</v>
      </c>
      <c r="K38" s="76">
        <f>SUM(E38:J38)</f>
        <v>0</v>
      </c>
      <c r="L38" s="55">
        <f>IF(ISBLANK(M38),"",MAX(L$5:L37)+1)</f>
        <v>12</v>
      </c>
      <c r="M38" s="56" t="s">
        <v>378</v>
      </c>
      <c r="N38" s="54"/>
      <c r="O38" s="57"/>
      <c r="P38" s="57"/>
      <c r="Q38" s="57"/>
      <c r="R38" s="57"/>
    </row>
    <row r="39" spans="2:18" s="58" customFormat="1" outlineLevel="1">
      <c r="B39" s="71" t="s">
        <v>379</v>
      </c>
      <c r="C39" s="76"/>
      <c r="D39" s="54" t="str">
        <f>D$5</f>
        <v>$</v>
      </c>
      <c r="E39" s="61">
        <f t="shared" ref="E39:G39" si="7">E40*E24</f>
        <v>0</v>
      </c>
      <c r="F39" s="61">
        <f t="shared" si="7"/>
        <v>0</v>
      </c>
      <c r="G39" s="61">
        <f t="shared" si="7"/>
        <v>0</v>
      </c>
      <c r="H39" s="61">
        <f>H40*H24</f>
        <v>0</v>
      </c>
      <c r="I39" s="61">
        <f>SUM(I28:I36)</f>
        <v>0</v>
      </c>
      <c r="J39" s="61">
        <f>SUM(J28:J36)</f>
        <v>0</v>
      </c>
      <c r="K39" s="76">
        <f>SUM(E39:J39)</f>
        <v>0</v>
      </c>
      <c r="L39" s="55">
        <f>IF(ISBLANK(M39),"",MAX(L$5:L38)+1)</f>
        <v>13</v>
      </c>
      <c r="M39" s="56" t="s">
        <v>380</v>
      </c>
      <c r="N39" s="54"/>
      <c r="O39" s="57"/>
      <c r="P39" s="57"/>
      <c r="Q39" s="57"/>
      <c r="R39" s="57"/>
    </row>
    <row r="40" spans="2:18" s="58" customFormat="1" outlineLevel="1">
      <c r="B40" s="71" t="s">
        <v>381</v>
      </c>
      <c r="C40" s="78"/>
      <c r="D40" s="54" t="str">
        <f>D$5</f>
        <v>$</v>
      </c>
      <c r="E40" s="77">
        <v>0</v>
      </c>
      <c r="F40" s="77">
        <v>0</v>
      </c>
      <c r="G40" s="77">
        <v>0</v>
      </c>
      <c r="H40" s="77">
        <v>0</v>
      </c>
      <c r="I40" s="77">
        <v>0</v>
      </c>
      <c r="J40" s="77">
        <v>0</v>
      </c>
      <c r="K40" s="78" t="s">
        <v>7</v>
      </c>
      <c r="L40" s="55">
        <f>IF(ISBLANK(M40),"",MAX(L$5:L39)+1)</f>
        <v>14</v>
      </c>
      <c r="M40" s="56" t="s">
        <v>382</v>
      </c>
      <c r="N40" s="54"/>
      <c r="O40" s="57"/>
      <c r="P40" s="57"/>
      <c r="Q40" s="57"/>
      <c r="R40" s="57"/>
    </row>
    <row r="41" spans="2:18" s="58" customFormat="1" outlineLevel="1">
      <c r="B41" s="71" t="s">
        <v>383</v>
      </c>
      <c r="C41" s="54"/>
      <c r="D41" s="54" t="s">
        <v>156</v>
      </c>
      <c r="E41" s="62">
        <f ca="1">EDATE(TODAY(),0)</f>
        <v>43963</v>
      </c>
      <c r="F41" s="62">
        <f ca="1">EDATE(TODAY(),0)</f>
        <v>43963</v>
      </c>
      <c r="G41" s="62">
        <f ca="1">EDATE(TODAY(),0)</f>
        <v>43963</v>
      </c>
      <c r="H41" s="62">
        <f ca="1">EDATE(TODAY(),0)</f>
        <v>43963</v>
      </c>
      <c r="I41" s="66" t="s">
        <v>7</v>
      </c>
      <c r="J41" s="66" t="s">
        <v>7</v>
      </c>
      <c r="K41" s="54"/>
      <c r="L41" s="55">
        <f>IF(ISBLANK(M41),"",MAX(L$5:L40)+1)</f>
        <v>15</v>
      </c>
      <c r="M41" s="56" t="s">
        <v>384</v>
      </c>
      <c r="N41" s="54"/>
      <c r="O41" s="57"/>
      <c r="P41" s="57"/>
      <c r="Q41" s="57"/>
      <c r="R41" s="57"/>
    </row>
    <row r="42" spans="2:18" s="58" customFormat="1">
      <c r="B42" s="74"/>
      <c r="C42" s="54"/>
      <c r="D42" s="54"/>
      <c r="E42" s="54"/>
      <c r="F42" s="54"/>
      <c r="G42" s="54"/>
      <c r="H42" s="54"/>
      <c r="I42" s="54"/>
      <c r="J42" s="54"/>
      <c r="K42" s="54"/>
      <c r="L42" s="55" t="str">
        <f>IF(ISBLANK(M42),"",MAX(L$5:L41)+1)</f>
        <v/>
      </c>
      <c r="M42" s="56"/>
      <c r="N42" s="54"/>
      <c r="O42" s="57"/>
      <c r="P42" s="57"/>
      <c r="Q42" s="57"/>
      <c r="R42" s="57"/>
    </row>
    <row r="43" spans="2:18" s="58" customFormat="1">
      <c r="B43" s="74" t="s">
        <v>385</v>
      </c>
      <c r="C43" s="54"/>
      <c r="D43" s="54"/>
      <c r="E43" s="54"/>
      <c r="F43" s="54"/>
      <c r="G43" s="54"/>
      <c r="H43" s="54"/>
      <c r="I43" s="54"/>
      <c r="J43" s="54"/>
      <c r="K43" s="54"/>
      <c r="L43" s="55">
        <f>IF(ISBLANK(M43),"",MAX(L$5:L42)+1)</f>
        <v>16</v>
      </c>
      <c r="M43" s="56" t="s">
        <v>386</v>
      </c>
      <c r="N43" s="54"/>
      <c r="O43" s="57"/>
      <c r="P43" s="57"/>
      <c r="Q43" s="57"/>
      <c r="R43" s="57"/>
    </row>
    <row r="44" spans="2:18" s="58" customFormat="1" outlineLevel="1">
      <c r="B44" s="71" t="s">
        <v>387</v>
      </c>
      <c r="C44" s="54"/>
      <c r="D44" s="54" t="s">
        <v>156</v>
      </c>
      <c r="E44" s="79" t="str">
        <f t="shared" ref="E44:G44" si="8">$B336</f>
        <v>Not Declared</v>
      </c>
      <c r="F44" s="79" t="str">
        <f t="shared" si="8"/>
        <v>Not Declared</v>
      </c>
      <c r="G44" s="79" t="str">
        <f t="shared" si="8"/>
        <v>Not Declared</v>
      </c>
      <c r="H44" s="79" t="str">
        <f>$B336</f>
        <v>Not Declared</v>
      </c>
      <c r="I44" s="66" t="str">
        <f>I45</f>
        <v>na</v>
      </c>
      <c r="J44" s="66" t="str">
        <f>J45</f>
        <v>na</v>
      </c>
      <c r="K44" s="54"/>
      <c r="L44" s="55">
        <f>IF(ISBLANK(M44),"",MAX(L$5:L43)+1)</f>
        <v>17</v>
      </c>
      <c r="M44" s="56" t="s">
        <v>388</v>
      </c>
      <c r="N44" s="54"/>
      <c r="O44" s="57"/>
      <c r="P44" s="57"/>
      <c r="Q44" s="57"/>
      <c r="R44" s="57"/>
    </row>
    <row r="45" spans="2:18" s="58" customFormat="1" outlineLevel="1">
      <c r="B45" s="71" t="s">
        <v>389</v>
      </c>
      <c r="C45" s="54"/>
      <c r="D45" s="54" t="s">
        <v>22</v>
      </c>
      <c r="E45" s="63">
        <v>0.05</v>
      </c>
      <c r="F45" s="63">
        <v>0.05</v>
      </c>
      <c r="G45" s="63">
        <v>0.05</v>
      </c>
      <c r="H45" s="63">
        <v>0.05</v>
      </c>
      <c r="I45" s="66" t="s">
        <v>7</v>
      </c>
      <c r="J45" s="66" t="s">
        <v>7</v>
      </c>
      <c r="K45" s="54"/>
      <c r="L45" s="55">
        <f>IF(ISBLANK(M45),"",MAX(L$5:L44)+1)</f>
        <v>18</v>
      </c>
      <c r="M45" s="56" t="s">
        <v>390</v>
      </c>
      <c r="N45" s="54"/>
      <c r="O45" s="57"/>
      <c r="P45" s="57"/>
      <c r="Q45" s="57"/>
      <c r="R45" s="57"/>
    </row>
    <row r="46" spans="2:18" s="58" customFormat="1">
      <c r="B46" s="71"/>
      <c r="C46" s="54"/>
      <c r="D46" s="54"/>
      <c r="E46" s="54"/>
      <c r="F46" s="54"/>
      <c r="G46" s="54"/>
      <c r="H46" s="54"/>
      <c r="I46" s="54"/>
      <c r="J46" s="54"/>
      <c r="K46" s="54"/>
      <c r="L46" s="55" t="str">
        <f>IF(ISBLANK(M46),"",MAX(L$5:L45)+1)</f>
        <v/>
      </c>
      <c r="M46" s="56"/>
      <c r="N46" s="54"/>
      <c r="O46" s="57"/>
      <c r="P46" s="57"/>
      <c r="Q46" s="57"/>
      <c r="R46" s="57"/>
    </row>
    <row r="47" spans="2:18" s="58" customFormat="1">
      <c r="B47" s="74" t="s">
        <v>391</v>
      </c>
      <c r="C47" s="57"/>
      <c r="D47" s="59"/>
      <c r="E47" s="54"/>
      <c r="F47" s="54"/>
      <c r="G47" s="54"/>
      <c r="H47" s="80"/>
      <c r="I47" s="57"/>
      <c r="J47" s="57"/>
      <c r="K47" s="57"/>
      <c r="L47" s="55">
        <f>IF(ISBLANK(M47),"",MAX(L$5:L46)+1)</f>
        <v>19</v>
      </c>
      <c r="M47" s="56" t="s">
        <v>392</v>
      </c>
      <c r="N47" s="57"/>
      <c r="O47" s="57"/>
      <c r="P47" s="57"/>
    </row>
    <row r="48" spans="2:18" s="58" customFormat="1" outlineLevel="1">
      <c r="B48" s="71" t="s">
        <v>393</v>
      </c>
      <c r="C48" s="57"/>
      <c r="D48" s="81" t="s">
        <v>130</v>
      </c>
      <c r="E48" s="79">
        <v>1</v>
      </c>
      <c r="F48" s="79">
        <v>1</v>
      </c>
      <c r="G48" s="79">
        <v>1</v>
      </c>
      <c r="H48" s="79">
        <v>1</v>
      </c>
      <c r="I48" s="66" t="s">
        <v>7</v>
      </c>
      <c r="J48" s="66" t="s">
        <v>7</v>
      </c>
      <c r="K48" s="57"/>
      <c r="L48" s="55" t="str">
        <f>IF(ISBLANK(M48),"",MAX(L$5:L47)+1)</f>
        <v/>
      </c>
      <c r="M48" s="56"/>
      <c r="N48" s="57"/>
      <c r="O48" s="57"/>
      <c r="P48" s="57"/>
    </row>
    <row r="49" spans="2:26" s="58" customFormat="1" outlineLevel="1">
      <c r="B49" s="71" t="s">
        <v>391</v>
      </c>
      <c r="C49" s="76"/>
      <c r="D49" s="54" t="str">
        <f>D$5</f>
        <v>$</v>
      </c>
      <c r="E49" s="76">
        <f>E39*E48</f>
        <v>0</v>
      </c>
      <c r="F49" s="76">
        <f>F39*F48</f>
        <v>0</v>
      </c>
      <c r="G49" s="76">
        <f>G39*G48</f>
        <v>0</v>
      </c>
      <c r="H49" s="76">
        <f>H39*H48</f>
        <v>0</v>
      </c>
      <c r="I49" s="66">
        <v>0</v>
      </c>
      <c r="J49" s="66">
        <v>0</v>
      </c>
      <c r="K49" s="76">
        <f>SUM(E49:J49)</f>
        <v>0</v>
      </c>
      <c r="L49" s="55">
        <f>IF(ISBLANK(M49),"",MAX(L$5:L48)+1)</f>
        <v>20</v>
      </c>
      <c r="M49" s="56" t="s">
        <v>394</v>
      </c>
      <c r="O49" s="57"/>
      <c r="Z49" s="70">
        <f>SUMIFS(E49:H49,E50:H50,"&lt;&gt;"&amp;B329)</f>
        <v>0</v>
      </c>
    </row>
    <row r="50" spans="2:26" s="58" customFormat="1" outlineLevel="1">
      <c r="B50" s="71" t="s">
        <v>395</v>
      </c>
      <c r="D50" s="54" t="s">
        <v>156</v>
      </c>
      <c r="E50" s="82" t="s">
        <v>396</v>
      </c>
      <c r="F50" s="82" t="s">
        <v>396</v>
      </c>
      <c r="G50" s="82" t="s">
        <v>396</v>
      </c>
      <c r="H50" s="82" t="s">
        <v>396</v>
      </c>
      <c r="I50" s="66" t="s">
        <v>7</v>
      </c>
      <c r="J50" s="66" t="s">
        <v>7</v>
      </c>
      <c r="L50" s="55">
        <f>IF(ISBLANK(M50),"",MAX(L$5:L49)+1)</f>
        <v>21</v>
      </c>
      <c r="M50" s="56" t="s">
        <v>397</v>
      </c>
    </row>
    <row r="51" spans="2:26" s="58" customFormat="1" outlineLevel="1">
      <c r="B51" s="71" t="s">
        <v>398</v>
      </c>
      <c r="D51" s="54" t="s">
        <v>130</v>
      </c>
      <c r="E51" s="79">
        <v>2</v>
      </c>
      <c r="F51" s="79">
        <v>2</v>
      </c>
      <c r="G51" s="79">
        <v>2</v>
      </c>
      <c r="H51" s="79">
        <v>1</v>
      </c>
      <c r="I51" s="66" t="s">
        <v>7</v>
      </c>
      <c r="J51" s="66" t="s">
        <v>7</v>
      </c>
      <c r="L51" s="55">
        <f>IF(ISBLANK(M51),"",MAX(L$5:L50)+1)</f>
        <v>22</v>
      </c>
      <c r="M51" s="56" t="s">
        <v>399</v>
      </c>
    </row>
    <row r="52" spans="2:26" s="58" customFormat="1" outlineLevel="1">
      <c r="B52" s="71" t="s">
        <v>400</v>
      </c>
      <c r="C52" s="76"/>
      <c r="D52" s="54" t="str">
        <f>D$5</f>
        <v>$</v>
      </c>
      <c r="E52" s="70">
        <f>IF($E$50=$B$330,E39*E51,0)</f>
        <v>0</v>
      </c>
      <c r="F52" s="70">
        <f>IF($E$50=$B$330,F39*F51,0)</f>
        <v>0</v>
      </c>
      <c r="G52" s="70">
        <f>IF($E$50=$B$330,G39*G51,0)</f>
        <v>0</v>
      </c>
      <c r="H52" s="70">
        <f>IF($E$50=$B$330,H39*H51,0)</f>
        <v>0</v>
      </c>
      <c r="I52" s="70">
        <v>0</v>
      </c>
      <c r="J52" s="70">
        <v>0</v>
      </c>
      <c r="K52" s="76">
        <f>SUM(E52:J52)</f>
        <v>0</v>
      </c>
      <c r="L52" s="55" t="str">
        <f>IF(ISBLANK(M52),"",MAX(L$5:L51)+1)</f>
        <v/>
      </c>
      <c r="M52" s="83"/>
      <c r="N52" s="54"/>
      <c r="O52" s="54"/>
      <c r="P52" s="54"/>
      <c r="Q52" s="57"/>
      <c r="R52" s="57"/>
    </row>
    <row r="53" spans="2:26" s="58" customFormat="1" outlineLevel="1">
      <c r="B53" s="71" t="s">
        <v>401</v>
      </c>
      <c r="D53" s="54" t="s">
        <v>130</v>
      </c>
      <c r="E53" s="79">
        <v>1</v>
      </c>
      <c r="F53" s="79">
        <v>1</v>
      </c>
      <c r="G53" s="79">
        <v>1</v>
      </c>
      <c r="H53" s="79">
        <v>1</v>
      </c>
      <c r="I53" s="84">
        <v>1</v>
      </c>
      <c r="J53" s="84">
        <v>1</v>
      </c>
      <c r="L53" s="55" t="str">
        <f>IF(ISBLANK(M53),"",MAX(L$5:L52)+1)</f>
        <v/>
      </c>
      <c r="M53" s="83"/>
      <c r="N53" s="54"/>
      <c r="O53" s="54"/>
      <c r="P53" s="54"/>
      <c r="Q53" s="57"/>
      <c r="R53" s="57"/>
    </row>
    <row r="54" spans="2:26" s="58" customFormat="1">
      <c r="B54" s="71"/>
      <c r="C54" s="54"/>
      <c r="D54" s="54"/>
      <c r="E54" s="54"/>
      <c r="F54" s="54"/>
      <c r="G54" s="54"/>
      <c r="H54" s="54"/>
      <c r="I54" s="54"/>
      <c r="J54" s="54"/>
      <c r="K54" s="54"/>
      <c r="L54" s="55" t="str">
        <f>IF(ISBLANK(M54),"",MAX(L$5:L53)+1)</f>
        <v/>
      </c>
      <c r="M54" s="83"/>
      <c r="N54" s="54"/>
      <c r="O54" s="54"/>
      <c r="P54" s="54"/>
      <c r="Q54" s="57"/>
      <c r="R54" s="57"/>
    </row>
    <row r="55" spans="2:26" s="58" customFormat="1">
      <c r="B55" s="74" t="s">
        <v>402</v>
      </c>
      <c r="E55" s="66"/>
      <c r="F55" s="66"/>
      <c r="L55" s="55">
        <f>IF(ISBLANK(M55),"",MAX(L$5:L54)+1)</f>
        <v>23</v>
      </c>
      <c r="M55" s="58" t="s">
        <v>403</v>
      </c>
      <c r="O55" s="54"/>
      <c r="P55" s="54"/>
      <c r="Q55" s="57"/>
      <c r="R55" s="57"/>
    </row>
    <row r="56" spans="2:26" s="58" customFormat="1" outlineLevel="1">
      <c r="B56" s="71" t="s">
        <v>404</v>
      </c>
      <c r="C56" s="66"/>
      <c r="D56" s="54" t="s">
        <v>156</v>
      </c>
      <c r="E56" s="66" t="str">
        <f t="shared" ref="E56:J56" si="9">E13</f>
        <v>C</v>
      </c>
      <c r="F56" s="66" t="str">
        <f t="shared" si="9"/>
        <v>B</v>
      </c>
      <c r="G56" s="66" t="str">
        <f t="shared" si="9"/>
        <v>A</v>
      </c>
      <c r="H56" s="66" t="str">
        <f t="shared" si="9"/>
        <v>Seed</v>
      </c>
      <c r="I56" s="66" t="str">
        <f t="shared" si="9"/>
        <v>Common</v>
      </c>
      <c r="J56" s="66" t="str">
        <f t="shared" si="9"/>
        <v>Options</v>
      </c>
      <c r="K56" s="66" t="s">
        <v>7</v>
      </c>
      <c r="L56" s="55">
        <f>IF(ISBLANK(M56),"",MAX(L$5:L55)+1)</f>
        <v>24</v>
      </c>
      <c r="M56" s="58" t="s">
        <v>405</v>
      </c>
      <c r="O56" s="54"/>
      <c r="P56" s="54"/>
      <c r="Q56" s="57"/>
      <c r="R56" s="57"/>
    </row>
    <row r="57" spans="2:26" s="58" customFormat="1" outlineLevel="1">
      <c r="B57" s="71" t="s">
        <v>406</v>
      </c>
      <c r="C57" s="66"/>
      <c r="D57" s="54" t="s">
        <v>156</v>
      </c>
      <c r="E57" s="85" t="str">
        <f>E56</f>
        <v>C</v>
      </c>
      <c r="F57" s="85" t="str">
        <f>F56</f>
        <v>B</v>
      </c>
      <c r="G57" s="85" t="str">
        <f>G56</f>
        <v>A</v>
      </c>
      <c r="H57" s="85" t="str">
        <f>H56</f>
        <v>Seed</v>
      </c>
      <c r="I57" s="85" t="str">
        <f>I56</f>
        <v>Common</v>
      </c>
      <c r="J57" s="66" t="str">
        <f>I57</f>
        <v>Common</v>
      </c>
      <c r="K57" s="66" t="s">
        <v>7</v>
      </c>
      <c r="L57" s="55">
        <f>IF(ISBLANK(M57),"",MAX(L$5:L56)+1)</f>
        <v>25</v>
      </c>
      <c r="M57" s="58" t="s">
        <v>407</v>
      </c>
      <c r="O57" s="54"/>
      <c r="P57" s="54"/>
      <c r="Q57" s="57"/>
      <c r="R57" s="57"/>
    </row>
    <row r="58" spans="2:26" s="58" customFormat="1" outlineLevel="1">
      <c r="B58" s="71"/>
      <c r="C58" s="88"/>
      <c r="D58" s="86"/>
      <c r="E58" s="87"/>
      <c r="F58" s="87"/>
      <c r="G58" s="87"/>
      <c r="H58" s="87"/>
      <c r="I58" s="87"/>
      <c r="J58" s="88"/>
      <c r="K58" s="88"/>
      <c r="L58" s="55"/>
      <c r="O58" s="86"/>
      <c r="P58" s="86"/>
      <c r="Q58" s="71"/>
      <c r="R58" s="71"/>
    </row>
    <row r="59" spans="2:26" s="58" customFormat="1" outlineLevel="1">
      <c r="B59" s="71" t="s">
        <v>408</v>
      </c>
      <c r="C59" s="76"/>
      <c r="D59" s="54" t="s">
        <v>130</v>
      </c>
      <c r="E59" s="89" cm="1">
        <f t="array" ref="E59">SUMPRODUCT($E24:$J24,--($E57:$J57=E13))</f>
        <v>0</v>
      </c>
      <c r="F59" s="89" cm="1">
        <f t="array" ref="F59">SUMPRODUCT($E24:$J24,--($E57:$J57=F13))</f>
        <v>0</v>
      </c>
      <c r="G59" s="89" cm="1">
        <f t="array" ref="G59">SUMPRODUCT($E24:$J24,--($E57:$J57=G13))</f>
        <v>0</v>
      </c>
      <c r="H59" s="89" cm="1">
        <f t="array" ref="H59">SUMPRODUCT($E24:$J24,--($E57:$J57=H13))</f>
        <v>0</v>
      </c>
      <c r="I59" s="89" cm="1">
        <f t="array" ref="I59">SUMPRODUCT($E24:$J24,--($E57:$J57=I13))</f>
        <v>0</v>
      </c>
      <c r="J59" s="66" cm="1">
        <f t="array" ref="J59">SUMPRODUCT($E24:$J24,--($E57:$J57=J13))</f>
        <v>0</v>
      </c>
      <c r="K59" s="76">
        <f>SUM(E59:J59)</f>
        <v>0</v>
      </c>
      <c r="L59" s="55">
        <f>IF(ISBLANK(M59),"",MAX(L$5:L57)+1)</f>
        <v>26</v>
      </c>
      <c r="M59" s="58" t="s">
        <v>409</v>
      </c>
      <c r="O59" s="54"/>
      <c r="P59" s="54"/>
      <c r="Q59" s="57"/>
      <c r="R59" s="57"/>
    </row>
    <row r="60" spans="2:26" s="58" customFormat="1" outlineLevel="1">
      <c r="B60" s="71" t="s">
        <v>410</v>
      </c>
      <c r="C60" s="76"/>
      <c r="D60" s="54" t="str">
        <f>D$5</f>
        <v>$</v>
      </c>
      <c r="E60" s="89" cm="1">
        <f t="array" ref="E60">SUMPRODUCT($E39:$J39,--($E57:$J57=E13))</f>
        <v>0</v>
      </c>
      <c r="F60" s="89" cm="1">
        <f t="array" ref="F60">SUMPRODUCT($E39:$J39,--($E57:$J57=F13))</f>
        <v>0</v>
      </c>
      <c r="G60" s="89" cm="1">
        <f t="array" ref="G60">SUMPRODUCT($E39:$J39,--($E57:$J57=G13))</f>
        <v>0</v>
      </c>
      <c r="H60" s="89" cm="1">
        <f t="array" ref="H60">SUMPRODUCT($E39:$J39,--($E57:$J57=H13))</f>
        <v>0</v>
      </c>
      <c r="I60" s="89" cm="1">
        <f t="array" ref="I60">SUMPRODUCT($E39:$J39,--($E57:$J57=I13))</f>
        <v>0</v>
      </c>
      <c r="J60" s="89" cm="1">
        <f t="array" ref="J60">SUMPRODUCT($E39:$J39,--($E57:$J57=J13))</f>
        <v>0</v>
      </c>
      <c r="K60" s="76">
        <f>SUM(E60:J60)</f>
        <v>0</v>
      </c>
      <c r="L60" s="55">
        <f>IF(ISBLANK(M60),"",MAX(L$5:L59)+1)</f>
        <v>27</v>
      </c>
      <c r="M60" s="58" t="s">
        <v>411</v>
      </c>
      <c r="O60" s="54"/>
      <c r="P60" s="54"/>
      <c r="Q60" s="57"/>
      <c r="R60" s="57"/>
    </row>
    <row r="61" spans="2:26" s="58" customFormat="1" outlineLevel="1">
      <c r="B61" s="71" t="s">
        <v>412</v>
      </c>
      <c r="C61" s="76"/>
      <c r="D61" s="54" t="str">
        <f>D$5</f>
        <v>$</v>
      </c>
      <c r="E61" s="89" cm="1">
        <f t="array" ref="E61">SUMPRODUCT($E49:$J49,--($E57:$J57=E13))</f>
        <v>0</v>
      </c>
      <c r="F61" s="89" cm="1">
        <f t="array" ref="F61">SUMPRODUCT($E49:$J49,--($E57:$J57=F13))</f>
        <v>0</v>
      </c>
      <c r="G61" s="89" cm="1">
        <f t="array" ref="G61">SUMPRODUCT($E49:$J49,--($E57:$J57=G13))</f>
        <v>0</v>
      </c>
      <c r="H61" s="89" cm="1">
        <f t="array" ref="H61">SUMPRODUCT($E49:$J49,--($E57:$J57=H13))</f>
        <v>0</v>
      </c>
      <c r="I61" s="89" cm="1">
        <f t="array" ref="I61">SUMPRODUCT($E49:$J49,--($E57:$J57=I13))</f>
        <v>0</v>
      </c>
      <c r="J61" s="89" cm="1">
        <f t="array" ref="J61">SUMPRODUCT($E49:$J49,--($E57:$J57=J13))</f>
        <v>0</v>
      </c>
      <c r="K61" s="76">
        <f>SUM(E61:J61)</f>
        <v>0</v>
      </c>
      <c r="L61" s="55">
        <f>IF(ISBLANK(M61),"",MAX(L$5:L60)+1)</f>
        <v>28</v>
      </c>
      <c r="M61" s="58" t="s">
        <v>411</v>
      </c>
      <c r="O61" s="54"/>
      <c r="P61" s="54"/>
      <c r="Q61" s="57"/>
      <c r="R61" s="57"/>
    </row>
    <row r="62" spans="2:26" s="58" customFormat="1" outlineLevel="1">
      <c r="B62" s="71" t="s">
        <v>413</v>
      </c>
      <c r="C62" s="76"/>
      <c r="D62" s="54" t="s">
        <v>156</v>
      </c>
      <c r="E62" s="90" t="str" cm="1">
        <f t="array" ref="E62">INDEX($E50:$J50,0,MATCH(E57,$E56:$J56,0))</f>
        <v>Non Participating Preferred</v>
      </c>
      <c r="F62" s="90" t="str" cm="1">
        <f t="array" ref="F62">INDEX($E50:$J50,0,MATCH(F57,$E56:$J56,0))</f>
        <v>Non Participating Preferred</v>
      </c>
      <c r="G62" s="90" t="str" cm="1">
        <f t="array" ref="G62">INDEX($E50:$J50,0,MATCH(G57,$E56:$J56,0))</f>
        <v>Non Participating Preferred</v>
      </c>
      <c r="H62" s="90" t="str" cm="1">
        <f t="array" ref="H62">INDEX($E50:$J50,0,MATCH(H57,$E56:$J56,0))</f>
        <v>Non Participating Preferred</v>
      </c>
      <c r="I62" s="91" t="str" cm="1">
        <f t="array" ref="I62">INDEX($E50:$J50,0,MATCH(I57,$E56:$J56,0))</f>
        <v>na</v>
      </c>
      <c r="J62" s="91" t="str" cm="1">
        <f t="array" ref="J62">INDEX($E50:$J50,0,MATCH(J57,$E56:$J56,0))</f>
        <v>na</v>
      </c>
      <c r="K62" s="76"/>
      <c r="L62" s="55">
        <f>IF(ISBLANK(M62),"",MAX(L$5:L61)+1)</f>
        <v>29</v>
      </c>
      <c r="M62" s="58" t="s">
        <v>414</v>
      </c>
      <c r="O62" s="54"/>
      <c r="P62" s="54"/>
      <c r="Q62" s="57"/>
      <c r="R62" s="57"/>
    </row>
    <row r="63" spans="2:26" s="58" customFormat="1" outlineLevel="1">
      <c r="B63" s="71" t="s">
        <v>415</v>
      </c>
      <c r="C63" s="76"/>
      <c r="D63" s="54" t="s">
        <v>130</v>
      </c>
      <c r="E63" s="92" cm="1">
        <f t="array" ref="E63">IFERROR(SUMPRODUCT($E51:$J51,--($E57:$J57=E56),$E24:$J24,--($E50:$J50=E62))/E59,0)</f>
        <v>0</v>
      </c>
      <c r="F63" s="92" cm="1">
        <f t="array" ref="F63">IFERROR(SUMPRODUCT($E51:$J51,--($E57:$J57=F56),$E24:$J24,--($E50:$J50=F62))/F59,0)</f>
        <v>0</v>
      </c>
      <c r="G63" s="92" cm="1">
        <f t="array" ref="G63">IFERROR(SUMPRODUCT($E51:$J51,--($E57:$J57=G56),$E24:$J24,--($E50:$J50=G62))/G59,0)</f>
        <v>0</v>
      </c>
      <c r="H63" s="92" cm="1">
        <f t="array" ref="H63">IFERROR(SUMPRODUCT($E51:$J51,--($E57:$J57=H56),$E24:$J24,--($E50:$J50=H62))/H59,0)</f>
        <v>0</v>
      </c>
      <c r="I63" s="92" cm="1">
        <f t="array" ref="I63">IFERROR(SUMPRODUCT($E51:$J51,--($E57:$J57=I56),$E24:$J24,--($E50:$J50=I62))/I59,0)</f>
        <v>0</v>
      </c>
      <c r="J63" s="92" cm="1">
        <f t="array" ref="J63">IFERROR(SUMPRODUCT($E51:$J51,--($E57:$J57=J56),$E24:$J24,--($E50:$J50=J62))/J59,0)</f>
        <v>0</v>
      </c>
      <c r="K63" s="76"/>
      <c r="L63" s="55">
        <f>IF(ISBLANK(M63),"",MAX(L$5:L62)+1)</f>
        <v>30</v>
      </c>
      <c r="M63" s="58" t="s">
        <v>416</v>
      </c>
      <c r="O63" s="54"/>
      <c r="P63" s="54"/>
      <c r="Q63" s="57"/>
      <c r="R63" s="57"/>
    </row>
    <row r="64" spans="2:26" s="58" customFormat="1" outlineLevel="1">
      <c r="B64" s="71" t="s">
        <v>417</v>
      </c>
      <c r="C64" s="76"/>
      <c r="D64" s="54" t="s">
        <v>130</v>
      </c>
      <c r="E64" s="92" cm="1">
        <f t="array" ref="E64">IFERROR(SUMPRODUCT($E53:$J53,--($E57:$J57=E56),$E24:$J24)/E59,0)</f>
        <v>0</v>
      </c>
      <c r="F64" s="92" cm="1">
        <f t="array" ref="F64">IFERROR(SUMPRODUCT($E53:$J53,--($E57:$J57=F56),$E24:$J24)/F59,0)</f>
        <v>0</v>
      </c>
      <c r="G64" s="92" cm="1">
        <f t="array" ref="G64">IFERROR(SUMPRODUCT($E53:$J53,--($E57:$J57=G56),$E24:$J24)/G59,0)</f>
        <v>0</v>
      </c>
      <c r="H64" s="92" cm="1">
        <f t="array" ref="H64">IFERROR(SUMPRODUCT($E53:$J53,--($E57:$J57=H56),$E24:$J24)/H59,0)</f>
        <v>0</v>
      </c>
      <c r="I64" s="92" cm="1">
        <f t="array" ref="I64">IFERROR(SUMPRODUCT($E53:$J53,--($E57:$J57=I56),$E24:$J24)/I59,0)</f>
        <v>0</v>
      </c>
      <c r="J64" s="92" cm="1">
        <f t="array" ref="J64">IFERROR(SUMPRODUCT($E53:$J53,--($E57:$J57=J56),$E24:$J24)/J59,0)</f>
        <v>0</v>
      </c>
      <c r="K64" s="76"/>
      <c r="L64" s="55">
        <f>IF(ISBLANK(M64),"",MAX(L$5:L63)+1)</f>
        <v>31</v>
      </c>
      <c r="M64" s="58" t="s">
        <v>418</v>
      </c>
      <c r="O64" s="54"/>
      <c r="P64" s="54"/>
      <c r="Q64" s="57"/>
      <c r="R64" s="57"/>
    </row>
    <row r="65" spans="2:18" s="58" customFormat="1" outlineLevel="1">
      <c r="B65" s="71" t="str">
        <f>B44&amp;" assumed per Calculation Block"</f>
        <v>Type of Dividends / Interest assumed per Calculation Block</v>
      </c>
      <c r="C65" s="76"/>
      <c r="D65" s="54" t="s">
        <v>156</v>
      </c>
      <c r="E65" s="89" t="str" cm="1">
        <f t="array" ref="E65">INDEX($E44:$J44,0,MATCH(E57,$E56:$J56,0))</f>
        <v>Not Declared</v>
      </c>
      <c r="F65" s="89" t="str" cm="1">
        <f t="array" ref="F65">INDEX($E44:$J44,0,MATCH(F57,$E56:$J56,0))</f>
        <v>Not Declared</v>
      </c>
      <c r="G65" s="89" t="str" cm="1">
        <f t="array" ref="G65">INDEX($E44:$J44,0,MATCH(G57,$E56:$J56,0))</f>
        <v>Not Declared</v>
      </c>
      <c r="H65" s="89" t="str" cm="1">
        <f t="array" ref="H65">INDEX($E44:$J44,0,MATCH(H57,$E56:$J56,0))</f>
        <v>Not Declared</v>
      </c>
      <c r="I65" s="91" t="str" cm="1">
        <f t="array" ref="I65">INDEX($E44:$J44,0,MATCH(I57,$E56:$J56,0))</f>
        <v>na</v>
      </c>
      <c r="J65" s="91" t="str" cm="1">
        <f t="array" ref="J65">INDEX($E44:$J44,0,MATCH(J57,$E56:$J56,0))</f>
        <v>na</v>
      </c>
      <c r="K65" s="76"/>
      <c r="L65" s="55">
        <f>IF(ISBLANK(M65),"",MAX(L$5:L64)+1)</f>
        <v>32</v>
      </c>
      <c r="M65" s="58" t="s">
        <v>419</v>
      </c>
      <c r="O65" s="54"/>
      <c r="P65" s="54"/>
      <c r="Q65" s="57"/>
      <c r="R65" s="57"/>
    </row>
    <row r="66" spans="2:18" s="58" customFormat="1" outlineLevel="1">
      <c r="B66" s="71" t="str">
        <f>"Average "&amp;B45</f>
        <v>Average Annual or One-Time Dividend or Interest Rate</v>
      </c>
      <c r="C66" s="76"/>
      <c r="D66" s="54" t="s">
        <v>22</v>
      </c>
      <c r="E66" s="93" cm="1">
        <f t="array" ref="E66">IFERROR(SUMPRODUCT($E45:$J45,--($E57:$J57=E56),$E24:$J24)/E59,0)</f>
        <v>0</v>
      </c>
      <c r="F66" s="93" cm="1">
        <f t="array" ref="F66">IFERROR(SUMPRODUCT($E45:$J45,--($E57:$J57=F56),$E24:$J24)/F59,0)</f>
        <v>0</v>
      </c>
      <c r="G66" s="93" cm="1">
        <f t="array" ref="G66">IFERROR(SUMPRODUCT($E45:$J45,--($E57:$J57=G56),$E24:$J24)/G59,0)</f>
        <v>0</v>
      </c>
      <c r="H66" s="93" cm="1">
        <f t="array" ref="H66">IFERROR(SUMPRODUCT($E45:$J45,--($E57:$J57=H56),$E24:$J24)/H59,0)</f>
        <v>0</v>
      </c>
      <c r="I66" s="93" cm="1">
        <f t="array" ref="I66">IFERROR(SUMPRODUCT($E45:$J45,--($E57:$J57=I56),$E24:$J24)/I59,0)</f>
        <v>0</v>
      </c>
      <c r="J66" s="93" cm="1">
        <f t="array" ref="J66">IFERROR(SUMPRODUCT($E45:$J45,--($E57:$J57=J56),$E24:$J24)/J59,0)</f>
        <v>0</v>
      </c>
      <c r="K66" s="76"/>
      <c r="L66" s="55">
        <f>IF(ISBLANK(M66),"",MAX(L$5:L65)+1)</f>
        <v>33</v>
      </c>
      <c r="M66" s="58" t="s">
        <v>420</v>
      </c>
      <c r="O66" s="54"/>
      <c r="P66" s="54"/>
      <c r="Q66" s="57"/>
      <c r="R66" s="57"/>
    </row>
    <row r="67" spans="2:18" s="58" customFormat="1" outlineLevel="1">
      <c r="B67" s="71" t="s">
        <v>421</v>
      </c>
      <c r="C67" s="76"/>
      <c r="D67" s="54" t="s">
        <v>156</v>
      </c>
      <c r="E67" s="94" t="str" cm="1">
        <f t="array" aca="1" ref="E67" ca="1">IFERROR(IF(SUMPRODUCT($E41:$J41,--($E57:$J57=E56),$E24:$J24)/E59=0,"na",SUMPRODUCT($E41:$J41,--($E57:$J57=E56),$E24:$J24)/E59),"na")</f>
        <v>na</v>
      </c>
      <c r="F67" s="94" t="str" cm="1">
        <f t="array" aca="1" ref="F67" ca="1">IFERROR(IF(SUMPRODUCT($E41:$J41,--($E57:$J57=F56),$E24:$J24)/F59=0,"na",SUMPRODUCT($E41:$J41,--($E57:$J57=F56),$E24:$J24)/F59),"na")</f>
        <v>na</v>
      </c>
      <c r="G67" s="94" t="str" cm="1">
        <f t="array" aca="1" ref="G67" ca="1">IFERROR(IF(SUMPRODUCT($E41:$J41,--($E57:$J57=G56),$E24:$J24)/G59=0,"na",SUMPRODUCT($E41:$J41,--($E57:$J57=G56),$E24:$J24)/G59),"na")</f>
        <v>na</v>
      </c>
      <c r="H67" s="94" t="str" cm="1">
        <f t="array" aca="1" ref="H67" ca="1">IFERROR(IF(SUMPRODUCT($E41:$J41,--($E57:$J57=H56),$E24:$J24)/H59=0,"na",SUMPRODUCT($E41:$J41,--($E57:$J57=H56),$E24:$J24)/H59),"na")</f>
        <v>na</v>
      </c>
      <c r="I67" s="94" t="str" cm="1">
        <f t="array" aca="1" ref="I67" ca="1">IFERROR(IF(SUMPRODUCT($E41:$J41,--($E57:$J57=I56),$E24:$J24)/I59=0,"na",SUMPRODUCT($E41:$J41,--($E57:$J57=I56),$E24:$J24)/I59),"na")</f>
        <v>na</v>
      </c>
      <c r="J67" s="94" t="str" cm="1">
        <f t="array" aca="1" ref="J67" ca="1">IFERROR(IF(SUMPRODUCT($E41:$J41,--($E57:$J57=J56),$E24:$J24)/J59=0,"na",SUMPRODUCT($E41:$J41,--($E57:$J57=J56),$E24:$J24)/J59),"na")</f>
        <v>na</v>
      </c>
      <c r="K67" s="76"/>
      <c r="L67" s="55">
        <f>IF(ISBLANK(M67),"",MAX(L$5:L66)+1)</f>
        <v>34</v>
      </c>
      <c r="M67" s="58" t="s">
        <v>420</v>
      </c>
      <c r="O67" s="54"/>
      <c r="P67" s="54"/>
      <c r="Q67" s="57"/>
      <c r="R67" s="57"/>
    </row>
    <row r="68" spans="2:18" s="58" customFormat="1" outlineLevel="1">
      <c r="B68" s="71" t="s">
        <v>422</v>
      </c>
      <c r="D68" s="54" t="s">
        <v>156</v>
      </c>
      <c r="E68" s="95" t="str">
        <f t="shared" ref="E68:J68" si="10">E56</f>
        <v>C</v>
      </c>
      <c r="F68" s="95" t="str">
        <f t="shared" si="10"/>
        <v>B</v>
      </c>
      <c r="G68" s="95" t="str">
        <f t="shared" si="10"/>
        <v>A</v>
      </c>
      <c r="H68" s="95" t="str">
        <f t="shared" si="10"/>
        <v>Seed</v>
      </c>
      <c r="I68" s="95" t="str">
        <f t="shared" si="10"/>
        <v>Common</v>
      </c>
      <c r="J68" s="66" t="str">
        <f t="shared" si="10"/>
        <v>Options</v>
      </c>
      <c r="L68" s="55">
        <f>IF(ISBLANK(M68),"",MAX(L$5:L67)+1)</f>
        <v>35</v>
      </c>
      <c r="M68" s="58" t="s">
        <v>423</v>
      </c>
      <c r="O68" s="54"/>
      <c r="P68" s="54"/>
      <c r="Q68" s="57"/>
      <c r="R68" s="57"/>
    </row>
    <row r="69" spans="2:18" s="58" customFormat="1" outlineLevel="1">
      <c r="B69" s="57"/>
      <c r="L69" s="55" t="str">
        <f>IF(ISBLANK(M69),"",MAX(L$5:L68)+1)</f>
        <v/>
      </c>
      <c r="O69" s="54"/>
      <c r="P69" s="54"/>
      <c r="Q69" s="57"/>
      <c r="R69" s="57"/>
    </row>
    <row r="70" spans="2:18" s="58" customFormat="1" outlineLevel="1">
      <c r="B70" s="96" t="s">
        <v>424</v>
      </c>
      <c r="L70" s="55">
        <f>IF(ISBLANK(M70),"",MAX(L$5:L69)+1)</f>
        <v>36</v>
      </c>
      <c r="M70" s="58" t="s">
        <v>425</v>
      </c>
      <c r="O70" s="54"/>
      <c r="P70" s="54"/>
      <c r="Q70" s="57"/>
      <c r="R70" s="57"/>
    </row>
    <row r="71" spans="2:18" s="58" customFormat="1" outlineLevel="1">
      <c r="B71" s="57" t="str">
        <f>E56</f>
        <v>C</v>
      </c>
      <c r="D71" s="64" t="s">
        <v>22</v>
      </c>
      <c r="E71" s="97" cm="1">
        <f t="array" ref="E71">IFERROR(IF(INDEX($E$57:$J$57,0,MATCH($B71,$E$56:$J$56,0))=E$56,SUMPRODUCT($E$24:$J$24,--($E$13:$J$13=$B71)),0)/E$59,0)</f>
        <v>0</v>
      </c>
      <c r="F71" s="97" cm="1">
        <f t="array" ref="F71">IFERROR(IF(INDEX($E$57:$J$57,0,MATCH($B71,$E$56:$J$56,0))=F$56,SUMPRODUCT($E$24:$J$24,--($E$13:$J$13=$B71)),0)/F$59,0)</f>
        <v>0</v>
      </c>
      <c r="G71" s="97" cm="1">
        <f t="array" ref="G71">IFERROR(IF(INDEX($E$57:$J$57,0,MATCH($B71,$E$56:$J$56,0))=G$56,SUMPRODUCT($E$24:$J$24,--($E$13:$J$13=$B71)),0)/G$59,0)</f>
        <v>0</v>
      </c>
      <c r="H71" s="97" cm="1">
        <f t="array" ref="H71">IFERROR(IF(INDEX($E$57:$J$57,0,MATCH($B71,$E$56:$J$56,0))=H$56,SUMPRODUCT($E$24:$J$24,--($E$13:$J$13=$B71)),0)/H$59,0)</f>
        <v>0</v>
      </c>
      <c r="I71" s="97" cm="1">
        <f t="array" ref="I71">IFERROR(IF(INDEX($E$57:$J$57,0,MATCH($B71,$E$56:$J$56,0))=I$56,SUMPRODUCT($E$24:$J$24,--($E$13:$J$13=$B71)),0)/I$59,0)</f>
        <v>0</v>
      </c>
      <c r="J71" s="97" cm="1">
        <f t="array" ref="J71">IFERROR(IF(INDEX($E$57:$J$57,0,MATCH($B71,$E$56:$J$56,0))=J$56,SUMPRODUCT($E$24:$J$24,--($E$13:$J$13=$B71)),0)/J$59,0)</f>
        <v>0</v>
      </c>
      <c r="L71" s="55" t="str">
        <f>IF(ISBLANK(M71),"",MAX(L$5:L70)+1)</f>
        <v/>
      </c>
      <c r="O71" s="54"/>
      <c r="P71" s="54"/>
      <c r="Q71" s="57"/>
      <c r="R71" s="57"/>
    </row>
    <row r="72" spans="2:18" s="58" customFormat="1" outlineLevel="1">
      <c r="B72" s="57" t="str">
        <f>F56</f>
        <v>B</v>
      </c>
      <c r="D72" s="64" t="s">
        <v>22</v>
      </c>
      <c r="E72" s="97" cm="1">
        <f t="array" ref="E72">IFERROR(IF(INDEX($E$57:$J$57,0,MATCH($B72,$E$56:$J$56,0))=E$56,SUMPRODUCT($E$24:$J$24,--($E$13:$J$13=$B72)),0)/E$59,0)</f>
        <v>0</v>
      </c>
      <c r="F72" s="97" cm="1">
        <f t="array" ref="F72">IFERROR(IF(INDEX($E$57:$J$57,0,MATCH($B72,$E$56:$J$56,0))=F$56,SUMPRODUCT($E$24:$J$24,--($E$13:$J$13=$B72)),0)/F$59,0)</f>
        <v>0</v>
      </c>
      <c r="G72" s="97" cm="1">
        <f t="array" ref="G72">IFERROR(IF(INDEX($E$57:$J$57,0,MATCH($B72,$E$56:$J$56,0))=G$56,SUMPRODUCT($E$24:$J$24,--($E$13:$J$13=$B72)),0)/G$59,0)</f>
        <v>0</v>
      </c>
      <c r="H72" s="97" cm="1">
        <f t="array" ref="H72">IFERROR(IF(INDEX($E$57:$J$57,0,MATCH($B72,$E$56:$J$56,0))=H$56,SUMPRODUCT($E$24:$J$24,--($E$13:$J$13=$B72)),0)/H$59,0)</f>
        <v>0</v>
      </c>
      <c r="I72" s="97" cm="1">
        <f t="array" ref="I72">IFERROR(IF(INDEX($E$57:$J$57,0,MATCH($B72,$E$56:$J$56,0))=I$56,SUMPRODUCT($E$24:$J$24,--($E$13:$J$13=$B72)),0)/I$59,0)</f>
        <v>0</v>
      </c>
      <c r="J72" s="97" cm="1">
        <f t="array" ref="J72">IFERROR(IF(INDEX($E$57:$J$57,0,MATCH($B72,$E$56:$J$56,0))=J$56,SUMPRODUCT($E$24:$J$24,--($E$13:$J$13=$B72)),0)/J$59,0)</f>
        <v>0</v>
      </c>
      <c r="L72" s="55" t="str">
        <f>IF(ISBLANK(M72),"",MAX(L$5:L71)+1)</f>
        <v/>
      </c>
      <c r="O72" s="54"/>
      <c r="P72" s="54"/>
      <c r="Q72" s="57"/>
      <c r="R72" s="57"/>
    </row>
    <row r="73" spans="2:18" s="58" customFormat="1" outlineLevel="1">
      <c r="B73" s="57" t="str">
        <f>G56</f>
        <v>A</v>
      </c>
      <c r="D73" s="64" t="s">
        <v>22</v>
      </c>
      <c r="E73" s="97" cm="1">
        <f t="array" ref="E73">IFERROR(IF(INDEX($E$57:$J$57,0,MATCH($B73,$E$56:$J$56,0))=E$56,SUMPRODUCT($E$24:$J$24,--($E$13:$J$13=$B73)),0)/E$59,0)</f>
        <v>0</v>
      </c>
      <c r="F73" s="97" cm="1">
        <f t="array" ref="F73">IFERROR(IF(INDEX($E$57:$J$57,0,MATCH($B73,$E$56:$J$56,0))=F$56,SUMPRODUCT($E$24:$J$24,--($E$13:$J$13=$B73)),0)/F$59,0)</f>
        <v>0</v>
      </c>
      <c r="G73" s="97" cm="1">
        <f t="array" ref="G73">IFERROR(IF(INDEX($E$57:$J$57,0,MATCH($B73,$E$56:$J$56,0))=G$56,SUMPRODUCT($E$24:$J$24,--($E$13:$J$13=$B73)),0)/G$59,0)</f>
        <v>0</v>
      </c>
      <c r="H73" s="97" cm="1">
        <f t="array" ref="H73">IFERROR(IF(INDEX($E$57:$J$57,0,MATCH($B73,$E$56:$J$56,0))=H$56,SUMPRODUCT($E$24:$J$24,--($E$13:$J$13=$B73)),0)/H$59,0)</f>
        <v>0</v>
      </c>
      <c r="I73" s="97" cm="1">
        <f t="array" ref="I73">IFERROR(IF(INDEX($E$57:$J$57,0,MATCH($B73,$E$56:$J$56,0))=I$56,SUMPRODUCT($E$24:$J$24,--($E$13:$J$13=$B73)),0)/I$59,0)</f>
        <v>0</v>
      </c>
      <c r="J73" s="97" cm="1">
        <f t="array" ref="J73">IFERROR(IF(INDEX($E$57:$J$57,0,MATCH($B73,$E$56:$J$56,0))=J$56,SUMPRODUCT($E$24:$J$24,--($E$13:$J$13=$B73)),0)/J$59,0)</f>
        <v>0</v>
      </c>
      <c r="L73" s="55" t="str">
        <f>IF(ISBLANK(M73),"",MAX(L$5:L72)+1)</f>
        <v/>
      </c>
      <c r="O73" s="54"/>
      <c r="P73" s="54"/>
      <c r="Q73" s="57"/>
      <c r="R73" s="57"/>
    </row>
    <row r="74" spans="2:18" s="58" customFormat="1" outlineLevel="1">
      <c r="B74" s="57" t="str">
        <f>H56</f>
        <v>Seed</v>
      </c>
      <c r="D74" s="64" t="s">
        <v>22</v>
      </c>
      <c r="E74" s="97" cm="1">
        <f t="array" ref="E74">IFERROR(IF(INDEX($E$57:$J$57,0,MATCH($B74,$E$56:$J$56,0))=E$56,SUMPRODUCT($E$24:$J$24,--($E$13:$J$13=$B74)),0)/E$59,0)</f>
        <v>0</v>
      </c>
      <c r="F74" s="97" cm="1">
        <f t="array" ref="F74">IFERROR(IF(INDEX($E$57:$J$57,0,MATCH($B74,$E$56:$J$56,0))=F$56,SUMPRODUCT($E$24:$J$24,--($E$13:$J$13=$B74)),0)/F$59,0)</f>
        <v>0</v>
      </c>
      <c r="G74" s="97" cm="1">
        <f t="array" ref="G74">IFERROR(IF(INDEX($E$57:$J$57,0,MATCH($B74,$E$56:$J$56,0))=G$56,SUMPRODUCT($E$24:$J$24,--($E$13:$J$13=$B74)),0)/G$59,0)</f>
        <v>0</v>
      </c>
      <c r="H74" s="97" cm="1">
        <f t="array" ref="H74">IFERROR(IF(INDEX($E$57:$J$57,0,MATCH($B74,$E$56:$J$56,0))=H$56,SUMPRODUCT($E$24:$J$24,--($E$13:$J$13=$B74)),0)/H$59,0)</f>
        <v>0</v>
      </c>
      <c r="I74" s="97" cm="1">
        <f t="array" ref="I74">IFERROR(IF(INDEX($E$57:$J$57,0,MATCH($B74,$E$56:$J$56,0))=I$56,SUMPRODUCT($E$24:$J$24,--($E$13:$J$13=$B74)),0)/I$59,0)</f>
        <v>0</v>
      </c>
      <c r="J74" s="97" cm="1">
        <f t="array" ref="J74">IFERROR(IF(INDEX($E$57:$J$57,0,MATCH($B74,$E$56:$J$56,0))=J$56,SUMPRODUCT($E$24:$J$24,--($E$13:$J$13=$B74)),0)/J$59,0)</f>
        <v>0</v>
      </c>
      <c r="L74" s="55" t="str">
        <f>IF(ISBLANK(M74),"",MAX(L$5:L73)+1)</f>
        <v/>
      </c>
      <c r="O74" s="54"/>
      <c r="P74" s="54"/>
      <c r="Q74" s="57"/>
      <c r="R74" s="57"/>
    </row>
    <row r="75" spans="2:18" s="58" customFormat="1" outlineLevel="1">
      <c r="B75" s="57" t="str">
        <f>I56</f>
        <v>Common</v>
      </c>
      <c r="D75" s="64" t="s">
        <v>22</v>
      </c>
      <c r="E75" s="97" cm="1">
        <f t="array" ref="E75">IFERROR(IF(INDEX($E$57:$J$57,0,MATCH($B75,$E$56:$J$56,0))=E$56,SUMPRODUCT($E$24:$J$24,--($E$13:$J$13=$B75)),0)/E$59,0)</f>
        <v>0</v>
      </c>
      <c r="F75" s="97" cm="1">
        <f t="array" ref="F75">IFERROR(IF(INDEX($E$57:$J$57,0,MATCH($B75,$E$56:$J$56,0))=F$56,SUMPRODUCT($E$24:$J$24,--($E$13:$J$13=$B75)),0)/F$59,0)</f>
        <v>0</v>
      </c>
      <c r="G75" s="97" cm="1">
        <f t="array" ref="G75">IFERROR(IF(INDEX($E$57:$J$57,0,MATCH($B75,$E$56:$J$56,0))=G$56,SUMPRODUCT($E$24:$J$24,--($E$13:$J$13=$B75)),0)/G$59,0)</f>
        <v>0</v>
      </c>
      <c r="H75" s="97" cm="1">
        <f t="array" ref="H75">IFERROR(IF(INDEX($E$57:$J$57,0,MATCH($B75,$E$56:$J$56,0))=H$56,SUMPRODUCT($E$24:$J$24,--($E$13:$J$13=$B75)),0)/H$59,0)</f>
        <v>0</v>
      </c>
      <c r="I75" s="97" cm="1">
        <f t="array" ref="I75">IFERROR(IF(INDEX($E$57:$J$57,0,MATCH($B75,$E$56:$J$56,0))=I$56,SUMPRODUCT($E$24:$J$24,--($E$13:$J$13=$B75)),0)/I$59,0)</f>
        <v>0</v>
      </c>
      <c r="J75" s="97" cm="1">
        <f t="array" ref="J75">IFERROR(IF(INDEX($E$57:$J$57,0,MATCH($B75,$E$56:$J$56,0))=J$56,SUMPRODUCT($E$24:$J$24,--($E$13:$J$13=$B75)),0)/J$59,0)</f>
        <v>0</v>
      </c>
      <c r="L75" s="55" t="str">
        <f>IF(ISBLANK(M75),"",MAX(L$5:L74)+1)</f>
        <v/>
      </c>
      <c r="O75" s="54"/>
      <c r="P75" s="54"/>
      <c r="Q75" s="57"/>
      <c r="R75" s="57"/>
    </row>
    <row r="76" spans="2:18" s="58" customFormat="1" outlineLevel="1">
      <c r="B76" s="57" t="str">
        <f>J56</f>
        <v>Options</v>
      </c>
      <c r="D76" s="64" t="s">
        <v>22</v>
      </c>
      <c r="E76" s="97" cm="1">
        <f t="array" ref="E76">IFERROR(IF(INDEX($E$57:$J$57,0,MATCH($B76,$E$56:$J$56,0))=E$56,SUMPRODUCT($E$24:$J$24,--($E$13:$J$13=$B76)),0)/E$59,0)</f>
        <v>0</v>
      </c>
      <c r="F76" s="97" cm="1">
        <f t="array" ref="F76">IFERROR(IF(INDEX($E$57:$J$57,0,MATCH($B76,$E$56:$J$56,0))=F$56,SUMPRODUCT($E$24:$J$24,--($E$13:$J$13=$B76)),0)/F$59,0)</f>
        <v>0</v>
      </c>
      <c r="G76" s="97" cm="1">
        <f t="array" ref="G76">IFERROR(IF(INDEX($E$57:$J$57,0,MATCH($B76,$E$56:$J$56,0))=G$56,SUMPRODUCT($E$24:$J$24,--($E$13:$J$13=$B76)),0)/G$59,0)</f>
        <v>0</v>
      </c>
      <c r="H76" s="97" cm="1">
        <f t="array" ref="H76">IFERROR(IF(INDEX($E$57:$J$57,0,MATCH($B76,$E$56:$J$56,0))=H$56,SUMPRODUCT($E$24:$J$24,--($E$13:$J$13=$B76)),0)/H$59,0)</f>
        <v>0</v>
      </c>
      <c r="I76" s="97" cm="1">
        <f t="array" ref="I76">IFERROR(IF(INDEX($E$57:$J$57,0,MATCH($B76,$E$56:$J$56,0))=I$56,SUMPRODUCT($E$24:$J$24,--($E$13:$J$13=$B76)),0)/I$59,0)</f>
        <v>0</v>
      </c>
      <c r="J76" s="97" cm="1">
        <f t="array" ref="J76">IFERROR(IF(INDEX($E$57:$J$57,0,MATCH($B76,$E$56:$J$56,0))=J$56,SUMPRODUCT($E$24:$J$24,--($E$13:$J$13=$B76)),0)/J$59,0)</f>
        <v>0</v>
      </c>
      <c r="L76" s="55" t="str">
        <f>IF(ISBLANK(M76),"",MAX(L$5:L75)+1)</f>
        <v/>
      </c>
      <c r="O76" s="54"/>
      <c r="P76" s="54"/>
      <c r="Q76" s="57"/>
      <c r="R76" s="57"/>
    </row>
    <row r="77" spans="2:18" s="58" customFormat="1" outlineLevel="1">
      <c r="B77" s="57" t="s">
        <v>426</v>
      </c>
      <c r="D77" s="64" t="s">
        <v>22</v>
      </c>
      <c r="E77" s="98">
        <f>SUM(E71:E76)</f>
        <v>0</v>
      </c>
      <c r="F77" s="98">
        <f t="shared" ref="F77:J77" si="11">SUM(F71:F76)</f>
        <v>0</v>
      </c>
      <c r="G77" s="98">
        <f t="shared" si="11"/>
        <v>0</v>
      </c>
      <c r="H77" s="98">
        <f t="shared" si="11"/>
        <v>0</v>
      </c>
      <c r="I77" s="98">
        <f t="shared" si="11"/>
        <v>0</v>
      </c>
      <c r="J77" s="98">
        <f t="shared" si="11"/>
        <v>0</v>
      </c>
      <c r="L77" s="55" t="str">
        <f>IF(ISBLANK(M77),"",MAX(L$5:L76)+1)</f>
        <v/>
      </c>
      <c r="O77" s="54"/>
      <c r="P77" s="54"/>
      <c r="Q77" s="57"/>
      <c r="R77" s="57"/>
    </row>
    <row r="78" spans="2:18" s="58" customFormat="1" outlineLevel="1">
      <c r="B78" s="57"/>
      <c r="L78" s="55" t="str">
        <f>IF(ISBLANK(M78),"",MAX(L$5:L77)+1)</f>
        <v/>
      </c>
      <c r="O78" s="54"/>
      <c r="P78" s="54"/>
      <c r="Q78" s="57"/>
      <c r="R78" s="57"/>
    </row>
    <row r="79" spans="2:18" s="58" customFormat="1" outlineLevel="1">
      <c r="B79" s="96" t="s">
        <v>427</v>
      </c>
      <c r="L79" s="55">
        <f>IF(ISBLANK(M79),"",MAX(L$5:L78)+1)</f>
        <v>37</v>
      </c>
      <c r="M79" s="58" t="s">
        <v>428</v>
      </c>
      <c r="O79" s="54"/>
      <c r="P79" s="54"/>
      <c r="Q79" s="57"/>
      <c r="R79" s="57"/>
    </row>
    <row r="80" spans="2:18" s="58" customFormat="1" outlineLevel="1">
      <c r="B80" s="57" t="str">
        <f>E56</f>
        <v>C</v>
      </c>
      <c r="D80" s="64" t="s">
        <v>22</v>
      </c>
      <c r="E80" s="97" cm="1">
        <f t="array" ref="E80">IFERROR(IF(INDEX($E$57:$J$57,0,MATCH($B80,$E$56:$J$56,0))=E$56,SUMPRODUCT($E$49:$J$49,--($E$13:$J$13=$B80)),0)/E$61,0)</f>
        <v>0</v>
      </c>
      <c r="F80" s="97" cm="1">
        <f t="array" ref="F80">IFERROR(IF(INDEX($E$57:$J$57,0,MATCH($B80,$E$56:$J$56,0))=F$56,SUMPRODUCT($E$49:$J$49,--($E$13:$J$13=$B80)),0)/F$61,0)</f>
        <v>0</v>
      </c>
      <c r="G80" s="97" cm="1">
        <f t="array" ref="G80">IFERROR(IF(INDEX($E$57:$J$57,0,MATCH($B80,$E$56:$J$56,0))=G$56,SUMPRODUCT($E$49:$J$49,--($E$13:$J$13=$B80)),0)/G$61,0)</f>
        <v>0</v>
      </c>
      <c r="H80" s="97" cm="1">
        <f t="array" ref="H80">IFERROR(IF(INDEX($E$57:$J$57,0,MATCH($B80,$E$56:$J$56,0))=H$56,SUMPRODUCT($E$49:$J$49,--($E$13:$J$13=$B80)),0)/H$61,0)</f>
        <v>0</v>
      </c>
      <c r="I80" s="97" cm="1">
        <f t="array" ref="I80">IFERROR(IF(INDEX($E$57:$J$57,0,MATCH($B80,$E$56:$J$56,0))=I$56,SUMPRODUCT($E$49:$J$49,--($E$13:$J$13=$B80)),0)/I$61,0)</f>
        <v>0</v>
      </c>
      <c r="J80" s="97" cm="1">
        <f t="array" ref="J80">IFERROR(IF(INDEX($E$57:$J$57,0,MATCH($B80,$E$56:$J$56,0))=J$56,SUMPRODUCT($E$49:$J$49,--($E$13:$J$13=$B80)),0)/J$61,0)</f>
        <v>0</v>
      </c>
      <c r="L80" s="55" t="str">
        <f>IF(ISBLANK(M80),"",MAX(L$5:L79)+1)</f>
        <v/>
      </c>
      <c r="O80" s="54"/>
      <c r="P80" s="54"/>
      <c r="Q80" s="57"/>
      <c r="R80" s="57"/>
    </row>
    <row r="81" spans="2:18" s="58" customFormat="1" outlineLevel="1">
      <c r="B81" s="57" t="str">
        <f>F56</f>
        <v>B</v>
      </c>
      <c r="D81" s="64" t="s">
        <v>22</v>
      </c>
      <c r="E81" s="97" cm="1">
        <f t="array" ref="E81">IFERROR(IF(INDEX($E$57:$J$57,0,MATCH($B81,$E$56:$J$56,0))=E$56,SUMPRODUCT($E$49:$J$49,--($E$13:$J$13=$B81)),0)/E$61,0)</f>
        <v>0</v>
      </c>
      <c r="F81" s="97" cm="1">
        <f t="array" ref="F81">IFERROR(IF(INDEX($E$57:$J$57,0,MATCH($B81,$E$56:$J$56,0))=F$56,SUMPRODUCT($E$49:$J$49,--($E$13:$J$13=$B81)),0)/F$61,0)</f>
        <v>0</v>
      </c>
      <c r="G81" s="97" cm="1">
        <f t="array" ref="G81">IFERROR(IF(INDEX($E$57:$J$57,0,MATCH($B81,$E$56:$J$56,0))=G$56,SUMPRODUCT($E$49:$J$49,--($E$13:$J$13=$B81)),0)/G$61,0)</f>
        <v>0</v>
      </c>
      <c r="H81" s="97" cm="1">
        <f t="array" ref="H81">IFERROR(IF(INDEX($E$57:$J$57,0,MATCH($B81,$E$56:$J$56,0))=H$56,SUMPRODUCT($E$49:$J$49,--($E$13:$J$13=$B81)),0)/H$61,0)</f>
        <v>0</v>
      </c>
      <c r="I81" s="97" cm="1">
        <f t="array" ref="I81">IFERROR(IF(INDEX($E$57:$J$57,0,MATCH($B81,$E$56:$J$56,0))=I$56,SUMPRODUCT($E$49:$J$49,--($E$13:$J$13=$B81)),0)/I$61,0)</f>
        <v>0</v>
      </c>
      <c r="J81" s="97" cm="1">
        <f t="array" ref="J81">IFERROR(IF(INDEX($E$57:$J$57,0,MATCH($B81,$E$56:$J$56,0))=J$56,SUMPRODUCT($E$49:$J$49,--($E$13:$J$13=$B81)),0)/J$61,0)</f>
        <v>0</v>
      </c>
      <c r="L81" s="55" t="str">
        <f>IF(ISBLANK(M81),"",MAX(L$5:L80)+1)</f>
        <v/>
      </c>
      <c r="O81" s="54"/>
      <c r="P81" s="54"/>
      <c r="Q81" s="57"/>
      <c r="R81" s="57"/>
    </row>
    <row r="82" spans="2:18" s="58" customFormat="1" outlineLevel="1">
      <c r="B82" s="57" t="str">
        <f>G56</f>
        <v>A</v>
      </c>
      <c r="D82" s="64" t="s">
        <v>22</v>
      </c>
      <c r="E82" s="97" cm="1">
        <f t="array" ref="E82">IFERROR(IF(INDEX($E$57:$J$57,0,MATCH($B82,$E$56:$J$56,0))=E$56,SUMPRODUCT($E$49:$J$49,--($E$13:$J$13=$B82)),0)/E$61,0)</f>
        <v>0</v>
      </c>
      <c r="F82" s="97" cm="1">
        <f t="array" ref="F82">IFERROR(IF(INDEX($E$57:$J$57,0,MATCH($B82,$E$56:$J$56,0))=F$56,SUMPRODUCT($E$49:$J$49,--($E$13:$J$13=$B82)),0)/F$61,0)</f>
        <v>0</v>
      </c>
      <c r="G82" s="97" cm="1">
        <f t="array" ref="G82">IFERROR(IF(INDEX($E$57:$J$57,0,MATCH($B82,$E$56:$J$56,0))=G$56,SUMPRODUCT($E$49:$J$49,--($E$13:$J$13=$B82)),0)/G$61,0)</f>
        <v>0</v>
      </c>
      <c r="H82" s="97" cm="1">
        <f t="array" ref="H82">IFERROR(IF(INDEX($E$57:$J$57,0,MATCH($B82,$E$56:$J$56,0))=H$56,SUMPRODUCT($E$49:$J$49,--($E$13:$J$13=$B82)),0)/H$61,0)</f>
        <v>0</v>
      </c>
      <c r="I82" s="97" cm="1">
        <f t="array" ref="I82">IFERROR(IF(INDEX($E$57:$J$57,0,MATCH($B82,$E$56:$J$56,0))=I$56,SUMPRODUCT($E$49:$J$49,--($E$13:$J$13=$B82)),0)/I$61,0)</f>
        <v>0</v>
      </c>
      <c r="J82" s="97" cm="1">
        <f t="array" ref="J82">IFERROR(IF(INDEX($E$57:$J$57,0,MATCH($B82,$E$56:$J$56,0))=J$56,SUMPRODUCT($E$49:$J$49,--($E$13:$J$13=$B82)),0)/J$61,0)</f>
        <v>0</v>
      </c>
      <c r="L82" s="55" t="str">
        <f>IF(ISBLANK(M82),"",MAX(L$5:L81)+1)</f>
        <v/>
      </c>
      <c r="O82" s="54"/>
      <c r="P82" s="54"/>
      <c r="Q82" s="57"/>
      <c r="R82" s="57"/>
    </row>
    <row r="83" spans="2:18" s="58" customFormat="1" outlineLevel="1">
      <c r="B83" s="57" t="str">
        <f>H56</f>
        <v>Seed</v>
      </c>
      <c r="D83" s="64" t="s">
        <v>22</v>
      </c>
      <c r="E83" s="97" cm="1">
        <f t="array" ref="E83">IFERROR(IF(INDEX($E$57:$J$57,0,MATCH($B83,$E$56:$J$56,0))=E$56,SUMPRODUCT($E$49:$J$49,--($E$13:$J$13=$B83)),0)/E$61,0)</f>
        <v>0</v>
      </c>
      <c r="F83" s="97" cm="1">
        <f t="array" ref="F83">IFERROR(IF(INDEX($E$57:$J$57,0,MATCH($B83,$E$56:$J$56,0))=F$56,SUMPRODUCT($E$49:$J$49,--($E$13:$J$13=$B83)),0)/F$61,0)</f>
        <v>0</v>
      </c>
      <c r="G83" s="97" cm="1">
        <f t="array" ref="G83">IFERROR(IF(INDEX($E$57:$J$57,0,MATCH($B83,$E$56:$J$56,0))=G$56,SUMPRODUCT($E$49:$J$49,--($E$13:$J$13=$B83)),0)/G$61,0)</f>
        <v>0</v>
      </c>
      <c r="H83" s="97" cm="1">
        <f t="array" ref="H83">IFERROR(IF(INDEX($E$57:$J$57,0,MATCH($B83,$E$56:$J$56,0))=H$56,SUMPRODUCT($E$49:$J$49,--($E$13:$J$13=$B83)),0)/H$61,0)</f>
        <v>0</v>
      </c>
      <c r="I83" s="97" cm="1">
        <f t="array" ref="I83">IFERROR(IF(INDEX($E$57:$J$57,0,MATCH($B83,$E$56:$J$56,0))=I$56,SUMPRODUCT($E$49:$J$49,--($E$13:$J$13=$B83)),0)/I$61,0)</f>
        <v>0</v>
      </c>
      <c r="J83" s="97" cm="1">
        <f t="array" ref="J83">IFERROR(IF(INDEX($E$57:$J$57,0,MATCH($B83,$E$56:$J$56,0))=J$56,SUMPRODUCT($E$49:$J$49,--($E$13:$J$13=$B83)),0)/J$61,0)</f>
        <v>0</v>
      </c>
      <c r="L83" s="55" t="str">
        <f>IF(ISBLANK(M83),"",MAX(L$5:L82)+1)</f>
        <v/>
      </c>
      <c r="O83" s="54"/>
      <c r="P83" s="54"/>
      <c r="Q83" s="57"/>
      <c r="R83" s="57"/>
    </row>
    <row r="84" spans="2:18" s="58" customFormat="1" outlineLevel="1">
      <c r="B84" s="57" t="str">
        <f>I56</f>
        <v>Common</v>
      </c>
      <c r="D84" s="64" t="s">
        <v>22</v>
      </c>
      <c r="E84" s="97" cm="1">
        <f t="array" ref="E84">IFERROR(IF(INDEX($E$57:$J$57,0,MATCH($B84,$E$56:$J$56,0))=E$56,SUMPRODUCT($E$49:$J$49,--($E$13:$J$13=$B84)),0)/E$61,0)</f>
        <v>0</v>
      </c>
      <c r="F84" s="97" cm="1">
        <f t="array" ref="F84">IFERROR(IF(INDEX($E$57:$J$57,0,MATCH($B84,$E$56:$J$56,0))=F$56,SUMPRODUCT($E$49:$J$49,--($E$13:$J$13=$B84)),0)/F$61,0)</f>
        <v>0</v>
      </c>
      <c r="G84" s="97" cm="1">
        <f t="array" ref="G84">IFERROR(IF(INDEX($E$57:$J$57,0,MATCH($B84,$E$56:$J$56,0))=G$56,SUMPRODUCT($E$49:$J$49,--($E$13:$J$13=$B84)),0)/G$61,0)</f>
        <v>0</v>
      </c>
      <c r="H84" s="97" cm="1">
        <f t="array" ref="H84">IFERROR(IF(INDEX($E$57:$J$57,0,MATCH($B84,$E$56:$J$56,0))=H$56,SUMPRODUCT($E$49:$J$49,--($E$13:$J$13=$B84)),0)/H$61,0)</f>
        <v>0</v>
      </c>
      <c r="I84" s="97" cm="1">
        <f t="array" ref="I84">IFERROR(IF(INDEX($E$57:$J$57,0,MATCH($B84,$E$56:$J$56,0))=I$56,SUMPRODUCT($E$49:$J$49,--($E$13:$J$13=$B84)),0)/I$61,0)</f>
        <v>0</v>
      </c>
      <c r="J84" s="97" cm="1">
        <f t="array" ref="J84">IFERROR(IF(INDEX($E$57:$J$57,0,MATCH($B84,$E$56:$J$56,0))=J$56,SUMPRODUCT($E$49:$J$49,--($E$13:$J$13=$B84)),0)/J$61,0)</f>
        <v>0</v>
      </c>
      <c r="L84" s="55" t="str">
        <f>IF(ISBLANK(M84),"",MAX(L$5:L83)+1)</f>
        <v/>
      </c>
      <c r="O84" s="54"/>
      <c r="P84" s="54"/>
      <c r="Q84" s="57"/>
      <c r="R84" s="57"/>
    </row>
    <row r="85" spans="2:18" s="58" customFormat="1" outlineLevel="1">
      <c r="B85" s="57" t="str">
        <f>J56</f>
        <v>Options</v>
      </c>
      <c r="D85" s="64" t="s">
        <v>22</v>
      </c>
      <c r="E85" s="97" cm="1">
        <f t="array" ref="E85">IFERROR(IF(INDEX($E$57:$J$57,0,MATCH($B85,$E$56:$J$56,0))=E$56,SUMPRODUCT($E$49:$J$49,--($E$13:$J$13=$B85)),0)/E$61,0)</f>
        <v>0</v>
      </c>
      <c r="F85" s="97" cm="1">
        <f t="array" ref="F85">IFERROR(IF(INDEX($E$57:$J$57,0,MATCH($B85,$E$56:$J$56,0))=F$56,SUMPRODUCT($E$49:$J$49,--($E$13:$J$13=$B85)),0)/F$61,0)</f>
        <v>0</v>
      </c>
      <c r="G85" s="97" cm="1">
        <f t="array" ref="G85">IFERROR(IF(INDEX($E$57:$J$57,0,MATCH($B85,$E$56:$J$56,0))=G$56,SUMPRODUCT($E$49:$J$49,--($E$13:$J$13=$B85)),0)/G$61,0)</f>
        <v>0</v>
      </c>
      <c r="H85" s="97" cm="1">
        <f t="array" ref="H85">IFERROR(IF(INDEX($E$57:$J$57,0,MATCH($B85,$E$56:$J$56,0))=H$56,SUMPRODUCT($E$49:$J$49,--($E$13:$J$13=$B85)),0)/H$61,0)</f>
        <v>0</v>
      </c>
      <c r="I85" s="97" cm="1">
        <f t="array" ref="I85">IFERROR(IF(INDEX($E$57:$J$57,0,MATCH($B85,$E$56:$J$56,0))=I$56,SUMPRODUCT($E$49:$J$49,--($E$13:$J$13=$B85)),0)/I$61,0)</f>
        <v>0</v>
      </c>
      <c r="J85" s="97" cm="1">
        <f t="array" ref="J85">IFERROR(IF(INDEX($E$57:$J$57,0,MATCH($B85,$E$56:$J$56,0))=J$56,SUMPRODUCT($E$49:$J$49,--($E$13:$J$13=$B85)),0)/J$61,0)</f>
        <v>0</v>
      </c>
      <c r="L85" s="55" t="str">
        <f>IF(ISBLANK(M85),"",MAX(L$5:L84)+1)</f>
        <v/>
      </c>
      <c r="O85" s="54"/>
      <c r="P85" s="54"/>
      <c r="Q85" s="57"/>
      <c r="R85" s="57"/>
    </row>
    <row r="86" spans="2:18" s="58" customFormat="1" outlineLevel="1">
      <c r="B86" s="57" t="s">
        <v>426</v>
      </c>
      <c r="D86" s="64" t="s">
        <v>22</v>
      </c>
      <c r="E86" s="98">
        <f>SUM(E80:E85)</f>
        <v>0</v>
      </c>
      <c r="F86" s="98">
        <f t="shared" ref="F86:J86" si="12">SUM(F80:F85)</f>
        <v>0</v>
      </c>
      <c r="G86" s="98">
        <f t="shared" si="12"/>
        <v>0</v>
      </c>
      <c r="H86" s="98">
        <f t="shared" si="12"/>
        <v>0</v>
      </c>
      <c r="I86" s="98">
        <f t="shared" si="12"/>
        <v>0</v>
      </c>
      <c r="J86" s="98">
        <f t="shared" si="12"/>
        <v>0</v>
      </c>
      <c r="L86" s="55" t="str">
        <f>IF(ISBLANK(M86),"",MAX(L$5:L85)+1)</f>
        <v/>
      </c>
      <c r="O86" s="54"/>
      <c r="P86" s="54"/>
      <c r="Q86" s="57"/>
      <c r="R86" s="57"/>
    </row>
    <row r="87" spans="2:18" s="58" customFormat="1" outlineLevel="1">
      <c r="B87" s="57"/>
      <c r="L87" s="55" t="str">
        <f>IF(ISBLANK(M87),"",MAX(L$5:L86)+1)</f>
        <v/>
      </c>
      <c r="O87" s="54"/>
      <c r="P87" s="54"/>
      <c r="Q87" s="57"/>
      <c r="R87" s="57"/>
    </row>
    <row r="88" spans="2:18" s="58" customFormat="1">
      <c r="B88" s="57"/>
      <c r="L88" s="55" t="str">
        <f>IF(ISBLANK(M88),"",MAX(L$5:L87)+1)</f>
        <v/>
      </c>
      <c r="O88" s="54"/>
      <c r="P88" s="54"/>
      <c r="Q88" s="57"/>
      <c r="R88" s="57"/>
    </row>
    <row r="89" spans="2:18" s="58" customFormat="1">
      <c r="B89" s="99" t="s">
        <v>429</v>
      </c>
      <c r="C89" s="86"/>
      <c r="D89" s="54"/>
      <c r="E89" s="86"/>
      <c r="F89" s="86"/>
      <c r="G89" s="86"/>
      <c r="H89" s="86"/>
      <c r="I89" s="86"/>
      <c r="J89" s="86"/>
      <c r="K89" s="86"/>
      <c r="L89" s="55" t="str">
        <f>IF(ISBLANK(M89),"",MAX(L$5:L88)+1)</f>
        <v/>
      </c>
      <c r="M89" s="56"/>
      <c r="N89" s="54"/>
      <c r="O89" s="57"/>
      <c r="P89" s="57"/>
      <c r="Q89" s="57"/>
      <c r="R89" s="57"/>
    </row>
    <row r="90" spans="2:18" s="58" customFormat="1">
      <c r="C90" s="100"/>
      <c r="D90" s="64"/>
      <c r="E90" s="100"/>
      <c r="F90" s="100"/>
      <c r="G90" s="100"/>
      <c r="H90" s="100"/>
      <c r="I90" s="100"/>
      <c r="J90" s="100"/>
      <c r="K90" s="100"/>
      <c r="L90" s="55" t="str">
        <f>IF(ISBLANK(M90),"",MAX(L$5:L89)+1)</f>
        <v/>
      </c>
      <c r="M90" s="56"/>
      <c r="N90" s="54"/>
      <c r="O90" s="57"/>
      <c r="P90" s="57"/>
    </row>
    <row r="91" spans="2:18" s="58" customFormat="1">
      <c r="B91" s="57" t="s">
        <v>355</v>
      </c>
      <c r="C91" s="102"/>
      <c r="D91" s="101" t="str">
        <f>D$5</f>
        <v>$</v>
      </c>
      <c r="E91" s="102">
        <f>F91*(1-$E7)</f>
        <v>6250</v>
      </c>
      <c r="F91" s="102">
        <f>G91*(1-$E7)</f>
        <v>12500</v>
      </c>
      <c r="G91" s="102">
        <f>H91*(1-$E7)</f>
        <v>25000</v>
      </c>
      <c r="H91" s="102">
        <f>E5</f>
        <v>50000</v>
      </c>
      <c r="I91" s="102">
        <f>H91*(1+$E7)</f>
        <v>75000</v>
      </c>
      <c r="J91" s="102">
        <f>I91*(1+$E7)</f>
        <v>112500</v>
      </c>
      <c r="K91" s="102">
        <f>J91*(1+$E7)</f>
        <v>168750</v>
      </c>
      <c r="L91" s="55">
        <f>IF(ISBLANK(M91),"",MAX(L$5:L90)+1)</f>
        <v>38</v>
      </c>
      <c r="M91" s="56" t="s">
        <v>430</v>
      </c>
      <c r="N91" s="54"/>
      <c r="O91" s="57"/>
      <c r="P91" s="57"/>
    </row>
    <row r="92" spans="2:18" s="58" customFormat="1">
      <c r="B92" s="57" t="s">
        <v>431</v>
      </c>
      <c r="C92" s="102"/>
      <c r="D92" s="101" t="str">
        <f>D$5</f>
        <v>$</v>
      </c>
      <c r="E92" s="100">
        <f>E237</f>
        <v>0</v>
      </c>
      <c r="F92" s="100">
        <f t="shared" ref="F92:K92" si="13">F237</f>
        <v>0</v>
      </c>
      <c r="G92" s="100">
        <f t="shared" si="13"/>
        <v>0</v>
      </c>
      <c r="H92" s="100">
        <f t="shared" si="13"/>
        <v>0</v>
      </c>
      <c r="I92" s="100">
        <f t="shared" si="13"/>
        <v>0</v>
      </c>
      <c r="J92" s="100">
        <f t="shared" si="13"/>
        <v>0</v>
      </c>
      <c r="K92" s="100">
        <f t="shared" si="13"/>
        <v>0</v>
      </c>
      <c r="L92" s="55">
        <f>IF(ISBLANK(M92),"",MAX(L$5:L91)+1)</f>
        <v>39</v>
      </c>
      <c r="M92" s="56" t="s">
        <v>432</v>
      </c>
      <c r="N92" s="54"/>
      <c r="O92" s="57"/>
      <c r="P92" s="57"/>
    </row>
    <row r="93" spans="2:18" s="58" customFormat="1">
      <c r="B93" s="57" t="s">
        <v>433</v>
      </c>
      <c r="C93" s="102"/>
      <c r="D93" s="101" t="str">
        <f>D$5</f>
        <v>$</v>
      </c>
      <c r="E93" s="61">
        <v>0</v>
      </c>
      <c r="F93" s="61">
        <f>E93</f>
        <v>0</v>
      </c>
      <c r="G93" s="61">
        <f t="shared" ref="G93:K93" si="14">F93</f>
        <v>0</v>
      </c>
      <c r="H93" s="61">
        <f t="shared" si="14"/>
        <v>0</v>
      </c>
      <c r="I93" s="61">
        <f t="shared" si="14"/>
        <v>0</v>
      </c>
      <c r="J93" s="61">
        <f t="shared" si="14"/>
        <v>0</v>
      </c>
      <c r="K93" s="61">
        <f t="shared" si="14"/>
        <v>0</v>
      </c>
      <c r="L93" s="55">
        <f>IF(ISBLANK(M93),"",MAX(L$5:L92)+1)</f>
        <v>40</v>
      </c>
      <c r="M93" s="56" t="s">
        <v>434</v>
      </c>
      <c r="N93" s="54"/>
      <c r="O93" s="57"/>
      <c r="P93" s="57"/>
    </row>
    <row r="94" spans="2:18" s="58" customFormat="1">
      <c r="B94" s="57" t="s">
        <v>435</v>
      </c>
      <c r="C94" s="102"/>
      <c r="D94" s="101" t="str">
        <f>D$5</f>
        <v>$</v>
      </c>
      <c r="E94" s="103">
        <f>MAX(0,E91-ABS(E92)-ABS(E93))</f>
        <v>6250</v>
      </c>
      <c r="F94" s="103">
        <f t="shared" ref="F94:K94" si="15">MAX(0,F91-ABS(F92)-ABS(F93))</f>
        <v>12500</v>
      </c>
      <c r="G94" s="103">
        <f t="shared" si="15"/>
        <v>25000</v>
      </c>
      <c r="H94" s="103">
        <f t="shared" si="15"/>
        <v>50000</v>
      </c>
      <c r="I94" s="103">
        <f t="shared" si="15"/>
        <v>75000</v>
      </c>
      <c r="J94" s="103">
        <f t="shared" si="15"/>
        <v>112500</v>
      </c>
      <c r="K94" s="103">
        <f t="shared" si="15"/>
        <v>168750</v>
      </c>
      <c r="L94" s="55">
        <f>IF(ISBLANK(M94),"",MAX(L$5:L93)+1)</f>
        <v>41</v>
      </c>
      <c r="M94" s="56" t="s">
        <v>436</v>
      </c>
      <c r="N94" s="54"/>
      <c r="O94" s="57"/>
      <c r="P94" s="57"/>
    </row>
    <row r="95" spans="2:18" s="58" customFormat="1">
      <c r="B95" s="57" t="s">
        <v>372</v>
      </c>
      <c r="C95" s="102"/>
      <c r="D95" s="64" t="s">
        <v>130</v>
      </c>
      <c r="E95" s="89">
        <f>$K24</f>
        <v>0</v>
      </c>
      <c r="F95" s="89">
        <f>$K24</f>
        <v>0</v>
      </c>
      <c r="G95" s="89">
        <f>$K24</f>
        <v>0</v>
      </c>
      <c r="H95" s="89">
        <f>$K24</f>
        <v>0</v>
      </c>
      <c r="I95" s="89">
        <f>$K24</f>
        <v>0</v>
      </c>
      <c r="J95" s="89">
        <f>$K24</f>
        <v>0</v>
      </c>
      <c r="K95" s="89">
        <f>$K24</f>
        <v>0</v>
      </c>
      <c r="L95" s="55">
        <f>IF(ISBLANK(M95),"",MAX(L$5:L94)+1)</f>
        <v>42</v>
      </c>
      <c r="M95" s="56" t="s">
        <v>437</v>
      </c>
      <c r="N95" s="54"/>
      <c r="O95" s="57"/>
      <c r="P95" s="57"/>
    </row>
    <row r="96" spans="2:18" s="58" customFormat="1">
      <c r="B96" s="57" t="s">
        <v>576</v>
      </c>
      <c r="C96" s="102"/>
      <c r="D96" s="101" t="s">
        <v>22</v>
      </c>
      <c r="E96" s="63" cm="1">
        <f t="array" ref="E96">IF($E8="yes",IFERROR(SUMPRODUCT($J14:$J22,--($C14:$C22&lt;E100))/SUMPRODUCT($J14:$J22,--($C14:$C22&gt;0)),1),0)</f>
        <v>0</v>
      </c>
      <c r="F96" s="63" cm="1">
        <f t="array" ref="F96">IF($E8="yes",IFERROR(SUMPRODUCT($J14:$J22,--($C14:$C22&lt;F100))/SUMPRODUCT($J14:$J22,--($C14:$C22&gt;0)),1),0)</f>
        <v>0</v>
      </c>
      <c r="G96" s="63" cm="1">
        <f t="array" ref="G96">IF($E8="yes",IFERROR(SUMPRODUCT($J14:$J22,--($C14:$C22&lt;G100))/SUMPRODUCT($J14:$J22,--($C14:$C22&gt;0)),1),0)</f>
        <v>0</v>
      </c>
      <c r="H96" s="63" cm="1">
        <f t="array" ref="H96">IF($E8="yes",IFERROR(SUMPRODUCT($J14:$J22,--($C14:$C22&lt;H100))/SUMPRODUCT($J14:$J22,--($C14:$C22&gt;0)),1),0)</f>
        <v>0</v>
      </c>
      <c r="I96" s="63" cm="1">
        <f t="array" ref="I96">IF($E8="yes",IFERROR(SUMPRODUCT($J14:$J22,--($C14:$C22&lt;I100))/SUMPRODUCT($J14:$J22,--($C14:$C22&gt;0)),1),0)</f>
        <v>0</v>
      </c>
      <c r="J96" s="63" cm="1">
        <f t="array" ref="J96">IF($E8="yes",IFERROR(SUMPRODUCT($J14:$J22,--($C14:$C22&lt;J100))/SUMPRODUCT($J14:$J22,--($C14:$C22&gt;0)),1),0)</f>
        <v>0</v>
      </c>
      <c r="K96" s="63" cm="1">
        <f t="array" ref="K96">IF($E8="yes",IFERROR(SUMPRODUCT($J14:$J22,--($C14:$C22&lt;K100))/SUMPRODUCT($J14:$J22,--($C14:$C22&gt;0)),1),0)</f>
        <v>0</v>
      </c>
      <c r="L96" s="55">
        <f>IF(ISBLANK(M96),"",MAX(L$5:L95)+1)</f>
        <v>43</v>
      </c>
      <c r="M96" s="56" t="s">
        <v>578</v>
      </c>
      <c r="N96" s="54"/>
      <c r="O96" s="57"/>
      <c r="P96" s="57"/>
    </row>
    <row r="97" spans="2:16" s="58" customFormat="1">
      <c r="B97" s="57" t="s">
        <v>579</v>
      </c>
      <c r="C97" s="102"/>
      <c r="D97" s="64" t="s">
        <v>130</v>
      </c>
      <c r="E97" s="61">
        <f>$J24*(1-E96)</f>
        <v>0</v>
      </c>
      <c r="F97" s="61">
        <f t="shared" ref="F97:K97" si="16">$J24*(1-F96)</f>
        <v>0</v>
      </c>
      <c r="G97" s="61">
        <f t="shared" si="16"/>
        <v>0</v>
      </c>
      <c r="H97" s="61">
        <f t="shared" si="16"/>
        <v>0</v>
      </c>
      <c r="I97" s="61">
        <f t="shared" si="16"/>
        <v>0</v>
      </c>
      <c r="J97" s="61">
        <f t="shared" si="16"/>
        <v>0</v>
      </c>
      <c r="K97" s="61">
        <f t="shared" si="16"/>
        <v>0</v>
      </c>
      <c r="L97" s="55">
        <f>IF(ISBLANK(M97),"",MAX(L$5:L96)+1)</f>
        <v>44</v>
      </c>
      <c r="M97" s="56" t="s">
        <v>578</v>
      </c>
      <c r="N97" s="54"/>
      <c r="O97" s="57"/>
      <c r="P97" s="57"/>
    </row>
    <row r="98" spans="2:16" s="58" customFormat="1">
      <c r="B98" s="57" t="s">
        <v>372</v>
      </c>
      <c r="C98" s="102"/>
      <c r="D98" s="64" t="s">
        <v>130</v>
      </c>
      <c r="E98" s="89">
        <f>E95-E97</f>
        <v>0</v>
      </c>
      <c r="F98" s="89">
        <f t="shared" ref="F98:K98" si="17">F95-F97</f>
        <v>0</v>
      </c>
      <c r="G98" s="89">
        <f t="shared" si="17"/>
        <v>0</v>
      </c>
      <c r="H98" s="89">
        <f t="shared" si="17"/>
        <v>0</v>
      </c>
      <c r="I98" s="89">
        <f t="shared" si="17"/>
        <v>0</v>
      </c>
      <c r="J98" s="89">
        <f t="shared" si="17"/>
        <v>0</v>
      </c>
      <c r="K98" s="89">
        <f t="shared" si="17"/>
        <v>0</v>
      </c>
      <c r="L98" s="55">
        <f>IF(ISBLANK(M98),"",MAX(L$5:L97)+1)</f>
        <v>45</v>
      </c>
      <c r="M98" s="56" t="s">
        <v>437</v>
      </c>
      <c r="N98" s="54"/>
      <c r="O98" s="57"/>
    </row>
    <row r="99" spans="2:16" s="58" customFormat="1">
      <c r="B99" s="57" t="s">
        <v>438</v>
      </c>
      <c r="C99" s="102"/>
      <c r="D99" s="54" t="s">
        <v>130</v>
      </c>
      <c r="E99" s="86">
        <f t="shared" ref="E99:K99" si="18">IFERROR(E94/$K39,0)</f>
        <v>0</v>
      </c>
      <c r="F99" s="86">
        <f t="shared" si="18"/>
        <v>0</v>
      </c>
      <c r="G99" s="86">
        <f t="shared" si="18"/>
        <v>0</v>
      </c>
      <c r="H99" s="86">
        <f t="shared" si="18"/>
        <v>0</v>
      </c>
      <c r="I99" s="86">
        <f t="shared" si="18"/>
        <v>0</v>
      </c>
      <c r="J99" s="86">
        <f t="shared" si="18"/>
        <v>0</v>
      </c>
      <c r="K99" s="86">
        <f t="shared" si="18"/>
        <v>0</v>
      </c>
      <c r="L99" s="55">
        <f>IF(ISBLANK(M99),"",MAX(L$5:L98)+1)</f>
        <v>46</v>
      </c>
      <c r="M99" s="56" t="s">
        <v>439</v>
      </c>
      <c r="N99" s="54"/>
      <c r="O99" s="57"/>
    </row>
    <row r="100" spans="2:16" s="58" customFormat="1">
      <c r="B100" s="57" t="s">
        <v>440</v>
      </c>
      <c r="C100" s="102"/>
      <c r="D100" s="54" t="str">
        <f>D5</f>
        <v>$</v>
      </c>
      <c r="E100" s="104">
        <f t="shared" ref="E100:K100" si="19">IFERROR(E94/E98,0)</f>
        <v>0</v>
      </c>
      <c r="F100" s="104">
        <f t="shared" si="19"/>
        <v>0</v>
      </c>
      <c r="G100" s="104">
        <f t="shared" si="19"/>
        <v>0</v>
      </c>
      <c r="H100" s="104">
        <f t="shared" si="19"/>
        <v>0</v>
      </c>
      <c r="I100" s="104">
        <f t="shared" si="19"/>
        <v>0</v>
      </c>
      <c r="J100" s="104">
        <f t="shared" si="19"/>
        <v>0</v>
      </c>
      <c r="K100" s="104">
        <f t="shared" si="19"/>
        <v>0</v>
      </c>
      <c r="L100" s="55">
        <f>IF(ISBLANK(M100),"",MAX(L$5:L99)+1)</f>
        <v>47</v>
      </c>
      <c r="M100" s="56" t="s">
        <v>441</v>
      </c>
      <c r="N100" s="54"/>
      <c r="O100" s="57"/>
    </row>
    <row r="101" spans="2:16" s="58" customFormat="1">
      <c r="B101" s="57"/>
      <c r="C101" s="102"/>
      <c r="D101" s="64"/>
      <c r="L101" s="55" t="str">
        <f>IF(ISBLANK(M101),"",MAX(L$5:L100)+1)</f>
        <v/>
      </c>
      <c r="M101" s="56"/>
      <c r="N101" s="54"/>
      <c r="O101" s="57"/>
    </row>
    <row r="102" spans="2:16" s="58" customFormat="1">
      <c r="B102" s="59" t="str">
        <f>"Preferred, "&amp;E68</f>
        <v>Preferred, C</v>
      </c>
      <c r="C102" s="102"/>
      <c r="D102" s="105"/>
      <c r="J102" s="106"/>
      <c r="L102" s="55" t="str">
        <f>IF(ISBLANK(M102),"",MAX(L$5:L101)+1)</f>
        <v/>
      </c>
      <c r="M102" s="56"/>
      <c r="N102" s="54"/>
      <c r="O102" s="57"/>
    </row>
    <row r="103" spans="2:16" s="58" customFormat="1">
      <c r="B103" s="57" t="s">
        <v>442</v>
      </c>
      <c r="C103" s="102"/>
      <c r="D103" s="54" t="str">
        <f>D5</f>
        <v>$</v>
      </c>
      <c r="E103" s="89">
        <f t="shared" ref="E103:K103" si="20">E94</f>
        <v>6250</v>
      </c>
      <c r="F103" s="89">
        <f t="shared" si="20"/>
        <v>12500</v>
      </c>
      <c r="G103" s="89">
        <f t="shared" si="20"/>
        <v>25000</v>
      </c>
      <c r="H103" s="89">
        <f t="shared" si="20"/>
        <v>50000</v>
      </c>
      <c r="I103" s="89">
        <f t="shared" si="20"/>
        <v>75000</v>
      </c>
      <c r="J103" s="89">
        <f t="shared" si="20"/>
        <v>112500</v>
      </c>
      <c r="K103" s="89">
        <f t="shared" si="20"/>
        <v>168750</v>
      </c>
      <c r="L103" s="55">
        <f>IF(ISBLANK(M103),"",MAX(L$5:L102)+1)</f>
        <v>48</v>
      </c>
      <c r="M103" s="56" t="s">
        <v>443</v>
      </c>
    </row>
    <row r="104" spans="2:16" s="58" customFormat="1">
      <c r="B104" s="57" t="s">
        <v>444</v>
      </c>
      <c r="C104" s="102"/>
      <c r="D104" s="64" t="s">
        <v>130</v>
      </c>
      <c r="E104" s="89">
        <f t="shared" ref="E104:K104" si="21">E98</f>
        <v>0</v>
      </c>
      <c r="F104" s="89">
        <f t="shared" si="21"/>
        <v>0</v>
      </c>
      <c r="G104" s="89">
        <f t="shared" si="21"/>
        <v>0</v>
      </c>
      <c r="H104" s="89">
        <f t="shared" si="21"/>
        <v>0</v>
      </c>
      <c r="I104" s="89">
        <f t="shared" si="21"/>
        <v>0</v>
      </c>
      <c r="J104" s="89">
        <f t="shared" si="21"/>
        <v>0</v>
      </c>
      <c r="K104" s="89">
        <f t="shared" si="21"/>
        <v>0</v>
      </c>
      <c r="L104" s="55">
        <f>IF(ISBLANK(M104),"",MAX(L$5:L103)+1)</f>
        <v>49</v>
      </c>
      <c r="M104" s="56" t="s">
        <v>445</v>
      </c>
    </row>
    <row r="105" spans="2:16" s="58" customFormat="1">
      <c r="B105" s="71" t="str">
        <f>"Shares, "&amp;B102</f>
        <v>Shares, Preferred, C</v>
      </c>
      <c r="C105" s="102"/>
      <c r="D105" s="86" t="s">
        <v>130</v>
      </c>
      <c r="E105" s="89">
        <f t="shared" ref="E105:K105" si="22">$E59</f>
        <v>0</v>
      </c>
      <c r="F105" s="89">
        <f t="shared" si="22"/>
        <v>0</v>
      </c>
      <c r="G105" s="89">
        <f t="shared" si="22"/>
        <v>0</v>
      </c>
      <c r="H105" s="89">
        <f t="shared" si="22"/>
        <v>0</v>
      </c>
      <c r="I105" s="89">
        <f t="shared" si="22"/>
        <v>0</v>
      </c>
      <c r="J105" s="89">
        <f t="shared" si="22"/>
        <v>0</v>
      </c>
      <c r="K105" s="89">
        <f t="shared" si="22"/>
        <v>0</v>
      </c>
      <c r="L105" s="55">
        <f>IF(ISBLANK(M105),"",MAX(L$5:L104)+1)</f>
        <v>50</v>
      </c>
      <c r="M105" s="107" t="s">
        <v>446</v>
      </c>
    </row>
    <row r="106" spans="2:16" s="58" customFormat="1">
      <c r="B106" s="71" t="s">
        <v>447</v>
      </c>
      <c r="C106" s="102"/>
      <c r="D106" s="86" t="str">
        <f>D$5</f>
        <v>$</v>
      </c>
      <c r="E106" s="89">
        <f t="shared" ref="E106:K106" si="23">$E61</f>
        <v>0</v>
      </c>
      <c r="F106" s="89">
        <f t="shared" si="23"/>
        <v>0</v>
      </c>
      <c r="G106" s="89">
        <f t="shared" si="23"/>
        <v>0</v>
      </c>
      <c r="H106" s="89">
        <f t="shared" si="23"/>
        <v>0</v>
      </c>
      <c r="I106" s="89">
        <f t="shared" si="23"/>
        <v>0</v>
      </c>
      <c r="J106" s="89">
        <f t="shared" si="23"/>
        <v>0</v>
      </c>
      <c r="K106" s="89">
        <f t="shared" si="23"/>
        <v>0</v>
      </c>
      <c r="L106" s="55">
        <f>IF(ISBLANK(M106),"",MAX(L$5:L105)+1)</f>
        <v>51</v>
      </c>
      <c r="M106" s="107" t="s">
        <v>448</v>
      </c>
    </row>
    <row r="107" spans="2:16" s="58" customFormat="1">
      <c r="B107" s="71" t="s">
        <v>449</v>
      </c>
      <c r="C107" s="108"/>
      <c r="D107" s="86" t="str">
        <f>D5</f>
        <v>$</v>
      </c>
      <c r="E107" s="108" t="str">
        <f>IF($E$62=$B$330,$E60*$E$63,IF($E$62=$B$331,0,"na"))</f>
        <v>na</v>
      </c>
      <c r="F107" s="108" t="str">
        <f>IF($E$62=$B$330,$E60*$E$63,IF($E$62=$B$331,0,"na"))</f>
        <v>na</v>
      </c>
      <c r="G107" s="108" t="str">
        <f>IF($E$62=$B$330,$E60*$E$63,IF($E$62=$B$331,0,"na"))</f>
        <v>na</v>
      </c>
      <c r="H107" s="108" t="str">
        <f>IF($E$62=$B$330,$E60*$E$63,IF($E$62=$B$331,0,"na"))</f>
        <v>na</v>
      </c>
      <c r="I107" s="108" t="str">
        <f>IF($E$62=$B$330,$E60*$E$63,IF($E$62=$B$331,0,"na"))</f>
        <v>na</v>
      </c>
      <c r="J107" s="108" t="str">
        <f>IF($E$62=$B$330,$E60*$E$63,IF($E$62=$B$331,0,"na"))</f>
        <v>na</v>
      </c>
      <c r="K107" s="108" t="str">
        <f>IF($E$62=$B$330,$E60*$E$63,IF($E$62=$B$331,0,"na"))</f>
        <v>na</v>
      </c>
      <c r="L107" s="55">
        <f>IF(ISBLANK(M107),"",MAX(L$5:L106)+1)</f>
        <v>52</v>
      </c>
      <c r="M107" s="107" t="s">
        <v>450</v>
      </c>
    </row>
    <row r="108" spans="2:16" s="58" customFormat="1">
      <c r="B108" s="74" t="str">
        <f>"Note: Implied Proceeds, do not convert to Common, if "&amp;B$329</f>
        <v>Note: Implied Proceeds, do not convert to Common, if Non Participating Preferred</v>
      </c>
      <c r="C108" s="89"/>
      <c r="D108" s="86" t="str">
        <f>D$5</f>
        <v>$</v>
      </c>
      <c r="E108" s="89">
        <f>MIN(E103,E106)</f>
        <v>0</v>
      </c>
      <c r="F108" s="89">
        <f>MIN(F103,F106)</f>
        <v>0</v>
      </c>
      <c r="G108" s="89">
        <f>MIN(G103,G106)</f>
        <v>0</v>
      </c>
      <c r="H108" s="89">
        <f t="shared" ref="H108:K108" si="24">MIN(H103,H106)</f>
        <v>0</v>
      </c>
      <c r="I108" s="89">
        <f t="shared" si="24"/>
        <v>0</v>
      </c>
      <c r="J108" s="89">
        <f t="shared" si="24"/>
        <v>0</v>
      </c>
      <c r="K108" s="89">
        <f t="shared" si="24"/>
        <v>0</v>
      </c>
      <c r="L108" s="55">
        <f>IF(ISBLANK(M108),"",MAX(L$5:L107)+1)</f>
        <v>53</v>
      </c>
      <c r="M108" s="107" t="s">
        <v>451</v>
      </c>
      <c r="N108" s="100"/>
    </row>
    <row r="109" spans="2:16" s="58" customFormat="1">
      <c r="B109" s="74" t="str">
        <f>"Note: Implied Proceeds, do not convert to Common, if "&amp;B$330</f>
        <v>Note: Implied Proceeds, do not convert to Common, if Participating Preferred with a Cap</v>
      </c>
      <c r="C109" s="89"/>
      <c r="D109" s="86" t="str">
        <f>D$5</f>
        <v>$</v>
      </c>
      <c r="E109" s="89">
        <f t="shared" ref="E109:K109" si="25">IFERROR(IF($E$8="no",MIN(MAX(0,E$94)/E$98*E105+E106,E103,$E$60*$E$63),MIN(E$199*E105+E106,E103,$E$60*$E$63)),0)</f>
        <v>0</v>
      </c>
      <c r="F109" s="89">
        <f t="shared" si="25"/>
        <v>0</v>
      </c>
      <c r="G109" s="89">
        <f t="shared" si="25"/>
        <v>0</v>
      </c>
      <c r="H109" s="89">
        <f t="shared" si="25"/>
        <v>0</v>
      </c>
      <c r="I109" s="89">
        <f t="shared" si="25"/>
        <v>0</v>
      </c>
      <c r="J109" s="89">
        <f t="shared" si="25"/>
        <v>0</v>
      </c>
      <c r="K109" s="89">
        <f t="shared" si="25"/>
        <v>0</v>
      </c>
      <c r="L109" s="55">
        <f>IF(ISBLANK(M109),"",MAX(L$5:L108)+1)</f>
        <v>54</v>
      </c>
      <c r="M109" s="107" t="s">
        <v>452</v>
      </c>
      <c r="N109" s="100"/>
    </row>
    <row r="110" spans="2:16" s="58" customFormat="1">
      <c r="B110" s="74" t="str">
        <f>"Note: Implied Proceeds, do not convert to Common, if "&amp;B$331</f>
        <v>Note: Implied Proceeds, do not convert to Common, if Full Participating Preferred</v>
      </c>
      <c r="C110" s="89"/>
      <c r="D110" s="86" t="str">
        <f>D$5</f>
        <v>$</v>
      </c>
      <c r="E110" s="89">
        <f t="shared" ref="E110:K110" si="26">IFERROR(MIN(E$199*E105+E106,E103),0)</f>
        <v>0</v>
      </c>
      <c r="F110" s="89">
        <f t="shared" si="26"/>
        <v>0</v>
      </c>
      <c r="G110" s="89">
        <f t="shared" si="26"/>
        <v>0</v>
      </c>
      <c r="H110" s="89">
        <f t="shared" si="26"/>
        <v>0</v>
      </c>
      <c r="I110" s="89">
        <f t="shared" si="26"/>
        <v>0</v>
      </c>
      <c r="J110" s="89">
        <f t="shared" si="26"/>
        <v>0</v>
      </c>
      <c r="K110" s="89">
        <f t="shared" si="26"/>
        <v>0</v>
      </c>
      <c r="L110" s="55">
        <f>IF(ISBLANK(M110),"",MAX(L$5:L109)+1)</f>
        <v>55</v>
      </c>
      <c r="M110" s="107" t="s">
        <v>453</v>
      </c>
      <c r="N110" s="100"/>
    </row>
    <row r="111" spans="2:16" s="58" customFormat="1">
      <c r="B111" s="74" t="s">
        <v>454</v>
      </c>
      <c r="C111" s="109"/>
      <c r="D111" s="86" t="str">
        <f>D$5</f>
        <v>$</v>
      </c>
      <c r="E111" s="109">
        <f>IFERROR(IF($E$8="no",MAX(0,E$94)/E$98*E105*$E$64,E$199*E105*$E$64),0)</f>
        <v>0</v>
      </c>
      <c r="F111" s="109">
        <f t="shared" ref="F111:K111" si="27">IFERROR(IF($E$8="no",MAX(0,F$94)/F$98*F105*$E$64,F$199*F105*$E$64),0)</f>
        <v>0</v>
      </c>
      <c r="G111" s="109">
        <f t="shared" si="27"/>
        <v>0</v>
      </c>
      <c r="H111" s="109">
        <f t="shared" si="27"/>
        <v>0</v>
      </c>
      <c r="I111" s="109">
        <f t="shared" si="27"/>
        <v>0</v>
      </c>
      <c r="J111" s="109">
        <f t="shared" si="27"/>
        <v>0</v>
      </c>
      <c r="K111" s="109">
        <f t="shared" si="27"/>
        <v>0</v>
      </c>
      <c r="L111" s="55">
        <f>IF(ISBLANK(M111),"",MAX(L$5:L110)+1)</f>
        <v>56</v>
      </c>
      <c r="M111" s="107" t="s">
        <v>455</v>
      </c>
    </row>
    <row r="112" spans="2:16" s="58" customFormat="1">
      <c r="B112" s="71" t="s">
        <v>456</v>
      </c>
      <c r="C112" s="91"/>
      <c r="D112" s="86" t="s">
        <v>361</v>
      </c>
      <c r="E112" s="91" t="str">
        <f>IF($E$62=$B$329,"no",IF($E$62=$B$331,"yes",IF(E109&gt;E111,"yes","no")))</f>
        <v>no</v>
      </c>
      <c r="F112" s="91" t="str">
        <f>IF($E$62=$B$329,"no",IF($E$62=$B$331,"yes",IF(F109&gt;F111,"yes","no")))</f>
        <v>no</v>
      </c>
      <c r="G112" s="91" t="str">
        <f>IF($E$62=$B$329,"no",IF($E$62=$B$331,"yes",IF(G109&gt;G111,"yes","no")))</f>
        <v>no</v>
      </c>
      <c r="H112" s="91" t="str">
        <f>IF($E$62=$B$329,"no",IF($E$62=$B$331,"yes",IF(H109&gt;H111,"yes","no")))</f>
        <v>no</v>
      </c>
      <c r="I112" s="91" t="str">
        <f>IF($E$62=$B$329,"no",IF($E$62=$B$331,"yes",IF(I109&gt;I111,"yes","no")))</f>
        <v>no</v>
      </c>
      <c r="J112" s="91" t="str">
        <f>IF($E$62=$B$329,"no",IF($E$62=$B$331,"yes",IF(J109&gt;J111,"yes","no")))</f>
        <v>no</v>
      </c>
      <c r="K112" s="91" t="str">
        <f>IF($E$62=$B$329,"no",IF($E$62=$B$331,"yes",IF(K109&gt;K111,"yes","no")))</f>
        <v>no</v>
      </c>
      <c r="L112" s="55">
        <f>IF(ISBLANK(M112),"",MAX(L$5:L111)+1)</f>
        <v>57</v>
      </c>
      <c r="M112" s="107" t="s">
        <v>457</v>
      </c>
    </row>
    <row r="113" spans="2:13" s="58" customFormat="1">
      <c r="B113" s="71" t="s">
        <v>458</v>
      </c>
      <c r="C113" s="89"/>
      <c r="D113" s="86" t="s">
        <v>130</v>
      </c>
      <c r="E113" s="89">
        <f>IFERROR(IF(E112="yes",INDEX(E114:E116,MATCH($E$62,$B$329:$B$331,0))/E$199,0),0)</f>
        <v>0</v>
      </c>
      <c r="F113" s="89">
        <f>IFERROR(IF(F112="yes",INDEX(F114:F116,MATCH($E$62,$B$329:$B$331,0))/F$199,0),0)</f>
        <v>0</v>
      </c>
      <c r="G113" s="89">
        <f>IFERROR(IF(G112="yes",INDEX(G114:G116,MATCH($E$62,$B$329:$B$331,0))/G$199,0),0)</f>
        <v>0</v>
      </c>
      <c r="H113" s="89">
        <f>IFERROR(IF(H112="yes",INDEX(H114:H116,MATCH($E$62,$B$329:$B$331,0))/H$199,0),0)</f>
        <v>0</v>
      </c>
      <c r="I113" s="89">
        <f>IFERROR(IF(I112="yes",INDEX(I114:I116,MATCH($E$62,$B$329:$B$331,0))/I$199,0),0)</f>
        <v>0</v>
      </c>
      <c r="J113" s="89">
        <f>IFERROR(IF(J112="yes",INDEX(J114:J116,MATCH($E$62,$B$329:$B$331,0))/J$199,0),0)</f>
        <v>0</v>
      </c>
      <c r="K113" s="89">
        <f>IFERROR(IF(K112="yes",INDEX(K114:K116,MATCH($E$62,$B$329:$B$331,0))/K$199,0),0)</f>
        <v>0</v>
      </c>
      <c r="L113" s="55">
        <f>IF(ISBLANK(M113),"",MAX(L$5:L112)+1)</f>
        <v>58</v>
      </c>
      <c r="M113" s="107" t="s">
        <v>459</v>
      </c>
    </row>
    <row r="114" spans="2:13" s="58" customFormat="1">
      <c r="B114" s="74" t="str">
        <f>"Note: Participation, if "&amp;B329</f>
        <v>Note: Participation, if Non Participating Preferred</v>
      </c>
      <c r="C114" s="89"/>
      <c r="D114" s="86" t="str">
        <f>D$5</f>
        <v>$</v>
      </c>
      <c r="E114" s="89">
        <f t="shared" ref="E114:K116" si="28">MAX(0,E108-E$106)</f>
        <v>0</v>
      </c>
      <c r="F114" s="89">
        <f t="shared" si="28"/>
        <v>0</v>
      </c>
      <c r="G114" s="89">
        <f t="shared" si="28"/>
        <v>0</v>
      </c>
      <c r="H114" s="89">
        <f t="shared" si="28"/>
        <v>0</v>
      </c>
      <c r="I114" s="89">
        <f t="shared" si="28"/>
        <v>0</v>
      </c>
      <c r="J114" s="89">
        <f t="shared" si="28"/>
        <v>0</v>
      </c>
      <c r="K114" s="89">
        <f t="shared" si="28"/>
        <v>0</v>
      </c>
      <c r="L114" s="55">
        <f>IF(ISBLANK(M114),"",MAX(L$5:L113)+1)</f>
        <v>59</v>
      </c>
      <c r="M114" s="107" t="s">
        <v>460</v>
      </c>
    </row>
    <row r="115" spans="2:13" s="58" customFormat="1">
      <c r="B115" s="74" t="str">
        <f>"Note: Participation, if "&amp;B330</f>
        <v>Note: Participation, if Participating Preferred with a Cap</v>
      </c>
      <c r="C115" s="89"/>
      <c r="D115" s="86" t="str">
        <f>D$5</f>
        <v>$</v>
      </c>
      <c r="E115" s="89">
        <f t="shared" si="28"/>
        <v>0</v>
      </c>
      <c r="F115" s="89">
        <f t="shared" si="28"/>
        <v>0</v>
      </c>
      <c r="G115" s="89">
        <f t="shared" si="28"/>
        <v>0</v>
      </c>
      <c r="H115" s="89">
        <f t="shared" si="28"/>
        <v>0</v>
      </c>
      <c r="I115" s="89">
        <f t="shared" si="28"/>
        <v>0</v>
      </c>
      <c r="J115" s="89">
        <f t="shared" si="28"/>
        <v>0</v>
      </c>
      <c r="K115" s="89">
        <f t="shared" si="28"/>
        <v>0</v>
      </c>
      <c r="L115" s="55">
        <f>IF(ISBLANK(M115),"",MAX(L$5:L114)+1)</f>
        <v>60</v>
      </c>
      <c r="M115" s="107" t="s">
        <v>460</v>
      </c>
    </row>
    <row r="116" spans="2:13" s="58" customFormat="1">
      <c r="B116" s="74" t="str">
        <f>"Note: Participation, if "&amp;B331</f>
        <v>Note: Participation, if Full Participating Preferred</v>
      </c>
      <c r="C116" s="89"/>
      <c r="D116" s="86" t="str">
        <f>D$5</f>
        <v>$</v>
      </c>
      <c r="E116" s="89">
        <f t="shared" si="28"/>
        <v>0</v>
      </c>
      <c r="F116" s="89">
        <f t="shared" si="28"/>
        <v>0</v>
      </c>
      <c r="G116" s="89">
        <f t="shared" si="28"/>
        <v>0</v>
      </c>
      <c r="H116" s="89">
        <f t="shared" si="28"/>
        <v>0</v>
      </c>
      <c r="I116" s="89">
        <f t="shared" si="28"/>
        <v>0</v>
      </c>
      <c r="J116" s="89">
        <f t="shared" si="28"/>
        <v>0</v>
      </c>
      <c r="K116" s="89">
        <f t="shared" si="28"/>
        <v>0</v>
      </c>
      <c r="L116" s="55">
        <f>IF(ISBLANK(M116),"",MAX(L$5:L115)+1)</f>
        <v>61</v>
      </c>
      <c r="M116" s="107" t="s">
        <v>460</v>
      </c>
    </row>
    <row r="117" spans="2:13" s="58" customFormat="1">
      <c r="B117" s="71" t="s">
        <v>461</v>
      </c>
      <c r="C117" s="91"/>
      <c r="D117" s="86" t="s">
        <v>361</v>
      </c>
      <c r="E117" s="91" t="str">
        <f>IF($E$62=$B$329,IF(E108&gt;E111,"no","yes"),IF(E112="yes","no","yes"))</f>
        <v>yes</v>
      </c>
      <c r="F117" s="91" t="str">
        <f>IF($E$62=$B$329,IF(F108&gt;F111,"no","yes"),IF(F112="yes","no","yes"))</f>
        <v>yes</v>
      </c>
      <c r="G117" s="91" t="str">
        <f>IF($E$62=$B$329,IF(G108&gt;G111,"no","yes"),IF(G112="yes","no","yes"))</f>
        <v>yes</v>
      </c>
      <c r="H117" s="91" t="str">
        <f>IF($E$62=$B$329,IF(H108&gt;H111,"no","yes"),IF(H112="yes","no","yes"))</f>
        <v>yes</v>
      </c>
      <c r="I117" s="91" t="str">
        <f>IF($E$62=$B$329,IF(I108&gt;I111,"no","yes"),IF(I112="yes","no","yes"))</f>
        <v>yes</v>
      </c>
      <c r="J117" s="91" t="str">
        <f>IF($E$62=$B$329,IF(J108&gt;J111,"no","yes"),IF(J112="yes","no","yes"))</f>
        <v>yes</v>
      </c>
      <c r="K117" s="91" t="str">
        <f>IF($E$62=$B$329,IF(K108&gt;K111,"no","yes"),IF(K112="yes","no","yes"))</f>
        <v>yes</v>
      </c>
      <c r="L117" s="55">
        <f>IF(ISBLANK(M117),"",MAX(L$5:L116)+1)</f>
        <v>62</v>
      </c>
      <c r="M117" s="107" t="s">
        <v>462</v>
      </c>
    </row>
    <row r="118" spans="2:13" s="58" customFormat="1">
      <c r="B118" s="71" t="s">
        <v>463</v>
      </c>
      <c r="C118" s="89"/>
      <c r="D118" s="86" t="s">
        <v>130</v>
      </c>
      <c r="E118" s="89">
        <f>IF(E117="yes",E105*$E$64,0)</f>
        <v>0</v>
      </c>
      <c r="F118" s="89">
        <f t="shared" ref="F118:K118" si="29">IF(F117="yes",F105*$E$64,0)</f>
        <v>0</v>
      </c>
      <c r="G118" s="89">
        <f t="shared" si="29"/>
        <v>0</v>
      </c>
      <c r="H118" s="89">
        <f t="shared" si="29"/>
        <v>0</v>
      </c>
      <c r="I118" s="89">
        <f t="shared" si="29"/>
        <v>0</v>
      </c>
      <c r="J118" s="89">
        <f t="shared" si="29"/>
        <v>0</v>
      </c>
      <c r="K118" s="89">
        <f t="shared" si="29"/>
        <v>0</v>
      </c>
      <c r="L118" s="55">
        <f>IF(ISBLANK(M118),"",MAX(L$5:L117)+1)</f>
        <v>63</v>
      </c>
      <c r="M118" s="107" t="s">
        <v>464</v>
      </c>
    </row>
    <row r="119" spans="2:13" s="58" customFormat="1">
      <c r="B119" s="71" t="s">
        <v>465</v>
      </c>
      <c r="C119" s="109"/>
      <c r="D119" s="86" t="str">
        <f>D$5</f>
        <v>$</v>
      </c>
      <c r="E119" s="109">
        <f t="shared" ref="E119:K119" si="30">IF($E8="yes",IFERROR(E118*E$199,0),IFERROR(E118/E$98*E$94,0))</f>
        <v>0</v>
      </c>
      <c r="F119" s="109">
        <f t="shared" si="30"/>
        <v>0</v>
      </c>
      <c r="G119" s="109">
        <f t="shared" si="30"/>
        <v>0</v>
      </c>
      <c r="H119" s="109">
        <f t="shared" si="30"/>
        <v>0</v>
      </c>
      <c r="I119" s="109">
        <f t="shared" si="30"/>
        <v>0</v>
      </c>
      <c r="J119" s="109">
        <f t="shared" si="30"/>
        <v>0</v>
      </c>
      <c r="K119" s="109">
        <f t="shared" si="30"/>
        <v>0</v>
      </c>
      <c r="L119" s="55">
        <f>IF(ISBLANK(M119),"",MAX(L$5:L118)+1)</f>
        <v>64</v>
      </c>
      <c r="M119" s="107" t="s">
        <v>466</v>
      </c>
    </row>
    <row r="120" spans="2:13" s="58" customFormat="1">
      <c r="B120" s="71" t="s">
        <v>385</v>
      </c>
      <c r="C120" s="109"/>
      <c r="D120" s="86" t="str">
        <f>D$5</f>
        <v>$</v>
      </c>
      <c r="E120" s="109">
        <f>IF(OR(E117="yes",$E$65=$B$336),0,IF($E$65=$B$334,$E$66*$E$60,ROUND(YEARFRAC($E$67,$E$6,1),0)*$E$66*$E$60))</f>
        <v>0</v>
      </c>
      <c r="F120" s="109">
        <f>IF(OR(F117="yes",$E$65=$B$336),0,IF($E$65=$B$334,$E$66*$E$60,ROUND(YEARFRAC($E$67,$E$6,1),0)*$E$66*$E$60))</f>
        <v>0</v>
      </c>
      <c r="G120" s="109">
        <f>IF(OR(G117="yes",$E$65=$B$336),0,IF($E$65=$B$334,$E$66*$E$60,ROUND(YEARFRAC($E$67,$E$6,1),0)*$E$66*$E$60))</f>
        <v>0</v>
      </c>
      <c r="H120" s="109">
        <f>IF(OR(H117="yes",$E$65=$B$336),0,IF($E$65=$B$334,$E$66*$E$60,ROUND(YEARFRAC($E$67,$E$6,1),0)*$E$66*$E$60))</f>
        <v>0</v>
      </c>
      <c r="I120" s="109">
        <f>IF(OR(I117="yes",$E$65=$B$336),0,IF($E$65=$B$334,$E$66*$E$60,ROUND(YEARFRAC($E$67,$E$6,1),0)*$E$66*$E$60))</f>
        <v>0</v>
      </c>
      <c r="J120" s="109">
        <f>IF(OR(J117="yes",$E$65=$B$336),0,IF($E$65=$B$334,$E$66*$E$60,ROUND(YEARFRAC($E$67,$E$6,1),0)*$E$66*$E$60))</f>
        <v>0</v>
      </c>
      <c r="K120" s="109">
        <f>IF(OR(K117="yes",$E$65=$B$336),0,IF($E$65=$B$334,$E$66*$E$60,ROUND(YEARFRAC($E$67,$E$6,1),0)*$E$66*$E$60))</f>
        <v>0</v>
      </c>
      <c r="L120" s="55">
        <f>IF(ISBLANK(M120),"",MAX(L$5:L119)+1)</f>
        <v>65</v>
      </c>
      <c r="M120" s="107" t="s">
        <v>467</v>
      </c>
    </row>
    <row r="121" spans="2:13" s="58" customFormat="1">
      <c r="B121" s="71" t="str">
        <f>"Proceeds to "&amp;B102</f>
        <v>Proceeds to Preferred, C</v>
      </c>
      <c r="C121" s="89"/>
      <c r="D121" s="86" t="str">
        <f>D5</f>
        <v>$</v>
      </c>
      <c r="E121" s="89">
        <f>MIN(E103,MAX(E120+INDEX(E108:E110,MATCH($E$62,$B$329:$B$331,0)),E119))</f>
        <v>0</v>
      </c>
      <c r="F121" s="89">
        <f>MIN(F103,MAX(F120+INDEX(F108:F110,MATCH($E$62,$B$329:$B$331,0)),F119))</f>
        <v>0</v>
      </c>
      <c r="G121" s="89">
        <f>MIN(G103,MAX(G120+INDEX(G108:G110,MATCH($E$62,$B$329:$B$331,0)),G119))</f>
        <v>0</v>
      </c>
      <c r="H121" s="89">
        <f>MIN(H103,MAX(H120+INDEX(H108:H110,MATCH($E$62,$B$329:$B$331,0)),H119))</f>
        <v>0</v>
      </c>
      <c r="I121" s="89">
        <f>MIN(I103,MAX(I120+INDEX(I108:I110,MATCH($E$62,$B$329:$B$331,0)),I119))</f>
        <v>0</v>
      </c>
      <c r="J121" s="89">
        <f>MIN(J103,MAX(J120+INDEX(J108:J110,MATCH($E$62,$B$329:$B$331,0)),J119))</f>
        <v>0</v>
      </c>
      <c r="K121" s="89">
        <f>MIN(K103,MAX(K120+INDEX(K108:K110,MATCH($E$62,$B$329:$B$331,0)),K119))</f>
        <v>0</v>
      </c>
      <c r="L121" s="55">
        <f>IF(ISBLANK(M121),"",MAX(L$5:L120)+1)</f>
        <v>66</v>
      </c>
      <c r="M121" s="107" t="s">
        <v>468</v>
      </c>
    </row>
    <row r="122" spans="2:13" s="58" customFormat="1">
      <c r="B122" s="71" t="s">
        <v>469</v>
      </c>
      <c r="C122" s="110"/>
      <c r="D122" s="86" t="str">
        <f>D5</f>
        <v>$</v>
      </c>
      <c r="E122" s="110">
        <f t="shared" ref="E122:K122" si="31">IFERROR(E121/E105,0)</f>
        <v>0</v>
      </c>
      <c r="F122" s="110">
        <f t="shared" si="31"/>
        <v>0</v>
      </c>
      <c r="G122" s="110">
        <f t="shared" si="31"/>
        <v>0</v>
      </c>
      <c r="H122" s="110">
        <f t="shared" si="31"/>
        <v>0</v>
      </c>
      <c r="I122" s="110">
        <f t="shared" si="31"/>
        <v>0</v>
      </c>
      <c r="J122" s="110">
        <f t="shared" si="31"/>
        <v>0</v>
      </c>
      <c r="K122" s="110">
        <f t="shared" si="31"/>
        <v>0</v>
      </c>
      <c r="L122" s="55">
        <f>IF(ISBLANK(M122),"",MAX(L$5:L121)+1)</f>
        <v>67</v>
      </c>
      <c r="M122" s="107" t="s">
        <v>470</v>
      </c>
    </row>
    <row r="123" spans="2:13" s="58" customFormat="1">
      <c r="B123" s="71"/>
      <c r="D123" s="64"/>
      <c r="I123" s="89"/>
      <c r="J123" s="111"/>
      <c r="L123" s="55" t="str">
        <f>IF(ISBLANK(M123),"",MAX(L$5:L122)+1)</f>
        <v/>
      </c>
      <c r="M123" s="83"/>
    </row>
    <row r="124" spans="2:13" s="58" customFormat="1">
      <c r="B124" s="74" t="str">
        <f>"Preferred, "&amp;F68</f>
        <v>Preferred, B</v>
      </c>
      <c r="D124" s="105"/>
      <c r="E124" s="89"/>
      <c r="F124" s="89"/>
      <c r="G124" s="89"/>
      <c r="H124" s="89"/>
      <c r="I124" s="89"/>
      <c r="J124" s="89"/>
      <c r="L124" s="55" t="str">
        <f>IF(ISBLANK(M124),"",MAX(L$5:L123)+1)</f>
        <v/>
      </c>
      <c r="M124" s="83"/>
    </row>
    <row r="125" spans="2:13" s="58" customFormat="1">
      <c r="B125" s="71" t="s">
        <v>442</v>
      </c>
      <c r="C125" s="89"/>
      <c r="D125" s="86" t="str">
        <f>D$5</f>
        <v>$</v>
      </c>
      <c r="E125" s="89">
        <f>IF(E117="no",MAX(0,E103-E106-E120),IF($E$62=$B$331,MAX(0,E103-E106-E120),IF(AND($E$62=$B$330,E119=0),MAX(0,E103-E106-E120),E103)))</f>
        <v>6250</v>
      </c>
      <c r="F125" s="89">
        <f>IF(F117="no",MAX(0,F103-F106-F120),IF($E62=$B$331,MAX(0,F103-F106-F120),IF(AND($E62=$B$330,F119=0),MAX(0,F103-F106-F120),F103)))</f>
        <v>12500</v>
      </c>
      <c r="G125" s="89">
        <f>IF(G117="no",MAX(0,G103-G106-G120),IF($E62=$B$331,MAX(0,G103-G106-G120),IF(AND($E62=$B$330,G119=0),MAX(0,G103-G106-G120),G103)))</f>
        <v>25000</v>
      </c>
      <c r="H125" s="89">
        <f>IF(H117="no",MAX(0,H103-H106-H120),IF($E62=$B$331,MAX(0,H103-H106-H120),IF(AND($E62=$B$330,H119=0),MAX(0,H103-H106-H120),H103)))</f>
        <v>50000</v>
      </c>
      <c r="I125" s="89">
        <f>IF(I117="no",MAX(0,I103-I106-I120),IF($E62=$B$331,MAX(0,I103-I106-I120),IF(AND($E62=$B$330,I119=0),MAX(0,I103-I106-I120),I103)))</f>
        <v>75000</v>
      </c>
      <c r="J125" s="89">
        <f>IF(J117="no",MAX(0,J103-J106-J120),IF($E62=$B$331,MAX(0,J103-J106-J120),IF(AND($E62=$B$330,J119=0),MAX(0,J103-J106-J120),J103)))</f>
        <v>112500</v>
      </c>
      <c r="K125" s="89">
        <f>IF(K117="no",MAX(0,K103-K106-K120),IF($E62=$B$331,MAX(0,K103-K106-K120),IF(AND($E62=$B$330,K119=0),MAX(0,K103-K106-K120),K103)))</f>
        <v>168750</v>
      </c>
      <c r="L125" s="55" t="str">
        <f>IF(ISBLANK(M125),"",MAX(L$5:L124)+1)</f>
        <v/>
      </c>
      <c r="M125" s="107"/>
    </row>
    <row r="126" spans="2:13" s="58" customFormat="1">
      <c r="B126" s="71" t="s">
        <v>444</v>
      </c>
      <c r="C126" s="89"/>
      <c r="D126" s="64" t="s">
        <v>130</v>
      </c>
      <c r="E126" s="89">
        <f t="shared" ref="E126:K126" si="32">E104-E118</f>
        <v>0</v>
      </c>
      <c r="F126" s="89">
        <f t="shared" si="32"/>
        <v>0</v>
      </c>
      <c r="G126" s="89">
        <f t="shared" si="32"/>
        <v>0</v>
      </c>
      <c r="H126" s="89">
        <f t="shared" si="32"/>
        <v>0</v>
      </c>
      <c r="I126" s="89">
        <f t="shared" si="32"/>
        <v>0</v>
      </c>
      <c r="J126" s="89">
        <f t="shared" si="32"/>
        <v>0</v>
      </c>
      <c r="K126" s="89">
        <f t="shared" si="32"/>
        <v>0</v>
      </c>
      <c r="L126" s="55" t="str">
        <f>IF(ISBLANK(M126),"",MAX(L$5:L125)+1)</f>
        <v/>
      </c>
      <c r="M126" s="83"/>
    </row>
    <row r="127" spans="2:13" s="58" customFormat="1">
      <c r="B127" s="71" t="str">
        <f>"Shares, "&amp;B124</f>
        <v>Shares, Preferred, B</v>
      </c>
      <c r="C127" s="89"/>
      <c r="D127" s="86" t="s">
        <v>130</v>
      </c>
      <c r="E127" s="89">
        <f t="shared" ref="E127:K127" si="33">$F59</f>
        <v>0</v>
      </c>
      <c r="F127" s="89">
        <f t="shared" si="33"/>
        <v>0</v>
      </c>
      <c r="G127" s="89">
        <f t="shared" si="33"/>
        <v>0</v>
      </c>
      <c r="H127" s="89">
        <f t="shared" si="33"/>
        <v>0</v>
      </c>
      <c r="I127" s="89">
        <f t="shared" si="33"/>
        <v>0</v>
      </c>
      <c r="J127" s="89">
        <f t="shared" si="33"/>
        <v>0</v>
      </c>
      <c r="K127" s="89">
        <f t="shared" si="33"/>
        <v>0</v>
      </c>
      <c r="L127" s="55" t="str">
        <f>IF(ISBLANK(M127),"",MAX(L$5:L126)+1)</f>
        <v/>
      </c>
      <c r="M127" s="83"/>
    </row>
    <row r="128" spans="2:13" s="58" customFormat="1">
      <c r="B128" s="71" t="s">
        <v>447</v>
      </c>
      <c r="C128" s="108"/>
      <c r="D128" s="86" t="str">
        <f t="shared" ref="D128:D133" si="34">D$5</f>
        <v>$</v>
      </c>
      <c r="E128" s="108">
        <f t="shared" ref="E128:K128" si="35">$F61</f>
        <v>0</v>
      </c>
      <c r="F128" s="108">
        <f t="shared" si="35"/>
        <v>0</v>
      </c>
      <c r="G128" s="108">
        <f t="shared" si="35"/>
        <v>0</v>
      </c>
      <c r="H128" s="108">
        <f t="shared" si="35"/>
        <v>0</v>
      </c>
      <c r="I128" s="108">
        <f t="shared" si="35"/>
        <v>0</v>
      </c>
      <c r="J128" s="108">
        <f t="shared" si="35"/>
        <v>0</v>
      </c>
      <c r="K128" s="108">
        <f t="shared" si="35"/>
        <v>0</v>
      </c>
      <c r="L128" s="55" t="str">
        <f>IF(ISBLANK(M128),"",MAX(L$5:L127)+1)</f>
        <v/>
      </c>
      <c r="M128" s="83"/>
    </row>
    <row r="129" spans="2:14" s="58" customFormat="1">
      <c r="B129" s="71" t="s">
        <v>449</v>
      </c>
      <c r="C129" s="108"/>
      <c r="D129" s="86" t="str">
        <f t="shared" si="34"/>
        <v>$</v>
      </c>
      <c r="E129" s="108" t="str">
        <f>IF($F$62=$B$330,$F60*$F$63,IF($F$62=$B$331,0,"na"))</f>
        <v>na</v>
      </c>
      <c r="F129" s="108" t="str">
        <f>IF($F$62=$B$330,$F60*$F$63,IF($F$62=$B$331,0,"na"))</f>
        <v>na</v>
      </c>
      <c r="G129" s="108" t="str">
        <f>IF($F$62=$B$330,$F60*$F$63,IF($F$62=$B$331,0,"na"))</f>
        <v>na</v>
      </c>
      <c r="H129" s="108" t="str">
        <f>IF($F$62=$B$330,$F60*$F$63,IF($F$62=$B$331,0,"na"))</f>
        <v>na</v>
      </c>
      <c r="I129" s="108" t="str">
        <f>IF($F$62=$B$330,$F60*$F$63,IF($F$62=$B$331,0,"na"))</f>
        <v>na</v>
      </c>
      <c r="J129" s="108" t="str">
        <f>IF($F$62=$B$330,$F60*$F$63,IF($F$62=$B$331,0,"na"))</f>
        <v>na</v>
      </c>
      <c r="K129" s="108" t="str">
        <f>IF($F$62=$B$330,$F60*$F$63,IF($F$62=$B$331,0,"na"))</f>
        <v>na</v>
      </c>
      <c r="L129" s="55" t="str">
        <f>IF(ISBLANK(M129),"",MAX(L$5:L128)+1)</f>
        <v/>
      </c>
      <c r="M129" s="83"/>
    </row>
    <row r="130" spans="2:14" s="58" customFormat="1">
      <c r="B130" s="74" t="str">
        <f>"Note: Implied Proceeds, do not convert to Common, if "&amp;B$329</f>
        <v>Note: Implied Proceeds, do not convert to Common, if Non Participating Preferred</v>
      </c>
      <c r="C130" s="89"/>
      <c r="D130" s="86" t="str">
        <f t="shared" si="34"/>
        <v>$</v>
      </c>
      <c r="E130" s="89">
        <f>MIN(E125,E128)</f>
        <v>0</v>
      </c>
      <c r="F130" s="89">
        <f t="shared" ref="F130:K130" si="36">MIN(F125,F128)</f>
        <v>0</v>
      </c>
      <c r="G130" s="89">
        <f t="shared" si="36"/>
        <v>0</v>
      </c>
      <c r="H130" s="89">
        <f t="shared" si="36"/>
        <v>0</v>
      </c>
      <c r="I130" s="89">
        <f t="shared" si="36"/>
        <v>0</v>
      </c>
      <c r="J130" s="89">
        <f t="shared" si="36"/>
        <v>0</v>
      </c>
      <c r="K130" s="89">
        <f t="shared" si="36"/>
        <v>0</v>
      </c>
      <c r="L130" s="55" t="str">
        <f>IF(ISBLANK(M130),"",MAX(L$5:L129)+1)</f>
        <v/>
      </c>
      <c r="M130" s="83"/>
    </row>
    <row r="131" spans="2:14" s="58" customFormat="1">
      <c r="B131" s="74" t="str">
        <f>"Note: Implied Proceeds, do not convert to Common, if "&amp;B$330</f>
        <v>Note: Implied Proceeds, do not convert to Common, if Participating Preferred with a Cap</v>
      </c>
      <c r="C131" s="89"/>
      <c r="D131" s="86" t="str">
        <f t="shared" si="34"/>
        <v>$</v>
      </c>
      <c r="E131" s="89">
        <f t="shared" ref="E131:K131" si="37">IFERROR(IF($E$8="no",MIN(MAX(0,E$94)/E$98*E127+E128,E125,$F$60*$F$63),MIN(E$199*E127+E128,E125,$F$60*$F$63)),0)</f>
        <v>0</v>
      </c>
      <c r="F131" s="89">
        <f t="shared" si="37"/>
        <v>0</v>
      </c>
      <c r="G131" s="89">
        <f t="shared" si="37"/>
        <v>0</v>
      </c>
      <c r="H131" s="89">
        <f t="shared" si="37"/>
        <v>0</v>
      </c>
      <c r="I131" s="89">
        <f t="shared" si="37"/>
        <v>0</v>
      </c>
      <c r="J131" s="89">
        <f t="shared" si="37"/>
        <v>0</v>
      </c>
      <c r="K131" s="89">
        <f t="shared" si="37"/>
        <v>0</v>
      </c>
      <c r="L131" s="55" t="str">
        <f>IF(ISBLANK(M131),"",MAX(L$5:L130)+1)</f>
        <v/>
      </c>
      <c r="M131" s="83"/>
    </row>
    <row r="132" spans="2:14" s="58" customFormat="1">
      <c r="B132" s="74" t="str">
        <f>"Note: Implied Proceeds, do not convert to Common, if "&amp;B$331</f>
        <v>Note: Implied Proceeds, do not convert to Common, if Full Participating Preferred</v>
      </c>
      <c r="C132" s="89"/>
      <c r="D132" s="86" t="str">
        <f t="shared" si="34"/>
        <v>$</v>
      </c>
      <c r="E132" s="89">
        <f>IFERROR(MIN(E$199*E127+E128,E125),0)</f>
        <v>0</v>
      </c>
      <c r="F132" s="89">
        <f t="shared" ref="F132:K132" si="38">IFERROR(MIN(F$199*F127+F128,F125),0)</f>
        <v>0</v>
      </c>
      <c r="G132" s="89">
        <f t="shared" si="38"/>
        <v>0</v>
      </c>
      <c r="H132" s="89">
        <f t="shared" si="38"/>
        <v>0</v>
      </c>
      <c r="I132" s="89">
        <f t="shared" si="38"/>
        <v>0</v>
      </c>
      <c r="J132" s="89">
        <f t="shared" si="38"/>
        <v>0</v>
      </c>
      <c r="K132" s="89">
        <f t="shared" si="38"/>
        <v>0</v>
      </c>
      <c r="L132" s="55" t="str">
        <f>IF(ISBLANK(M132),"",MAX(L$5:L131)+1)</f>
        <v/>
      </c>
      <c r="M132" s="83"/>
    </row>
    <row r="133" spans="2:14" s="58" customFormat="1">
      <c r="B133" s="74" t="s">
        <v>454</v>
      </c>
      <c r="C133" s="109"/>
      <c r="D133" s="86" t="str">
        <f t="shared" si="34"/>
        <v>$</v>
      </c>
      <c r="E133" s="109">
        <f>IFERROR(IF($E$8="no",MAX(0,E$94)/E$98*E127*$F$64,E$199*E127*$F$64),0)</f>
        <v>0</v>
      </c>
      <c r="F133" s="109">
        <f t="shared" ref="F133:K133" si="39">IFERROR(IF($E$8="no",MAX(0,F$94)/F$98*F127*$F$64,F$199*F127*$F$64),0)</f>
        <v>0</v>
      </c>
      <c r="G133" s="109">
        <f t="shared" si="39"/>
        <v>0</v>
      </c>
      <c r="H133" s="109">
        <f t="shared" si="39"/>
        <v>0</v>
      </c>
      <c r="I133" s="109">
        <f t="shared" si="39"/>
        <v>0</v>
      </c>
      <c r="J133" s="109">
        <f t="shared" si="39"/>
        <v>0</v>
      </c>
      <c r="K133" s="109">
        <f t="shared" si="39"/>
        <v>0</v>
      </c>
      <c r="L133" s="55" t="str">
        <f>IF(ISBLANK(M133),"",MAX(L$5:L132)+1)</f>
        <v/>
      </c>
      <c r="M133" s="83"/>
      <c r="N133" s="112"/>
    </row>
    <row r="134" spans="2:14" s="58" customFormat="1">
      <c r="B134" s="71" t="s">
        <v>456</v>
      </c>
      <c r="C134" s="91"/>
      <c r="D134" s="86" t="s">
        <v>361</v>
      </c>
      <c r="E134" s="91" t="str">
        <f>IF($F$62=$B$329,"no",IF($F$62=$B$331,"yes",IF(E131&gt;E133,"yes","no")))</f>
        <v>no</v>
      </c>
      <c r="F134" s="91" t="str">
        <f>IF($F$62=$B$329,"no",IF($F$62=$B$331,"yes",IF(F131&gt;F133,"yes","no")))</f>
        <v>no</v>
      </c>
      <c r="G134" s="91" t="str">
        <f>IF($F$62=$B$329,"no",IF($F$62=$B$331,"yes",IF(G131&gt;G133,"yes","no")))</f>
        <v>no</v>
      </c>
      <c r="H134" s="91" t="str">
        <f>IF($F$62=$B$329,"no",IF($F$62=$B$331,"yes",IF(H131&gt;H133,"yes","no")))</f>
        <v>no</v>
      </c>
      <c r="I134" s="91" t="str">
        <f>IF($F$62=$B$329,"no",IF($F$62=$B$331,"yes",IF(I131&gt;I133,"yes","no")))</f>
        <v>no</v>
      </c>
      <c r="J134" s="91" t="str">
        <f>IF($F$62=$B$329,"no",IF($F$62=$B$331,"yes",IF(J131&gt;J133,"yes","no")))</f>
        <v>no</v>
      </c>
      <c r="K134" s="91" t="str">
        <f>IF($F$62=$B$329,"no",IF($F$62=$B$331,"yes",IF(K131&gt;K133,"yes","no")))</f>
        <v>no</v>
      </c>
      <c r="L134" s="55" t="str">
        <f>IF(ISBLANK(M134),"",MAX(L$5:L133)+1)</f>
        <v/>
      </c>
      <c r="M134" s="83"/>
    </row>
    <row r="135" spans="2:14" s="58" customFormat="1">
      <c r="B135" s="71" t="s">
        <v>458</v>
      </c>
      <c r="C135" s="89"/>
      <c r="D135" s="86" t="s">
        <v>130</v>
      </c>
      <c r="E135" s="89">
        <f>IFERROR(IF(E134="yes",INDEX(E136:E138,MATCH($F$62,$B$329:$B$331,0))/E$199,0),0)</f>
        <v>0</v>
      </c>
      <c r="F135" s="89">
        <f>IFERROR(IF(F134="yes",INDEX(F136:F138,MATCH($F$62,$B$329:$B$331,0))/F$199,0),0)</f>
        <v>0</v>
      </c>
      <c r="G135" s="89">
        <f>IFERROR(IF(G134="yes",INDEX(G136:G138,MATCH($F$62,$B$329:$B$331,0))/G$199,0),0)</f>
        <v>0</v>
      </c>
      <c r="H135" s="89">
        <f>IFERROR(IF(H134="yes",INDEX(H136:H138,MATCH($F$62,$B$329:$B$331,0))/H$199,0),0)</f>
        <v>0</v>
      </c>
      <c r="I135" s="89">
        <f>IFERROR(IF(I134="yes",INDEX(I136:I138,MATCH($F$62,$B$329:$B$331,0))/I$199,0),0)</f>
        <v>0</v>
      </c>
      <c r="J135" s="89">
        <f>IFERROR(IF(J134="yes",INDEX(J136:J138,MATCH($F$62,$B$329:$B$331,0))/J$199,0),0)</f>
        <v>0</v>
      </c>
      <c r="K135" s="89">
        <f>IFERROR(IF(K134="yes",INDEX(K136:K138,MATCH($F$62,$B$329:$B$331,0))/K$199,0),0)</f>
        <v>0</v>
      </c>
      <c r="L135" s="55" t="str">
        <f>IF(ISBLANK(M135),"",MAX(L$5:L134)+1)</f>
        <v/>
      </c>
      <c r="M135" s="83"/>
    </row>
    <row r="136" spans="2:14" s="58" customFormat="1">
      <c r="B136" s="74" t="str">
        <f>"Note: Participation, if "&amp;B329</f>
        <v>Note: Participation, if Non Participating Preferred</v>
      </c>
      <c r="C136" s="89"/>
      <c r="D136" s="86" t="str">
        <f>D$5</f>
        <v>$</v>
      </c>
      <c r="E136" s="89">
        <f>MAX(0,E130-E$128)</f>
        <v>0</v>
      </c>
      <c r="F136" s="89">
        <f t="shared" ref="F136:K138" si="40">MAX(0,F130-F$128)</f>
        <v>0</v>
      </c>
      <c r="G136" s="89">
        <f t="shared" si="40"/>
        <v>0</v>
      </c>
      <c r="H136" s="89">
        <f t="shared" si="40"/>
        <v>0</v>
      </c>
      <c r="I136" s="89">
        <f t="shared" si="40"/>
        <v>0</v>
      </c>
      <c r="J136" s="89">
        <f t="shared" si="40"/>
        <v>0</v>
      </c>
      <c r="K136" s="89">
        <f t="shared" si="40"/>
        <v>0</v>
      </c>
      <c r="L136" s="55" t="str">
        <f>IF(ISBLANK(M136),"",MAX(L$5:L135)+1)</f>
        <v/>
      </c>
      <c r="M136" s="83"/>
    </row>
    <row r="137" spans="2:14" s="58" customFormat="1">
      <c r="B137" s="74" t="str">
        <f>"Note: Participation, if "&amp;B330</f>
        <v>Note: Participation, if Participating Preferred with a Cap</v>
      </c>
      <c r="C137" s="89"/>
      <c r="D137" s="86" t="str">
        <f>D$5</f>
        <v>$</v>
      </c>
      <c r="E137" s="89">
        <f>MAX(0,E131-E$128)</f>
        <v>0</v>
      </c>
      <c r="F137" s="89">
        <f t="shared" si="40"/>
        <v>0</v>
      </c>
      <c r="G137" s="89">
        <f t="shared" si="40"/>
        <v>0</v>
      </c>
      <c r="H137" s="89">
        <f t="shared" si="40"/>
        <v>0</v>
      </c>
      <c r="I137" s="89">
        <f t="shared" si="40"/>
        <v>0</v>
      </c>
      <c r="J137" s="89">
        <f t="shared" si="40"/>
        <v>0</v>
      </c>
      <c r="K137" s="89">
        <f t="shared" si="40"/>
        <v>0</v>
      </c>
      <c r="L137" s="55" t="str">
        <f>IF(ISBLANK(M137),"",MAX(L$5:L136)+1)</f>
        <v/>
      </c>
      <c r="M137" s="83"/>
    </row>
    <row r="138" spans="2:14" s="83" customFormat="1">
      <c r="B138" s="74" t="str">
        <f>"Note: Participation, if "&amp;B331</f>
        <v>Note: Participation, if Full Participating Preferred</v>
      </c>
      <c r="C138" s="89"/>
      <c r="D138" s="86" t="str">
        <f>D$5</f>
        <v>$</v>
      </c>
      <c r="E138" s="89">
        <f>MAX(0,E132-E$128)</f>
        <v>0</v>
      </c>
      <c r="F138" s="89">
        <f t="shared" si="40"/>
        <v>0</v>
      </c>
      <c r="G138" s="89">
        <f t="shared" si="40"/>
        <v>0</v>
      </c>
      <c r="H138" s="89">
        <f t="shared" si="40"/>
        <v>0</v>
      </c>
      <c r="I138" s="89">
        <f t="shared" si="40"/>
        <v>0</v>
      </c>
      <c r="J138" s="89">
        <f t="shared" si="40"/>
        <v>0</v>
      </c>
      <c r="K138" s="89">
        <f t="shared" si="40"/>
        <v>0</v>
      </c>
      <c r="L138" s="55" t="str">
        <f>IF(ISBLANK(M138),"",MAX(L$5:L137)+1)</f>
        <v/>
      </c>
    </row>
    <row r="139" spans="2:14" s="83" customFormat="1">
      <c r="B139" s="71" t="s">
        <v>461</v>
      </c>
      <c r="C139" s="91"/>
      <c r="D139" s="86" t="s">
        <v>361</v>
      </c>
      <c r="E139" s="91" t="str">
        <f>IF($F$62=$B$329,IF(E130&gt;E133,"no","yes"),IF(E134="yes","no","yes"))</f>
        <v>yes</v>
      </c>
      <c r="F139" s="91" t="str">
        <f>IF($F$62=$B$329,IF(F130&gt;F133,"no","yes"),IF(F134="yes","no","yes"))</f>
        <v>yes</v>
      </c>
      <c r="G139" s="91" t="str">
        <f>IF($F$62=$B$329,IF(G130&gt;G133,"no","yes"),IF(G134="yes","no","yes"))</f>
        <v>yes</v>
      </c>
      <c r="H139" s="91" t="str">
        <f>IF($F$62=$B$329,IF(H130&gt;H133,"no","yes"),IF(H134="yes","no","yes"))</f>
        <v>yes</v>
      </c>
      <c r="I139" s="91" t="str">
        <f>IF($F$62=$B$329,IF(I130&gt;I133,"no","yes"),IF(I134="yes","no","yes"))</f>
        <v>yes</v>
      </c>
      <c r="J139" s="91" t="str">
        <f>IF($F$62=$B$329,IF(J130&gt;J133,"no","yes"),IF(J134="yes","no","yes"))</f>
        <v>yes</v>
      </c>
      <c r="K139" s="91" t="str">
        <f>IF($F$62=$B$329,IF(K130&gt;K133,"no","yes"),IF(K134="yes","no","yes"))</f>
        <v>yes</v>
      </c>
      <c r="L139" s="55" t="str">
        <f>IF(ISBLANK(M139),"",MAX(L$5:L138)+1)</f>
        <v/>
      </c>
    </row>
    <row r="140" spans="2:14" s="83" customFormat="1">
      <c r="B140" s="71" t="s">
        <v>463</v>
      </c>
      <c r="C140" s="89"/>
      <c r="D140" s="86" t="s">
        <v>130</v>
      </c>
      <c r="E140" s="89">
        <f>IF(E139="yes",E127*$F$64,0)</f>
        <v>0</v>
      </c>
      <c r="F140" s="89">
        <f t="shared" ref="F140:K140" si="41">IF(F139="yes",F127*$F$64,0)</f>
        <v>0</v>
      </c>
      <c r="G140" s="89">
        <f t="shared" si="41"/>
        <v>0</v>
      </c>
      <c r="H140" s="89">
        <f t="shared" si="41"/>
        <v>0</v>
      </c>
      <c r="I140" s="89">
        <f t="shared" si="41"/>
        <v>0</v>
      </c>
      <c r="J140" s="89">
        <f t="shared" si="41"/>
        <v>0</v>
      </c>
      <c r="K140" s="89">
        <f t="shared" si="41"/>
        <v>0</v>
      </c>
      <c r="L140" s="55" t="str">
        <f>IF(ISBLANK(M140),"",MAX(L$5:L139)+1)</f>
        <v/>
      </c>
    </row>
    <row r="141" spans="2:14" s="83" customFormat="1">
      <c r="B141" s="71" t="s">
        <v>465</v>
      </c>
      <c r="C141" s="109"/>
      <c r="D141" s="86" t="str">
        <f>D$5</f>
        <v>$</v>
      </c>
      <c r="E141" s="109">
        <f t="shared" ref="E141:K141" si="42">IF($E$8="yes",IFERROR(E140*E$199,0),IFERROR(E140/E$98*E$94,0))</f>
        <v>0</v>
      </c>
      <c r="F141" s="109">
        <f t="shared" si="42"/>
        <v>0</v>
      </c>
      <c r="G141" s="109">
        <f t="shared" si="42"/>
        <v>0</v>
      </c>
      <c r="H141" s="109">
        <f t="shared" si="42"/>
        <v>0</v>
      </c>
      <c r="I141" s="109">
        <f t="shared" si="42"/>
        <v>0</v>
      </c>
      <c r="J141" s="109">
        <f t="shared" si="42"/>
        <v>0</v>
      </c>
      <c r="K141" s="109">
        <f t="shared" si="42"/>
        <v>0</v>
      </c>
      <c r="L141" s="55" t="str">
        <f>IF(ISBLANK(M141),"",MAX(L$5:L140)+1)</f>
        <v/>
      </c>
    </row>
    <row r="142" spans="2:14" s="83" customFormat="1">
      <c r="B142" s="71" t="s">
        <v>385</v>
      </c>
      <c r="C142" s="109"/>
      <c r="D142" s="86" t="str">
        <f>D$5</f>
        <v>$</v>
      </c>
      <c r="E142" s="109">
        <f>IF(OR(E139="yes",$F$65=$B$336),0,IF($F$65=$B$334,$F$66*$F$60,ROUND(YEARFRAC($F$67,$E$6,1),0)*$F$66*$F$60))</f>
        <v>0</v>
      </c>
      <c r="F142" s="109">
        <f>IF(OR(F139="yes",$F$65=$B$336),0,IF($F$65=$B$334,$F$66*$F$60,ROUND(YEARFRAC($F$67,$E$6,1),0)*$F$66*$F$60))</f>
        <v>0</v>
      </c>
      <c r="G142" s="109">
        <f>IF(OR(G139="yes",$F$65=$B$336),0,IF($F$65=$B$334,$F$66*$F$60,ROUND(YEARFRAC($F$67,$E$6,1),0)*$F$66*$F$60))</f>
        <v>0</v>
      </c>
      <c r="H142" s="109">
        <f>IF(OR(H139="yes",$F$65=$B$336),0,IF($F$65=$B$334,$F$66*$F$60,ROUND(YEARFRAC($F$67,$E$6,1),0)*$F$66*$F$60))</f>
        <v>0</v>
      </c>
      <c r="I142" s="109">
        <f>IF(OR(I139="yes",$F$65=$B$336),0,IF($F$65=$B$334,$F$66*$F$60,ROUND(YEARFRAC($F$67,$E$6,1),0)*$F$66*$F$60))</f>
        <v>0</v>
      </c>
      <c r="J142" s="109">
        <f>IF(OR(J139="yes",$F$65=$B$336),0,IF($F$65=$B$334,$F$66*$F$60,ROUND(YEARFRAC($F$67,$E$6,1),0)*$F$66*$F$60))</f>
        <v>0</v>
      </c>
      <c r="K142" s="109">
        <f>IF(OR(K139="yes",$F$65=$B$336),0,IF($F$65=$B$334,$F$66*$F$60,ROUND(YEARFRAC($F$67,$E$6,1),0)*$F$66*$F$60))</f>
        <v>0</v>
      </c>
      <c r="L142" s="55" t="str">
        <f>IF(ISBLANK(M142),"",MAX(L$5:L141)+1)</f>
        <v/>
      </c>
    </row>
    <row r="143" spans="2:14" s="83" customFormat="1">
      <c r="B143" s="71" t="str">
        <f>"Proceeds to "&amp;B124</f>
        <v>Proceeds to Preferred, B</v>
      </c>
      <c r="C143" s="89"/>
      <c r="D143" s="86" t="str">
        <f>D$5</f>
        <v>$</v>
      </c>
      <c r="E143" s="89">
        <f>MIN(E125,MAX(E142+INDEX(E130:E132,MATCH($F$62,$B$329:$B$331,0)),E141))</f>
        <v>0</v>
      </c>
      <c r="F143" s="89">
        <f>MIN(F125,MAX(F142+INDEX(F130:F132,MATCH($F$62,$B$329:$B$331,0)),F141))</f>
        <v>0</v>
      </c>
      <c r="G143" s="89">
        <f>MIN(G125,MAX(G142+INDEX(G130:G132,MATCH($F$62,$B$329:$B$331,0)),G141))</f>
        <v>0</v>
      </c>
      <c r="H143" s="89">
        <f>MIN(H125,MAX(H142+INDEX(H130:H132,MATCH($F$62,$B$329:$B$331,0)),H141))</f>
        <v>0</v>
      </c>
      <c r="I143" s="89">
        <f>MIN(I125,MAX(I142+INDEX(I130:I132,MATCH($F$62,$B$329:$B$331,0)),I141))</f>
        <v>0</v>
      </c>
      <c r="J143" s="89">
        <f>MIN(J125,MAX(J142+INDEX(J130:J132,MATCH($F$62,$B$329:$B$331,0)),J141))</f>
        <v>0</v>
      </c>
      <c r="K143" s="89">
        <f>MIN(K125,MAX(K142+INDEX(K130:K132,MATCH($F$62,$B$329:$B$331,0)),K141))</f>
        <v>0</v>
      </c>
      <c r="L143" s="55" t="str">
        <f>IF(ISBLANK(M143),"",MAX(L$5:L142)+1)</f>
        <v/>
      </c>
    </row>
    <row r="144" spans="2:14" s="83" customFormat="1">
      <c r="B144" s="71" t="s">
        <v>469</v>
      </c>
      <c r="C144" s="110"/>
      <c r="D144" s="86" t="str">
        <f>D$5</f>
        <v>$</v>
      </c>
      <c r="E144" s="110">
        <f>IFERROR(E143/E127,0)</f>
        <v>0</v>
      </c>
      <c r="F144" s="110">
        <f t="shared" ref="F144:K144" si="43">IFERROR(F143/F127,0)</f>
        <v>0</v>
      </c>
      <c r="G144" s="110">
        <f t="shared" si="43"/>
        <v>0</v>
      </c>
      <c r="H144" s="110">
        <f t="shared" si="43"/>
        <v>0</v>
      </c>
      <c r="I144" s="110">
        <f t="shared" si="43"/>
        <v>0</v>
      </c>
      <c r="J144" s="110">
        <f t="shared" si="43"/>
        <v>0</v>
      </c>
      <c r="K144" s="110">
        <f t="shared" si="43"/>
        <v>0</v>
      </c>
      <c r="L144" s="55" t="str">
        <f>IF(ISBLANK(M144),"",MAX(L$5:L143)+1)</f>
        <v/>
      </c>
    </row>
    <row r="145" spans="2:14" s="83" customFormat="1">
      <c r="B145" s="58"/>
      <c r="C145" s="58"/>
      <c r="D145" s="64"/>
      <c r="E145" s="58"/>
      <c r="F145" s="58"/>
      <c r="G145" s="58"/>
      <c r="H145" s="58"/>
      <c r="I145" s="58"/>
      <c r="J145" s="58"/>
      <c r="K145" s="58"/>
      <c r="L145" s="55" t="str">
        <f>IF(ISBLANK(M145),"",MAX(L$5:L144)+1)</f>
        <v/>
      </c>
    </row>
    <row r="146" spans="2:14" s="58" customFormat="1">
      <c r="B146" s="74" t="str">
        <f>"Preferred, "&amp;G68</f>
        <v>Preferred, A</v>
      </c>
      <c r="C146" s="89"/>
      <c r="D146" s="105"/>
      <c r="E146" s="89"/>
      <c r="F146" s="89"/>
      <c r="G146" s="89"/>
      <c r="H146" s="89"/>
      <c r="I146" s="89"/>
      <c r="J146" s="89"/>
      <c r="K146" s="89"/>
      <c r="L146" s="55" t="str">
        <f>IF(ISBLANK(M146),"",MAX(L$5:L145)+1)</f>
        <v/>
      </c>
      <c r="M146" s="83"/>
    </row>
    <row r="147" spans="2:14" s="58" customFormat="1">
      <c r="B147" s="71" t="s">
        <v>442</v>
      </c>
      <c r="C147" s="89"/>
      <c r="D147" s="86" t="str">
        <f>D$5</f>
        <v>$</v>
      </c>
      <c r="E147" s="89">
        <f>IF(E139="no",MAX(0,E125-E128-E142),IF($F$62=$B$331,MAX(0,E125-E128-E142),IF(AND($F$62=$B$330,E141=0),MAX(0,E125-E128-E142),E125)))</f>
        <v>6250</v>
      </c>
      <c r="F147" s="89">
        <f>IF(F139="no",MAX(0,F125-F128-F142),IF($F$62=$B$331,MAX(0,F125-F128-F142),IF(AND($F$62=$B$330,F141=0),MAX(0,F125-F128-F142),F125)))</f>
        <v>12500</v>
      </c>
      <c r="G147" s="89">
        <f>IF(G139="no",MAX(0,G125-G128-G142),IF($F$62=$B$331,MAX(0,G125-G128-G142),IF(AND($F$62=$B$330,G141=0),MAX(0,G125-G128-G142),G125)))</f>
        <v>25000</v>
      </c>
      <c r="H147" s="89">
        <f>IF(H139="no",MAX(0,H125-H128-H142),IF($F$62=$B$331,MAX(0,H125-H128-H142),IF(AND($F$62=$B$330,H141=0),MAX(0,H125-H128-H142),H125)))</f>
        <v>50000</v>
      </c>
      <c r="I147" s="89">
        <f>IF(I139="no",MAX(0,I125-I128-I142),IF($F$62=$B$331,MAX(0,I125-I128-I142),IF(AND($F$62=$B$330,I141=0),MAX(0,I125-I128-I142),I125)))</f>
        <v>75000</v>
      </c>
      <c r="J147" s="89">
        <f>IF(J139="no",MAX(0,J125-J128-J142),IF($F$62=$B$331,MAX(0,J125-J128-J142),IF(AND($F$62=$B$330,J141=0),MAX(0,J125-J128-J142),J125)))</f>
        <v>112500</v>
      </c>
      <c r="K147" s="89">
        <f>IF(K139="no",MAX(0,K125-K128-K142),IF($F$62=$B$331,MAX(0,K125-K128-K142),IF(AND($F$62=$B$330,K141=0),MAX(0,K125-K128-K142),K125)))</f>
        <v>168750</v>
      </c>
      <c r="L147" s="55" t="str">
        <f>IF(ISBLANK(M147),"",MAX(L$5:L146)+1)</f>
        <v/>
      </c>
      <c r="M147" s="107"/>
    </row>
    <row r="148" spans="2:14" s="58" customFormat="1">
      <c r="B148" s="71" t="s">
        <v>444</v>
      </c>
      <c r="C148" s="89"/>
      <c r="D148" s="64" t="s">
        <v>130</v>
      </c>
      <c r="E148" s="89">
        <f>E126-E140</f>
        <v>0</v>
      </c>
      <c r="F148" s="89">
        <f t="shared" ref="F148:K148" si="44">F126-F140</f>
        <v>0</v>
      </c>
      <c r="G148" s="89">
        <f t="shared" si="44"/>
        <v>0</v>
      </c>
      <c r="H148" s="89">
        <f t="shared" si="44"/>
        <v>0</v>
      </c>
      <c r="I148" s="89">
        <f t="shared" si="44"/>
        <v>0</v>
      </c>
      <c r="J148" s="89">
        <f t="shared" si="44"/>
        <v>0</v>
      </c>
      <c r="K148" s="89">
        <f t="shared" si="44"/>
        <v>0</v>
      </c>
      <c r="L148" s="55" t="str">
        <f>IF(ISBLANK(M148),"",MAX(L$5:L147)+1)</f>
        <v/>
      </c>
      <c r="M148" s="83"/>
    </row>
    <row r="149" spans="2:14" s="58" customFormat="1">
      <c r="B149" s="71" t="str">
        <f>"Shares, "&amp;B146</f>
        <v>Shares, Preferred, A</v>
      </c>
      <c r="C149" s="89"/>
      <c r="D149" s="86" t="s">
        <v>130</v>
      </c>
      <c r="E149" s="89">
        <f t="shared" ref="E149:K149" si="45">$G59</f>
        <v>0</v>
      </c>
      <c r="F149" s="89">
        <f t="shared" si="45"/>
        <v>0</v>
      </c>
      <c r="G149" s="89">
        <f t="shared" si="45"/>
        <v>0</v>
      </c>
      <c r="H149" s="89">
        <f t="shared" si="45"/>
        <v>0</v>
      </c>
      <c r="I149" s="89">
        <f t="shared" si="45"/>
        <v>0</v>
      </c>
      <c r="J149" s="89">
        <f t="shared" si="45"/>
        <v>0</v>
      </c>
      <c r="K149" s="89">
        <f t="shared" si="45"/>
        <v>0</v>
      </c>
      <c r="L149" s="55" t="str">
        <f>IF(ISBLANK(M149),"",MAX(L$5:L148)+1)</f>
        <v/>
      </c>
      <c r="M149" s="83"/>
    </row>
    <row r="150" spans="2:14" s="58" customFormat="1">
      <c r="B150" s="71" t="s">
        <v>447</v>
      </c>
      <c r="C150" s="108"/>
      <c r="D150" s="86" t="str">
        <f t="shared" ref="D150:D155" si="46">D$5</f>
        <v>$</v>
      </c>
      <c r="E150" s="108">
        <f t="shared" ref="E150:K150" si="47">$G61</f>
        <v>0</v>
      </c>
      <c r="F150" s="108">
        <f t="shared" si="47"/>
        <v>0</v>
      </c>
      <c r="G150" s="108">
        <f t="shared" si="47"/>
        <v>0</v>
      </c>
      <c r="H150" s="108">
        <f t="shared" si="47"/>
        <v>0</v>
      </c>
      <c r="I150" s="108">
        <f t="shared" si="47"/>
        <v>0</v>
      </c>
      <c r="J150" s="108">
        <f t="shared" si="47"/>
        <v>0</v>
      </c>
      <c r="K150" s="108">
        <f t="shared" si="47"/>
        <v>0</v>
      </c>
      <c r="L150" s="55" t="str">
        <f>IF(ISBLANK(M150),"",MAX(L$5:L149)+1)</f>
        <v/>
      </c>
      <c r="M150" s="83"/>
    </row>
    <row r="151" spans="2:14" s="58" customFormat="1">
      <c r="B151" s="71" t="s">
        <v>449</v>
      </c>
      <c r="C151" s="108"/>
      <c r="D151" s="86" t="str">
        <f t="shared" si="46"/>
        <v>$</v>
      </c>
      <c r="E151" s="108" t="str">
        <f>IF($G$62=$B$330,$G60*$G$63,IF($G$62=$B$331,0,"na"))</f>
        <v>na</v>
      </c>
      <c r="F151" s="108" t="str">
        <f>IF($G$62=$B$330,$G60*$G$63,IF($G$62=$B$331,0,"na"))</f>
        <v>na</v>
      </c>
      <c r="G151" s="108" t="str">
        <f>IF($G$62=$B$330,$G60*$G$63,IF($G$62=$B$331,0,"na"))</f>
        <v>na</v>
      </c>
      <c r="H151" s="108" t="str">
        <f>IF($G$62=$B$330,$G60*$G$63,IF($G$62=$B$331,0,"na"))</f>
        <v>na</v>
      </c>
      <c r="I151" s="108" t="str">
        <f>IF($G$62=$B$330,$G60*$G$63,IF($G$62=$B$331,0,"na"))</f>
        <v>na</v>
      </c>
      <c r="J151" s="108" t="str">
        <f>IF($G$62=$B$330,$G60*$G$63,IF($G$62=$B$331,0,"na"))</f>
        <v>na</v>
      </c>
      <c r="K151" s="108" t="str">
        <f>IF($G$62=$B$330,$G60*$G$63,IF($G$62=$B$331,0,"na"))</f>
        <v>na</v>
      </c>
      <c r="L151" s="55" t="str">
        <f>IF(ISBLANK(M151),"",MAX(L$5:L150)+1)</f>
        <v/>
      </c>
      <c r="M151" s="83"/>
    </row>
    <row r="152" spans="2:14" s="58" customFormat="1">
      <c r="B152" s="74" t="str">
        <f>"Note: Implied Proceeds, do not convert to Common, if "&amp;B$329</f>
        <v>Note: Implied Proceeds, do not convert to Common, if Non Participating Preferred</v>
      </c>
      <c r="C152" s="89"/>
      <c r="D152" s="86" t="str">
        <f t="shared" si="46"/>
        <v>$</v>
      </c>
      <c r="E152" s="89">
        <f>MIN(E147,E150)</f>
        <v>0</v>
      </c>
      <c r="F152" s="89">
        <f t="shared" ref="F152:K152" si="48">MIN(F147,F150)</f>
        <v>0</v>
      </c>
      <c r="G152" s="89">
        <f t="shared" si="48"/>
        <v>0</v>
      </c>
      <c r="H152" s="89">
        <f t="shared" si="48"/>
        <v>0</v>
      </c>
      <c r="I152" s="89">
        <f t="shared" si="48"/>
        <v>0</v>
      </c>
      <c r="J152" s="89">
        <f t="shared" si="48"/>
        <v>0</v>
      </c>
      <c r="K152" s="89">
        <f t="shared" si="48"/>
        <v>0</v>
      </c>
      <c r="L152" s="55" t="str">
        <f>IF(ISBLANK(M152),"",MAX(L$5:L151)+1)</f>
        <v/>
      </c>
      <c r="M152" s="83"/>
    </row>
    <row r="153" spans="2:14" s="58" customFormat="1">
      <c r="B153" s="74" t="str">
        <f>"Note: Implied Proceeds, do not convert to Common, if "&amp;B$330</f>
        <v>Note: Implied Proceeds, do not convert to Common, if Participating Preferred with a Cap</v>
      </c>
      <c r="C153" s="89"/>
      <c r="D153" s="86" t="str">
        <f t="shared" si="46"/>
        <v>$</v>
      </c>
      <c r="E153" s="89">
        <f t="shared" ref="E153:K153" si="49">IFERROR(IF($E$8="no",MIN(MAX(0,E$94)/E$98*E149+E150,E147,$G$60*$G$63),MIN(E$199*E149+E150,E147,$G$60*$G$63)),0)</f>
        <v>0</v>
      </c>
      <c r="F153" s="89">
        <f t="shared" si="49"/>
        <v>0</v>
      </c>
      <c r="G153" s="89">
        <f t="shared" si="49"/>
        <v>0</v>
      </c>
      <c r="H153" s="89">
        <f t="shared" si="49"/>
        <v>0</v>
      </c>
      <c r="I153" s="89">
        <f t="shared" si="49"/>
        <v>0</v>
      </c>
      <c r="J153" s="89">
        <f t="shared" si="49"/>
        <v>0</v>
      </c>
      <c r="K153" s="89">
        <f t="shared" si="49"/>
        <v>0</v>
      </c>
      <c r="L153" s="55" t="str">
        <f>IF(ISBLANK(M153),"",MAX(L$5:L152)+1)</f>
        <v/>
      </c>
      <c r="M153" s="83"/>
    </row>
    <row r="154" spans="2:14" s="58" customFormat="1">
      <c r="B154" s="74" t="str">
        <f>"Note: Implied Proceeds, do not convert to Common, if "&amp;B$331</f>
        <v>Note: Implied Proceeds, do not convert to Common, if Full Participating Preferred</v>
      </c>
      <c r="C154" s="89"/>
      <c r="D154" s="86" t="str">
        <f t="shared" si="46"/>
        <v>$</v>
      </c>
      <c r="E154" s="89">
        <f>IFERROR(MIN(E$199*E149+E150,E147),0)</f>
        <v>0</v>
      </c>
      <c r="F154" s="89">
        <f t="shared" ref="F154:K154" si="50">IFERROR(MIN(F$199*F149+F150,F147),0)</f>
        <v>0</v>
      </c>
      <c r="G154" s="89">
        <f t="shared" si="50"/>
        <v>0</v>
      </c>
      <c r="H154" s="89">
        <f t="shared" si="50"/>
        <v>0</v>
      </c>
      <c r="I154" s="89">
        <f t="shared" si="50"/>
        <v>0</v>
      </c>
      <c r="J154" s="89">
        <f t="shared" si="50"/>
        <v>0</v>
      </c>
      <c r="K154" s="89">
        <f t="shared" si="50"/>
        <v>0</v>
      </c>
      <c r="L154" s="55" t="str">
        <f>IF(ISBLANK(M154),"",MAX(L$5:L153)+1)</f>
        <v/>
      </c>
      <c r="M154" s="83"/>
    </row>
    <row r="155" spans="2:14" s="58" customFormat="1">
      <c r="B155" s="74" t="s">
        <v>454</v>
      </c>
      <c r="C155" s="109"/>
      <c r="D155" s="86" t="str">
        <f t="shared" si="46"/>
        <v>$</v>
      </c>
      <c r="E155" s="109">
        <f>IFERROR(IF($E$8="no",MAX(0,E$94)/E$98*E149*$G$64,E$199*E149*$G$64),0)</f>
        <v>0</v>
      </c>
      <c r="F155" s="109">
        <f t="shared" ref="F155:K155" si="51">IFERROR(IF($E$8="no",MAX(0,F$94)/F$98*F149*$G$64,F$199*F149*$G$64),0)</f>
        <v>0</v>
      </c>
      <c r="G155" s="109">
        <f t="shared" si="51"/>
        <v>0</v>
      </c>
      <c r="H155" s="109">
        <f t="shared" si="51"/>
        <v>0</v>
      </c>
      <c r="I155" s="109">
        <f t="shared" si="51"/>
        <v>0</v>
      </c>
      <c r="J155" s="109">
        <f t="shared" si="51"/>
        <v>0</v>
      </c>
      <c r="K155" s="109">
        <f t="shared" si="51"/>
        <v>0</v>
      </c>
      <c r="L155" s="55" t="str">
        <f>IF(ISBLANK(M155),"",MAX(L$5:L154)+1)</f>
        <v/>
      </c>
      <c r="M155" s="83"/>
      <c r="N155" s="112"/>
    </row>
    <row r="156" spans="2:14" s="58" customFormat="1">
      <c r="B156" s="71" t="s">
        <v>456</v>
      </c>
      <c r="C156" s="91"/>
      <c r="D156" s="86" t="s">
        <v>361</v>
      </c>
      <c r="E156" s="91" t="str">
        <f>IF($G$62=$B$329,"no",IF($G$62=$B$331,"yes",IF(E153&gt;E155,"yes","no")))</f>
        <v>no</v>
      </c>
      <c r="F156" s="91" t="str">
        <f>IF($G$62=$B$329,"no",IF($G$62=$B$331,"yes",IF(F153&gt;F155,"yes","no")))</f>
        <v>no</v>
      </c>
      <c r="G156" s="91" t="str">
        <f>IF($G$62=$B$329,"no",IF($G$62=$B$331,"yes",IF(G153&gt;G155,"yes","no")))</f>
        <v>no</v>
      </c>
      <c r="H156" s="91" t="str">
        <f>IF($G$62=$B$329,"no",IF($G$62=$B$331,"yes",IF(H153&gt;H155,"yes","no")))</f>
        <v>no</v>
      </c>
      <c r="I156" s="91" t="str">
        <f>IF($G$62=$B$329,"no",IF($G$62=$B$331,"yes",IF(I153&gt;I155,"yes","no")))</f>
        <v>no</v>
      </c>
      <c r="J156" s="91" t="str">
        <f>IF($G$62=$B$329,"no",IF($G$62=$B$331,"yes",IF(J153&gt;J155,"yes","no")))</f>
        <v>no</v>
      </c>
      <c r="K156" s="91" t="str">
        <f>IF($G$62=$B$329,"no",IF($G$62=$B$331,"yes",IF(K153&gt;K155,"yes","no")))</f>
        <v>no</v>
      </c>
      <c r="L156" s="55" t="str">
        <f>IF(ISBLANK(M156),"",MAX(L$5:L155)+1)</f>
        <v/>
      </c>
      <c r="M156" s="83"/>
    </row>
    <row r="157" spans="2:14" s="58" customFormat="1">
      <c r="B157" s="71" t="s">
        <v>458</v>
      </c>
      <c r="C157" s="89"/>
      <c r="D157" s="86" t="s">
        <v>130</v>
      </c>
      <c r="E157" s="89">
        <f>IFERROR(IF(E156="yes",INDEX(E158:E160,MATCH($G$62,$B$329:$B$331,0))/E$199,0),0)</f>
        <v>0</v>
      </c>
      <c r="F157" s="89">
        <f>IFERROR(IF(F156="yes",INDEX(F158:F160,MATCH($G$62,$B$329:$B$331,0))/F$199,0),0)</f>
        <v>0</v>
      </c>
      <c r="G157" s="89">
        <f>IFERROR(IF(G156="yes",INDEX(G158:G160,MATCH($G$62,$B$329:$B$331,0))/G$199,0),0)</f>
        <v>0</v>
      </c>
      <c r="H157" s="89">
        <f>IFERROR(IF(H156="yes",INDEX(H158:H160,MATCH($G$62,$B$329:$B$331,0))/H$199,0),0)</f>
        <v>0</v>
      </c>
      <c r="I157" s="89">
        <f>IFERROR(IF(I156="yes",INDEX(I158:I160,MATCH($G$62,$B$329:$B$331,0))/I$199,0),0)</f>
        <v>0</v>
      </c>
      <c r="J157" s="89">
        <f>IFERROR(IF(J156="yes",INDEX(J158:J160,MATCH($G$62,$B$329:$B$331,0))/J$199,0),0)</f>
        <v>0</v>
      </c>
      <c r="K157" s="89">
        <f>IFERROR(IF(K156="yes",INDEX(K158:K160,MATCH($G$62,$B$329:$B$331,0))/K$199,0),0)</f>
        <v>0</v>
      </c>
      <c r="L157" s="55" t="str">
        <f>IF(ISBLANK(M157),"",MAX(L$5:L156)+1)</f>
        <v/>
      </c>
      <c r="M157" s="83"/>
    </row>
    <row r="158" spans="2:14" s="58" customFormat="1">
      <c r="B158" s="74" t="str">
        <f>"Note: Participation, if "&amp;B329</f>
        <v>Note: Participation, if Non Participating Preferred</v>
      </c>
      <c r="C158" s="89"/>
      <c r="D158" s="86" t="str">
        <f>D$5</f>
        <v>$</v>
      </c>
      <c r="E158" s="89">
        <f>MAX(0,E152-E$150)</f>
        <v>0</v>
      </c>
      <c r="F158" s="89">
        <f t="shared" ref="F158:K160" si="52">MAX(0,F152-F$150)</f>
        <v>0</v>
      </c>
      <c r="G158" s="89">
        <f t="shared" si="52"/>
        <v>0</v>
      </c>
      <c r="H158" s="89">
        <f t="shared" si="52"/>
        <v>0</v>
      </c>
      <c r="I158" s="89">
        <f t="shared" si="52"/>
        <v>0</v>
      </c>
      <c r="J158" s="89">
        <f t="shared" si="52"/>
        <v>0</v>
      </c>
      <c r="K158" s="89">
        <f t="shared" si="52"/>
        <v>0</v>
      </c>
      <c r="L158" s="55" t="str">
        <f>IF(ISBLANK(M158),"",MAX(L$5:L157)+1)</f>
        <v/>
      </c>
      <c r="M158" s="83"/>
    </row>
    <row r="159" spans="2:14" s="58" customFormat="1">
      <c r="B159" s="74" t="str">
        <f>"Note: Participation, if "&amp;B330</f>
        <v>Note: Participation, if Participating Preferred with a Cap</v>
      </c>
      <c r="C159" s="89"/>
      <c r="D159" s="86" t="str">
        <f>D$5</f>
        <v>$</v>
      </c>
      <c r="E159" s="89">
        <f>MAX(0,E153-E$150)</f>
        <v>0</v>
      </c>
      <c r="F159" s="89">
        <f t="shared" si="52"/>
        <v>0</v>
      </c>
      <c r="G159" s="89">
        <f t="shared" si="52"/>
        <v>0</v>
      </c>
      <c r="H159" s="89">
        <f t="shared" si="52"/>
        <v>0</v>
      </c>
      <c r="I159" s="89">
        <f t="shared" si="52"/>
        <v>0</v>
      </c>
      <c r="J159" s="89">
        <f t="shared" si="52"/>
        <v>0</v>
      </c>
      <c r="K159" s="89">
        <f t="shared" si="52"/>
        <v>0</v>
      </c>
      <c r="L159" s="55" t="str">
        <f>IF(ISBLANK(M159),"",MAX(L$5:L158)+1)</f>
        <v/>
      </c>
      <c r="M159" s="83"/>
    </row>
    <row r="160" spans="2:14" s="83" customFormat="1">
      <c r="B160" s="74" t="str">
        <f>"Note: Participation, if "&amp;B331</f>
        <v>Note: Participation, if Full Participating Preferred</v>
      </c>
      <c r="C160" s="89"/>
      <c r="D160" s="86" t="str">
        <f>D$5</f>
        <v>$</v>
      </c>
      <c r="E160" s="89">
        <f>MAX(0,E154-E$150)</f>
        <v>0</v>
      </c>
      <c r="F160" s="89">
        <f t="shared" si="52"/>
        <v>0</v>
      </c>
      <c r="G160" s="89">
        <f t="shared" si="52"/>
        <v>0</v>
      </c>
      <c r="H160" s="89">
        <f t="shared" si="52"/>
        <v>0</v>
      </c>
      <c r="I160" s="89">
        <f t="shared" si="52"/>
        <v>0</v>
      </c>
      <c r="J160" s="89">
        <f t="shared" si="52"/>
        <v>0</v>
      </c>
      <c r="K160" s="89">
        <f t="shared" si="52"/>
        <v>0</v>
      </c>
      <c r="L160" s="55" t="str">
        <f>IF(ISBLANK(M160),"",MAX(L$5:L159)+1)</f>
        <v/>
      </c>
    </row>
    <row r="161" spans="2:13" s="83" customFormat="1">
      <c r="B161" s="71" t="s">
        <v>461</v>
      </c>
      <c r="C161" s="91"/>
      <c r="D161" s="86" t="s">
        <v>361</v>
      </c>
      <c r="E161" s="91" t="str">
        <f>IF($G$62=$B$329,IF(E152&gt;E155,"no","yes"),IF(E156="yes","no","yes"))</f>
        <v>yes</v>
      </c>
      <c r="F161" s="91" t="str">
        <f>IF($G$62=$B$329,IF(F152&gt;F155,"no","yes"),IF(F156="yes","no","yes"))</f>
        <v>yes</v>
      </c>
      <c r="G161" s="91" t="str">
        <f>IF($G$62=$B$329,IF(G152&gt;G155,"no","yes"),IF(G156="yes","no","yes"))</f>
        <v>yes</v>
      </c>
      <c r="H161" s="91" t="str">
        <f>IF($G$62=$B$329,IF(H152&gt;H155,"no","yes"),IF(H156="yes","no","yes"))</f>
        <v>yes</v>
      </c>
      <c r="I161" s="91" t="str">
        <f>IF($G$62=$B$329,IF(I152&gt;I155,"no","yes"),IF(I156="yes","no","yes"))</f>
        <v>yes</v>
      </c>
      <c r="J161" s="91" t="str">
        <f>IF($G$62=$B$329,IF(J152&gt;J155,"no","yes"),IF(J156="yes","no","yes"))</f>
        <v>yes</v>
      </c>
      <c r="K161" s="91" t="str">
        <f>IF($G$62=$B$329,IF(K152&gt;K155,"no","yes"),IF(K156="yes","no","yes"))</f>
        <v>yes</v>
      </c>
      <c r="L161" s="55" t="str">
        <f>IF(ISBLANK(M161),"",MAX(L$5:L160)+1)</f>
        <v/>
      </c>
    </row>
    <row r="162" spans="2:13" s="83" customFormat="1">
      <c r="B162" s="71" t="s">
        <v>463</v>
      </c>
      <c r="C162" s="89"/>
      <c r="D162" s="86" t="s">
        <v>130</v>
      </c>
      <c r="E162" s="89">
        <f>IF(E161="yes",E149*$G$64,0)</f>
        <v>0</v>
      </c>
      <c r="F162" s="89">
        <f t="shared" ref="F162:K162" si="53">IF(F161="yes",F149*$G$64,0)</f>
        <v>0</v>
      </c>
      <c r="G162" s="89">
        <f t="shared" si="53"/>
        <v>0</v>
      </c>
      <c r="H162" s="89">
        <f t="shared" si="53"/>
        <v>0</v>
      </c>
      <c r="I162" s="89">
        <f t="shared" si="53"/>
        <v>0</v>
      </c>
      <c r="J162" s="89">
        <f t="shared" si="53"/>
        <v>0</v>
      </c>
      <c r="K162" s="89">
        <f t="shared" si="53"/>
        <v>0</v>
      </c>
      <c r="L162" s="55" t="str">
        <f>IF(ISBLANK(M162),"",MAX(L$5:L161)+1)</f>
        <v/>
      </c>
    </row>
    <row r="163" spans="2:13" s="83" customFormat="1">
      <c r="B163" s="71" t="s">
        <v>465</v>
      </c>
      <c r="C163" s="109"/>
      <c r="D163" s="86" t="str">
        <f>D$5</f>
        <v>$</v>
      </c>
      <c r="E163" s="109">
        <f t="shared" ref="E163:K163" si="54">IF($E$8="yes",IFERROR(E162*E$199,0),IFERROR(E162/E$98*E$94,0))</f>
        <v>0</v>
      </c>
      <c r="F163" s="109">
        <f t="shared" si="54"/>
        <v>0</v>
      </c>
      <c r="G163" s="109">
        <f t="shared" si="54"/>
        <v>0</v>
      </c>
      <c r="H163" s="109">
        <f t="shared" si="54"/>
        <v>0</v>
      </c>
      <c r="I163" s="109">
        <f t="shared" si="54"/>
        <v>0</v>
      </c>
      <c r="J163" s="109">
        <f t="shared" si="54"/>
        <v>0</v>
      </c>
      <c r="K163" s="109">
        <f t="shared" si="54"/>
        <v>0</v>
      </c>
      <c r="L163" s="55" t="str">
        <f>IF(ISBLANK(M163),"",MAX(L$5:L162)+1)</f>
        <v/>
      </c>
    </row>
    <row r="164" spans="2:13" s="83" customFormat="1">
      <c r="B164" s="71" t="s">
        <v>385</v>
      </c>
      <c r="C164" s="109"/>
      <c r="D164" s="86" t="str">
        <f>D$5</f>
        <v>$</v>
      </c>
      <c r="E164" s="109">
        <f>IF(OR(E161="yes",$G$65=$B$336),0,IF($G$65=$B$334,$G$66*$G$60,ROUND(YEARFRAC($G$67,$E$6,1),0)*$G$66*$G$60))</f>
        <v>0</v>
      </c>
      <c r="F164" s="109">
        <f>IF(OR(F161="yes",$G$65=$B$336),0,IF($G$65=$B$334,$G$66*$G$60,ROUND(YEARFRAC($G$67,$E$6,1),0)*$G$66*$G$60))</f>
        <v>0</v>
      </c>
      <c r="G164" s="109">
        <f>IF(OR(G161="yes",$G$65=$B$336),0,IF($G$65=$B$334,$G$66*$G$60,ROUND(YEARFRAC($G$67,$E$6,1),0)*$G$66*$G$60))</f>
        <v>0</v>
      </c>
      <c r="H164" s="109">
        <f>IF(OR(H161="yes",$G$65=$B$336),0,IF($G$65=$B$334,$G$66*$G$60,ROUND(YEARFRAC($G$67,$E$6,1),0)*$G$66*$G$60))</f>
        <v>0</v>
      </c>
      <c r="I164" s="109">
        <f>IF(OR(I161="yes",$G$65=$B$336),0,IF($G$65=$B$334,$G$66*$G$60,ROUND(YEARFRAC($G$67,$E$6,1),0)*$G$66*$G$60))</f>
        <v>0</v>
      </c>
      <c r="J164" s="109">
        <f>IF(OR(J161="yes",$G$65=$B$336),0,IF($G$65=$B$334,$G$66*$G$60,ROUND(YEARFRAC($G$67,$E$6,1),0)*$G$66*$G$60))</f>
        <v>0</v>
      </c>
      <c r="K164" s="109">
        <f>IF(OR(K161="yes",$G$65=$B$336),0,IF($G$65=$B$334,$G$66*$G$60,ROUND(YEARFRAC($G$67,$E$6,1),0)*$G$66*$G$60))</f>
        <v>0</v>
      </c>
      <c r="L164" s="55" t="str">
        <f>IF(ISBLANK(M164),"",MAX(L$5:L163)+1)</f>
        <v/>
      </c>
    </row>
    <row r="165" spans="2:13" s="83" customFormat="1">
      <c r="B165" s="71" t="str">
        <f>"Proceeds to "&amp;B146</f>
        <v>Proceeds to Preferred, A</v>
      </c>
      <c r="C165" s="89"/>
      <c r="D165" s="86" t="str">
        <f>D$5</f>
        <v>$</v>
      </c>
      <c r="E165" s="89">
        <f>MIN(E147,MAX(E164+INDEX(E152:E154,MATCH($G$62,$B$329:$B$331,0)),E163))</f>
        <v>0</v>
      </c>
      <c r="F165" s="89">
        <f>MIN(F147,MAX(F164+INDEX(F152:F154,MATCH($G$62,$B$329:$B$331,0)),F163))</f>
        <v>0</v>
      </c>
      <c r="G165" s="89">
        <f>MIN(G147,MAX(G164+INDEX(G152:G154,MATCH($G$62,$B$329:$B$331,0)),G163))</f>
        <v>0</v>
      </c>
      <c r="H165" s="89">
        <f>MIN(H147,MAX(H164+INDEX(H152:H154,MATCH($G$62,$B$329:$B$331,0)),H163))</f>
        <v>0</v>
      </c>
      <c r="I165" s="89">
        <f>MIN(I147,MAX(I164+INDEX(I152:I154,MATCH($G$62,$B$329:$B$331,0)),I163))</f>
        <v>0</v>
      </c>
      <c r="J165" s="89">
        <f>MIN(J147,MAX(J164+INDEX(J152:J154,MATCH($G$62,$B$329:$B$331,0)),J163))</f>
        <v>0</v>
      </c>
      <c r="K165" s="89">
        <f>MIN(K147,MAX(K164+INDEX(K152:K154,MATCH($G$62,$B$329:$B$331,0)),K163))</f>
        <v>0</v>
      </c>
      <c r="L165" s="55" t="str">
        <f>IF(ISBLANK(M165),"",MAX(L$5:L164)+1)</f>
        <v/>
      </c>
    </row>
    <row r="166" spans="2:13" s="83" customFormat="1">
      <c r="B166" s="71" t="s">
        <v>469</v>
      </c>
      <c r="C166" s="110"/>
      <c r="D166" s="86" t="str">
        <f>D$5</f>
        <v>$</v>
      </c>
      <c r="E166" s="110">
        <f>IFERROR(E165/E149,0)</f>
        <v>0</v>
      </c>
      <c r="F166" s="110">
        <f t="shared" ref="F166:K166" si="55">IFERROR(F165/F149,0)</f>
        <v>0</v>
      </c>
      <c r="G166" s="110">
        <f t="shared" si="55"/>
        <v>0</v>
      </c>
      <c r="H166" s="110">
        <f t="shared" si="55"/>
        <v>0</v>
      </c>
      <c r="I166" s="110">
        <f t="shared" si="55"/>
        <v>0</v>
      </c>
      <c r="J166" s="110">
        <f t="shared" si="55"/>
        <v>0</v>
      </c>
      <c r="K166" s="110">
        <f t="shared" si="55"/>
        <v>0</v>
      </c>
      <c r="L166" s="55" t="str">
        <f>IF(ISBLANK(M166),"",MAX(L$5:L165)+1)</f>
        <v/>
      </c>
    </row>
    <row r="167" spans="2:13" s="83" customFormat="1">
      <c r="B167" s="58"/>
      <c r="C167" s="58"/>
      <c r="D167" s="64"/>
      <c r="E167" s="58"/>
      <c r="F167" s="58"/>
      <c r="G167" s="58"/>
      <c r="H167" s="58"/>
      <c r="I167" s="109"/>
      <c r="J167" s="58"/>
      <c r="K167" s="58"/>
      <c r="L167" s="55" t="str">
        <f>IF(ISBLANK(M167),"",MAX(L$5:L166)+1)</f>
        <v/>
      </c>
    </row>
    <row r="168" spans="2:13" s="58" customFormat="1">
      <c r="B168" s="74" t="str">
        <f>"Preferred, "&amp;H68</f>
        <v>Preferred, Seed</v>
      </c>
      <c r="D168" s="105"/>
      <c r="E168" s="89"/>
      <c r="F168" s="89"/>
      <c r="G168" s="89"/>
      <c r="H168" s="89"/>
      <c r="I168" s="89"/>
      <c r="J168" s="89"/>
      <c r="L168" s="55" t="str">
        <f>IF(ISBLANK(M168),"",MAX(L$5:L167)+1)</f>
        <v/>
      </c>
      <c r="M168" s="83"/>
    </row>
    <row r="169" spans="2:13" s="58" customFormat="1">
      <c r="B169" s="71" t="s">
        <v>442</v>
      </c>
      <c r="C169" s="89"/>
      <c r="D169" s="86" t="str">
        <f>D$5</f>
        <v>$</v>
      </c>
      <c r="E169" s="89">
        <f>IF(E161="no",MAX(0,E147-E150-E164),IF($G$62=$B$331,MAX(0,E147-E150-E164),IF(AND($G$62=$B$330,E163=0),MAX(0,E147-E150-E164),E147)))</f>
        <v>6250</v>
      </c>
      <c r="F169" s="89">
        <f>IF(F161="no",MAX(0,F147-F150-F164),IF($G$62=$B$331,MAX(0,F147-F150-F164),IF(AND($G$62=$B$330,F163=0),MAX(0,F147-F150-F164),F147)))</f>
        <v>12500</v>
      </c>
      <c r="G169" s="89">
        <f>IF(G161="no",MAX(0,G147-G150-G164),IF($G$62=$B$331,MAX(0,G147-G150-G164),IF(AND($G$62=$B$330,G163=0),MAX(0,G147-G150-G164),G147)))</f>
        <v>25000</v>
      </c>
      <c r="H169" s="89">
        <f>IF(H161="no",MAX(0,H147-H150-H164),IF($G$62=$B$331,MAX(0,H147-H150-H164),IF(AND($G$62=$B$330,H163=0),MAX(0,H147-H150-H164),H147)))</f>
        <v>50000</v>
      </c>
      <c r="I169" s="89">
        <f>IF(I161="no",MAX(0,I147-I150-I164),IF($G$62=$B$331,MAX(0,I147-I150-I164),IF(AND($G$62=$B$330,I163=0),MAX(0,I147-I150-I164),I147)))</f>
        <v>75000</v>
      </c>
      <c r="J169" s="89">
        <f>IF(J161="no",MAX(0,J147-J150-J164),IF($G$62=$B$331,MAX(0,J147-J150-J164),IF(AND($G$62=$B$330,J163=0),MAX(0,J147-J150-J164),J147)))</f>
        <v>112500</v>
      </c>
      <c r="K169" s="89">
        <f>IF(K161="no",MAX(0,K147-K150-K164),IF($G$62=$B$331,MAX(0,K147-K150-K164),IF(AND($G$62=$B$330,K163=0),MAX(0,K147-K150-K164),K147)))</f>
        <v>168750</v>
      </c>
      <c r="L169" s="55" t="str">
        <f>IF(ISBLANK(M169),"",MAX(L$5:L168)+1)</f>
        <v/>
      </c>
      <c r="M169" s="107"/>
    </row>
    <row r="170" spans="2:13" s="58" customFormat="1">
      <c r="B170" s="71" t="s">
        <v>444</v>
      </c>
      <c r="C170" s="89"/>
      <c r="D170" s="64" t="s">
        <v>130</v>
      </c>
      <c r="E170" s="89">
        <f>E148-E162</f>
        <v>0</v>
      </c>
      <c r="F170" s="89">
        <f t="shared" ref="F170:K170" si="56">F148-F162</f>
        <v>0</v>
      </c>
      <c r="G170" s="89">
        <f t="shared" si="56"/>
        <v>0</v>
      </c>
      <c r="H170" s="89">
        <f t="shared" si="56"/>
        <v>0</v>
      </c>
      <c r="I170" s="89">
        <f t="shared" si="56"/>
        <v>0</v>
      </c>
      <c r="J170" s="89">
        <f t="shared" si="56"/>
        <v>0</v>
      </c>
      <c r="K170" s="89">
        <f t="shared" si="56"/>
        <v>0</v>
      </c>
      <c r="L170" s="55" t="str">
        <f>IF(ISBLANK(M170),"",MAX(L$5:L169)+1)</f>
        <v/>
      </c>
      <c r="M170" s="83"/>
    </row>
    <row r="171" spans="2:13" s="58" customFormat="1">
      <c r="B171" s="71" t="str">
        <f>"Shares, "&amp;B168</f>
        <v>Shares, Preferred, Seed</v>
      </c>
      <c r="C171" s="89"/>
      <c r="D171" s="86" t="s">
        <v>130</v>
      </c>
      <c r="E171" s="89">
        <f t="shared" ref="E171:K171" si="57">$H59</f>
        <v>0</v>
      </c>
      <c r="F171" s="89">
        <f t="shared" si="57"/>
        <v>0</v>
      </c>
      <c r="G171" s="89">
        <f t="shared" si="57"/>
        <v>0</v>
      </c>
      <c r="H171" s="89">
        <f t="shared" si="57"/>
        <v>0</v>
      </c>
      <c r="I171" s="89">
        <f t="shared" si="57"/>
        <v>0</v>
      </c>
      <c r="J171" s="89">
        <f t="shared" si="57"/>
        <v>0</v>
      </c>
      <c r="K171" s="89">
        <f t="shared" si="57"/>
        <v>0</v>
      </c>
      <c r="L171" s="55" t="str">
        <f>IF(ISBLANK(M171),"",MAX(L$5:L170)+1)</f>
        <v/>
      </c>
      <c r="M171" s="83"/>
    </row>
    <row r="172" spans="2:13" s="58" customFormat="1">
      <c r="B172" s="71" t="s">
        <v>447</v>
      </c>
      <c r="C172" s="108"/>
      <c r="D172" s="86" t="str">
        <f>D5</f>
        <v>$</v>
      </c>
      <c r="E172" s="108">
        <f t="shared" ref="E172:K172" si="58">$H61</f>
        <v>0</v>
      </c>
      <c r="F172" s="108">
        <f t="shared" si="58"/>
        <v>0</v>
      </c>
      <c r="G172" s="108">
        <f t="shared" si="58"/>
        <v>0</v>
      </c>
      <c r="H172" s="108">
        <f t="shared" si="58"/>
        <v>0</v>
      </c>
      <c r="I172" s="108">
        <f t="shared" si="58"/>
        <v>0</v>
      </c>
      <c r="J172" s="108">
        <f t="shared" si="58"/>
        <v>0</v>
      </c>
      <c r="K172" s="108">
        <f t="shared" si="58"/>
        <v>0</v>
      </c>
      <c r="L172" s="55" t="str">
        <f>IF(ISBLANK(M172),"",MAX(L$5:L171)+1)</f>
        <v/>
      </c>
      <c r="M172" s="83"/>
    </row>
    <row r="173" spans="2:13" s="58" customFormat="1">
      <c r="B173" s="71" t="s">
        <v>449</v>
      </c>
      <c r="C173" s="108"/>
      <c r="D173" s="86" t="str">
        <f>D$5</f>
        <v>$</v>
      </c>
      <c r="E173" s="108" t="str">
        <f>IF($H$62=$B$330,$H60*$H$63,IF($H$62=$B$331,0,"na"))</f>
        <v>na</v>
      </c>
      <c r="F173" s="108" t="str">
        <f>IF($H$62=$B$330,$H60*$H$63,IF($H$62=$B$331,0,"na"))</f>
        <v>na</v>
      </c>
      <c r="G173" s="108" t="str">
        <f>IF($H$62=$B$330,$H60*$H$63,IF($H$62=$B$331,0,"na"))</f>
        <v>na</v>
      </c>
      <c r="H173" s="108" t="str">
        <f>IF($H$62=$B$330,$H60*$H$63,IF($H$62=$B$331,0,"na"))</f>
        <v>na</v>
      </c>
      <c r="I173" s="108" t="str">
        <f>IF($H$62=$B$330,$H60*$H$63,IF($H$62=$B$331,0,"na"))</f>
        <v>na</v>
      </c>
      <c r="J173" s="108" t="str">
        <f>IF($H$62=$B$330,$H60*$H$63,IF($H$62=$B$331,0,"na"))</f>
        <v>na</v>
      </c>
      <c r="K173" s="108" t="str">
        <f>IF($H$62=$B$330,$H60*$H$63,IF($H$62=$B$331,0,"na"))</f>
        <v>na</v>
      </c>
      <c r="L173" s="55" t="str">
        <f>IF(ISBLANK(M173),"",MAX(L$5:L172)+1)</f>
        <v/>
      </c>
      <c r="M173" s="83"/>
    </row>
    <row r="174" spans="2:13" s="58" customFormat="1">
      <c r="B174" s="74" t="str">
        <f>"Note: Implied Proceeds, do not convert to Common, if "&amp;B$329</f>
        <v>Note: Implied Proceeds, do not convert to Common, if Non Participating Preferred</v>
      </c>
      <c r="C174" s="89"/>
      <c r="D174" s="86" t="str">
        <f>D$5</f>
        <v>$</v>
      </c>
      <c r="E174" s="89">
        <f>MIN(E169,E172)</f>
        <v>0</v>
      </c>
      <c r="F174" s="89">
        <f t="shared" ref="F174:K174" si="59">MIN(F169,F172)</f>
        <v>0</v>
      </c>
      <c r="G174" s="89">
        <f t="shared" si="59"/>
        <v>0</v>
      </c>
      <c r="H174" s="89">
        <f t="shared" si="59"/>
        <v>0</v>
      </c>
      <c r="I174" s="89">
        <f t="shared" si="59"/>
        <v>0</v>
      </c>
      <c r="J174" s="89">
        <f t="shared" si="59"/>
        <v>0</v>
      </c>
      <c r="K174" s="89">
        <f t="shared" si="59"/>
        <v>0</v>
      </c>
      <c r="L174" s="55" t="str">
        <f>IF(ISBLANK(M174),"",MAX(L$5:L173)+1)</f>
        <v/>
      </c>
      <c r="M174" s="83"/>
    </row>
    <row r="175" spans="2:13" s="58" customFormat="1">
      <c r="B175" s="74" t="str">
        <f>"Note: Implied Proceeds, do not convert to Common, if "&amp;B$330</f>
        <v>Note: Implied Proceeds, do not convert to Common, if Participating Preferred with a Cap</v>
      </c>
      <c r="C175" s="89"/>
      <c r="D175" s="86" t="str">
        <f>D$5</f>
        <v>$</v>
      </c>
      <c r="E175" s="89">
        <f t="shared" ref="E175:K175" si="60">IFERROR(IF($E$8="no",MIN(MAX(0,E$94)/E$98*E171+E172,E169,$H$60*$H$63),MIN(E$199*E171+E172,E169,$H$60*$H$63)),0)</f>
        <v>0</v>
      </c>
      <c r="F175" s="89">
        <f t="shared" si="60"/>
        <v>0</v>
      </c>
      <c r="G175" s="89">
        <f t="shared" si="60"/>
        <v>0</v>
      </c>
      <c r="H175" s="89">
        <f t="shared" si="60"/>
        <v>0</v>
      </c>
      <c r="I175" s="89">
        <f t="shared" si="60"/>
        <v>0</v>
      </c>
      <c r="J175" s="89">
        <f t="shared" si="60"/>
        <v>0</v>
      </c>
      <c r="K175" s="89">
        <f t="shared" si="60"/>
        <v>0</v>
      </c>
      <c r="L175" s="55" t="str">
        <f>IF(ISBLANK(M175),"",MAX(L$5:L174)+1)</f>
        <v/>
      </c>
      <c r="M175" s="83"/>
    </row>
    <row r="176" spans="2:13" s="58" customFormat="1">
      <c r="B176" s="74" t="str">
        <f>"Note: Implied Proceeds, do not convert to Common, if "&amp;B$331</f>
        <v>Note: Implied Proceeds, do not convert to Common, if Full Participating Preferred</v>
      </c>
      <c r="C176" s="89"/>
      <c r="D176" s="86" t="str">
        <f>D$5</f>
        <v>$</v>
      </c>
      <c r="E176" s="89">
        <f>IFERROR(MIN(E$199*E171+E172,E169),0)</f>
        <v>0</v>
      </c>
      <c r="F176" s="89">
        <f t="shared" ref="F176:K176" si="61">IFERROR(MIN(F$199*F171+F172,F169),0)</f>
        <v>0</v>
      </c>
      <c r="G176" s="89">
        <f t="shared" si="61"/>
        <v>0</v>
      </c>
      <c r="H176" s="89">
        <f t="shared" si="61"/>
        <v>0</v>
      </c>
      <c r="I176" s="89">
        <f t="shared" si="61"/>
        <v>0</v>
      </c>
      <c r="J176" s="89">
        <f t="shared" si="61"/>
        <v>0</v>
      </c>
      <c r="K176" s="89">
        <f t="shared" si="61"/>
        <v>0</v>
      </c>
      <c r="L176" s="55" t="str">
        <f>IF(ISBLANK(M176),"",MAX(L$5:L175)+1)</f>
        <v/>
      </c>
      <c r="M176" s="83"/>
    </row>
    <row r="177" spans="1:26" s="58" customFormat="1">
      <c r="B177" s="74" t="s">
        <v>454</v>
      </c>
      <c r="C177" s="109"/>
      <c r="D177" s="86" t="str">
        <f>D5</f>
        <v>$</v>
      </c>
      <c r="E177" s="109">
        <f>IFERROR(IF($E$8="no",MAX(0,E$94)/E$98*E171*$H$64,E$199*E171*$H$64),0)</f>
        <v>0</v>
      </c>
      <c r="F177" s="109">
        <f t="shared" ref="F177:K177" si="62">IFERROR(IF($E$8="no",MAX(0,F$94)/F$98*F171*$H$64,F$199*F171*$H$64),0)</f>
        <v>0</v>
      </c>
      <c r="G177" s="109">
        <f t="shared" si="62"/>
        <v>0</v>
      </c>
      <c r="H177" s="109">
        <f t="shared" si="62"/>
        <v>0</v>
      </c>
      <c r="I177" s="109">
        <f t="shared" si="62"/>
        <v>0</v>
      </c>
      <c r="J177" s="109">
        <f t="shared" si="62"/>
        <v>0</v>
      </c>
      <c r="K177" s="109">
        <f t="shared" si="62"/>
        <v>0</v>
      </c>
      <c r="L177" s="55" t="str">
        <f>IF(ISBLANK(M177),"",MAX(L$5:L176)+1)</f>
        <v/>
      </c>
      <c r="M177" s="83"/>
      <c r="N177" s="112"/>
    </row>
    <row r="178" spans="1:26" s="58" customFormat="1">
      <c r="B178" s="71" t="s">
        <v>456</v>
      </c>
      <c r="C178" s="91"/>
      <c r="D178" s="86" t="s">
        <v>361</v>
      </c>
      <c r="E178" s="91" t="str">
        <f>IF($H$62=$B$329,"no",IF($H$62=$B$331,"yes",IF(E175&gt;E177,"yes","no")))</f>
        <v>no</v>
      </c>
      <c r="F178" s="91" t="str">
        <f>IF($H$62=$B$329,"no",IF($H$62=$B$331,"yes",IF(F175&gt;F177,"yes","no")))</f>
        <v>no</v>
      </c>
      <c r="G178" s="91" t="str">
        <f>IF($H$62=$B$329,"no",IF($H$62=$B$331,"yes",IF(G175&gt;G177,"yes","no")))</f>
        <v>no</v>
      </c>
      <c r="H178" s="91" t="str">
        <f>IF($H$62=$B$329,"no",IF($H$62=$B$331,"yes",IF(H175&gt;H177,"yes","no")))</f>
        <v>no</v>
      </c>
      <c r="I178" s="91" t="str">
        <f>IF($H$62=$B$329,"no",IF($H$62=$B$331,"yes",IF(I175&gt;I177,"yes","no")))</f>
        <v>no</v>
      </c>
      <c r="J178" s="91" t="str">
        <f>IF($H$62=$B$329,"no",IF($H$62=$B$331,"yes",IF(J175&gt;J177,"yes","no")))</f>
        <v>no</v>
      </c>
      <c r="K178" s="91" t="str">
        <f>IF($H$62=$B$329,"no",IF($H$62=$B$331,"yes",IF(K175&gt;K177,"yes","no")))</f>
        <v>no</v>
      </c>
      <c r="L178" s="55" t="str">
        <f>IF(ISBLANK(M178),"",MAX(L$5:L177)+1)</f>
        <v/>
      </c>
      <c r="M178" s="83"/>
    </row>
    <row r="179" spans="1:26" s="58" customFormat="1">
      <c r="B179" s="71" t="s">
        <v>458</v>
      </c>
      <c r="C179" s="89"/>
      <c r="D179" s="86" t="s">
        <v>130</v>
      </c>
      <c r="E179" s="89">
        <f>IFERROR(IF(E178="yes",INDEX(E180:E182,MATCH($H$62,$B$329:$B$331,0))/E$199,0),0)</f>
        <v>0</v>
      </c>
      <c r="F179" s="89">
        <f>IFERROR(IF(F178="yes",INDEX(F180:F182,MATCH($H$62,$B$329:$B$331,0))/F$199,0),0)</f>
        <v>0</v>
      </c>
      <c r="G179" s="89">
        <f>IFERROR(IF(G178="yes",INDEX(G180:G182,MATCH($H$62,$B$329:$B$331,0))/G$199,0),0)</f>
        <v>0</v>
      </c>
      <c r="H179" s="89">
        <f>IFERROR(IF(H178="yes",INDEX(H180:H182,MATCH($H$62,$B$329:$B$331,0))/H$199,0),0)</f>
        <v>0</v>
      </c>
      <c r="I179" s="89">
        <f>IFERROR(IF(I178="yes",INDEX(I180:I182,MATCH($H$62,$B$329:$B$331,0))/I$199,0),0)</f>
        <v>0</v>
      </c>
      <c r="J179" s="89">
        <f>IFERROR(IF(J178="yes",INDEX(J180:J182,MATCH($H$62,$B$329:$B$331,0))/J$199,0),0)</f>
        <v>0</v>
      </c>
      <c r="K179" s="89">
        <f>IFERROR(IF(K178="yes",INDEX(K180:K182,MATCH($H$62,$B$329:$B$331,0))/K$199,0),0)</f>
        <v>0</v>
      </c>
      <c r="L179" s="55" t="str">
        <f>IF(ISBLANK(M179),"",MAX(L$5:L178)+1)</f>
        <v/>
      </c>
      <c r="M179" s="83"/>
    </row>
    <row r="180" spans="1:26" s="58" customFormat="1">
      <c r="B180" s="74" t="str">
        <f>"Note: Participation, if "&amp;B329</f>
        <v>Note: Participation, if Non Participating Preferred</v>
      </c>
      <c r="C180" s="89"/>
      <c r="D180" s="86" t="str">
        <f>D$5</f>
        <v>$</v>
      </c>
      <c r="E180" s="89">
        <f>MAX(0,E174-E$172)</f>
        <v>0</v>
      </c>
      <c r="F180" s="89">
        <f t="shared" ref="F180:K182" si="63">MAX(0,F174-F$172)</f>
        <v>0</v>
      </c>
      <c r="G180" s="89">
        <f t="shared" si="63"/>
        <v>0</v>
      </c>
      <c r="H180" s="89">
        <f t="shared" si="63"/>
        <v>0</v>
      </c>
      <c r="I180" s="89">
        <f t="shared" si="63"/>
        <v>0</v>
      </c>
      <c r="J180" s="89">
        <f t="shared" si="63"/>
        <v>0</v>
      </c>
      <c r="K180" s="89">
        <f t="shared" si="63"/>
        <v>0</v>
      </c>
      <c r="L180" s="55" t="str">
        <f>IF(ISBLANK(M180),"",MAX(L$5:L179)+1)</f>
        <v/>
      </c>
      <c r="M180" s="83"/>
    </row>
    <row r="181" spans="1:26" s="83" customFormat="1">
      <c r="A181" s="58"/>
      <c r="B181" s="74" t="str">
        <f>"Note: Participation, if "&amp;B330</f>
        <v>Note: Participation, if Participating Preferred with a Cap</v>
      </c>
      <c r="C181" s="89"/>
      <c r="D181" s="86" t="str">
        <f>D$5</f>
        <v>$</v>
      </c>
      <c r="E181" s="89">
        <f>MAX(0,E175-E$172)</f>
        <v>0</v>
      </c>
      <c r="F181" s="89">
        <f t="shared" si="63"/>
        <v>0</v>
      </c>
      <c r="G181" s="89">
        <f t="shared" si="63"/>
        <v>0</v>
      </c>
      <c r="H181" s="89">
        <f t="shared" si="63"/>
        <v>0</v>
      </c>
      <c r="I181" s="89">
        <f t="shared" si="63"/>
        <v>0</v>
      </c>
      <c r="J181" s="89">
        <f t="shared" si="63"/>
        <v>0</v>
      </c>
      <c r="K181" s="89">
        <f t="shared" si="63"/>
        <v>0</v>
      </c>
      <c r="L181" s="55" t="str">
        <f>IF(ISBLANK(M181),"",MAX(L$5:L180)+1)</f>
        <v/>
      </c>
      <c r="N181" s="58"/>
      <c r="O181" s="58"/>
      <c r="P181" s="58"/>
      <c r="Q181" s="58"/>
      <c r="R181" s="58"/>
      <c r="S181" s="58"/>
      <c r="T181" s="58"/>
      <c r="U181" s="58"/>
      <c r="V181" s="58"/>
      <c r="W181" s="58"/>
      <c r="X181" s="58"/>
      <c r="Y181" s="58"/>
      <c r="Z181" s="58"/>
    </row>
    <row r="182" spans="1:26" s="83" customFormat="1">
      <c r="B182" s="74" t="str">
        <f>"Note: Participation, if "&amp;B331</f>
        <v>Note: Participation, if Full Participating Preferred</v>
      </c>
      <c r="C182" s="89"/>
      <c r="D182" s="86" t="str">
        <f>D$5</f>
        <v>$</v>
      </c>
      <c r="E182" s="89">
        <f>MAX(0,E176-E$172)</f>
        <v>0</v>
      </c>
      <c r="F182" s="89">
        <f t="shared" si="63"/>
        <v>0</v>
      </c>
      <c r="G182" s="89">
        <f t="shared" si="63"/>
        <v>0</v>
      </c>
      <c r="H182" s="89">
        <f t="shared" si="63"/>
        <v>0</v>
      </c>
      <c r="I182" s="89">
        <f t="shared" si="63"/>
        <v>0</v>
      </c>
      <c r="J182" s="89">
        <f t="shared" si="63"/>
        <v>0</v>
      </c>
      <c r="K182" s="89">
        <f t="shared" si="63"/>
        <v>0</v>
      </c>
      <c r="L182" s="55" t="str">
        <f>IF(ISBLANK(M182),"",MAX(L$5:L181)+1)</f>
        <v/>
      </c>
    </row>
    <row r="183" spans="1:26" s="83" customFormat="1">
      <c r="B183" s="71" t="s">
        <v>461</v>
      </c>
      <c r="C183" s="91"/>
      <c r="D183" s="86" t="s">
        <v>361</v>
      </c>
      <c r="E183" s="91" t="str">
        <f>IF($H$62=$B$329,IF(E174&gt;E177,"no","yes"),IF(E178="yes","no","yes"))</f>
        <v>yes</v>
      </c>
      <c r="F183" s="91" t="str">
        <f>IF($H$62=$B$329,IF(F174&gt;F177,"no","yes"),IF(F178="yes","no","yes"))</f>
        <v>yes</v>
      </c>
      <c r="G183" s="91" t="str">
        <f>IF($H$62=$B$329,IF(G174&gt;G177,"no","yes"),IF(G178="yes","no","yes"))</f>
        <v>yes</v>
      </c>
      <c r="H183" s="91" t="str">
        <f>IF($H$62=$B$329,IF(H174&gt;H177,"no","yes"),IF(H178="yes","no","yes"))</f>
        <v>yes</v>
      </c>
      <c r="I183" s="91" t="str">
        <f>IF($H$62=$B$329,IF(I174&gt;I177,"no","yes"),IF(I178="yes","no","yes"))</f>
        <v>yes</v>
      </c>
      <c r="J183" s="91" t="str">
        <f>IF($H$62=$B$329,IF(J174&gt;J177,"no","yes"),IF(J178="yes","no","yes"))</f>
        <v>yes</v>
      </c>
      <c r="K183" s="91" t="str">
        <f>IF($H$62=$B$329,IF(K174&gt;K177,"no","yes"),IF(K178="yes","no","yes"))</f>
        <v>yes</v>
      </c>
      <c r="L183" s="55" t="str">
        <f>IF(ISBLANK(M183),"",MAX(L$5:L182)+1)</f>
        <v/>
      </c>
    </row>
    <row r="184" spans="1:26" s="83" customFormat="1">
      <c r="B184" s="71" t="s">
        <v>463</v>
      </c>
      <c r="C184" s="89"/>
      <c r="D184" s="86" t="s">
        <v>130</v>
      </c>
      <c r="E184" s="89">
        <f>IF(E183="yes",E171*$H$64,0)</f>
        <v>0</v>
      </c>
      <c r="F184" s="89">
        <f t="shared" ref="F184:K184" si="64">IF(F183="yes",F171*$H$64,0)</f>
        <v>0</v>
      </c>
      <c r="G184" s="89">
        <f t="shared" si="64"/>
        <v>0</v>
      </c>
      <c r="H184" s="89">
        <f t="shared" si="64"/>
        <v>0</v>
      </c>
      <c r="I184" s="89">
        <f t="shared" si="64"/>
        <v>0</v>
      </c>
      <c r="J184" s="89">
        <f t="shared" si="64"/>
        <v>0</v>
      </c>
      <c r="K184" s="89">
        <f t="shared" si="64"/>
        <v>0</v>
      </c>
      <c r="L184" s="55" t="str">
        <f>IF(ISBLANK(M184),"",MAX(L$5:L183)+1)</f>
        <v/>
      </c>
    </row>
    <row r="185" spans="1:26" s="83" customFormat="1">
      <c r="B185" s="71" t="s">
        <v>465</v>
      </c>
      <c r="C185" s="109"/>
      <c r="D185" s="86" t="str">
        <f>D5</f>
        <v>$</v>
      </c>
      <c r="E185" s="109">
        <f t="shared" ref="E185:K185" si="65">IF($E$8="yes",IFERROR(E184*E$199,0),IFERROR(E184/E$98*E$94,0))</f>
        <v>0</v>
      </c>
      <c r="F185" s="109">
        <f t="shared" si="65"/>
        <v>0</v>
      </c>
      <c r="G185" s="109">
        <f t="shared" si="65"/>
        <v>0</v>
      </c>
      <c r="H185" s="109">
        <f t="shared" si="65"/>
        <v>0</v>
      </c>
      <c r="I185" s="109">
        <f t="shared" si="65"/>
        <v>0</v>
      </c>
      <c r="J185" s="109">
        <f t="shared" si="65"/>
        <v>0</v>
      </c>
      <c r="K185" s="109">
        <f t="shared" si="65"/>
        <v>0</v>
      </c>
      <c r="L185" s="55" t="str">
        <f>IF(ISBLANK(M185),"",MAX(L$5:L184)+1)</f>
        <v/>
      </c>
    </row>
    <row r="186" spans="1:26" s="83" customFormat="1">
      <c r="B186" s="71" t="s">
        <v>385</v>
      </c>
      <c r="C186" s="109"/>
      <c r="D186" s="86" t="str">
        <f>D$5</f>
        <v>$</v>
      </c>
      <c r="E186" s="109">
        <f>IF(OR(E183="yes",$H$65=$B$336),0,IF($H$65=$B$334,$H$66*$H$60,ROUND(YEARFRAC($H$67,$E$6,1),0)*$H$66*$H$60))</f>
        <v>0</v>
      </c>
      <c r="F186" s="109">
        <f>IF(OR(F183="yes",$H$65=$B$336),0,IF($H$65=$B$334,$H$66*$H$60,ROUND(YEARFRAC($H$67,$E$6,1),0)*$H$66*$H$60))</f>
        <v>0</v>
      </c>
      <c r="G186" s="109">
        <f>IF(OR(G183="yes",$H$65=$B$336),0,IF($H$65=$B$334,$H$66*$H$60,ROUND(YEARFRAC($H$67,$E$6,1),0)*$H$66*$H$60))</f>
        <v>0</v>
      </c>
      <c r="H186" s="109">
        <f>IF(OR(H183="yes",$H$65=$B$336),0,IF($H$65=$B$334,$H$66*$H$60,ROUND(YEARFRAC($H$67,$E$6,1),0)*$H$66*$H$60))</f>
        <v>0</v>
      </c>
      <c r="I186" s="109">
        <f>IF(OR(I183="yes",$H$65=$B$336),0,IF($H$65=$B$334,$H$66*$H$60,ROUND(YEARFRAC($H$67,$E$6,1),0)*$H$66*$H$60))</f>
        <v>0</v>
      </c>
      <c r="J186" s="109">
        <f>IF(OR(J183="yes",$H$65=$B$336),0,IF($H$65=$B$334,$H$66*$H$60,ROUND(YEARFRAC($H$67,$E$6,1),0)*$H$66*$H$60))</f>
        <v>0</v>
      </c>
      <c r="K186" s="109">
        <f>IF(OR(K183="yes",$H$65=$B$336),0,IF($H$65=$B$334,$H$66*$H$60,ROUND(YEARFRAC($H$67,$E$6,1),0)*$H$66*$H$60))</f>
        <v>0</v>
      </c>
      <c r="L186" s="55" t="str">
        <f>IF(ISBLANK(M186),"",MAX(L$5:L185)+1)</f>
        <v/>
      </c>
    </row>
    <row r="187" spans="1:26" s="83" customFormat="1">
      <c r="B187" s="71" t="str">
        <f>"Proceeds to "&amp;B168</f>
        <v>Proceeds to Preferred, Seed</v>
      </c>
      <c r="C187" s="89"/>
      <c r="D187" s="86" t="str">
        <f>D5</f>
        <v>$</v>
      </c>
      <c r="E187" s="89">
        <f>MIN(E169,MAX(E186+INDEX(E174:E176,MATCH($H$62,$B$329:$B$331,0)),E185))</f>
        <v>0</v>
      </c>
      <c r="F187" s="89">
        <f>MIN(F169,MAX(F186+INDEX(F174:F176,MATCH($H$62,$B$329:$B$331,0)),F185))</f>
        <v>0</v>
      </c>
      <c r="G187" s="89">
        <f>MIN(G169,MAX(G186+INDEX(G174:G176,MATCH($H$62,$B$329:$B$331,0)),G185))</f>
        <v>0</v>
      </c>
      <c r="H187" s="89">
        <f>MIN(H169,MAX(H186+INDEX(H174:H176,MATCH($H$62,$B$329:$B$331,0)),H185))</f>
        <v>0</v>
      </c>
      <c r="I187" s="89">
        <f>MIN(I169,MAX(I186+INDEX(I174:I176,MATCH($H$62,$B$329:$B$331,0)),I185))</f>
        <v>0</v>
      </c>
      <c r="J187" s="89">
        <f>MIN(J169,MAX(J186+INDEX(J174:J176,MATCH($H$62,$B$329:$B$331,0)),J185))</f>
        <v>0</v>
      </c>
      <c r="K187" s="89">
        <f>MIN(K169,MAX(K186+INDEX(K174:K176,MATCH($H$62,$B$329:$B$331,0)),K185))</f>
        <v>0</v>
      </c>
      <c r="L187" s="55" t="str">
        <f>IF(ISBLANK(M187),"",MAX(L$5:L186)+1)</f>
        <v/>
      </c>
    </row>
    <row r="188" spans="1:26" s="83" customFormat="1">
      <c r="B188" s="71" t="s">
        <v>469</v>
      </c>
      <c r="C188" s="110"/>
      <c r="D188" s="86" t="str">
        <f>D5</f>
        <v>$</v>
      </c>
      <c r="E188" s="110">
        <f>IFERROR(E187/E171,0)</f>
        <v>0</v>
      </c>
      <c r="F188" s="110">
        <f t="shared" ref="F188:K188" si="66">IFERROR(F187/F171,0)</f>
        <v>0</v>
      </c>
      <c r="G188" s="110">
        <f t="shared" si="66"/>
        <v>0</v>
      </c>
      <c r="H188" s="110">
        <f t="shared" si="66"/>
        <v>0</v>
      </c>
      <c r="I188" s="110">
        <f t="shared" si="66"/>
        <v>0</v>
      </c>
      <c r="J188" s="110">
        <f t="shared" si="66"/>
        <v>0</v>
      </c>
      <c r="K188" s="110">
        <f t="shared" si="66"/>
        <v>0</v>
      </c>
      <c r="L188" s="55" t="str">
        <f>IF(ISBLANK(M188),"",MAX(L$5:L187)+1)</f>
        <v/>
      </c>
    </row>
    <row r="189" spans="1:26" s="83" customFormat="1">
      <c r="B189" s="58"/>
      <c r="C189" s="58"/>
      <c r="D189" s="64"/>
      <c r="E189" s="58"/>
      <c r="F189" s="58"/>
      <c r="G189" s="58"/>
      <c r="H189" s="58"/>
      <c r="I189" s="109"/>
      <c r="J189" s="58"/>
      <c r="K189" s="58"/>
      <c r="L189" s="55" t="str">
        <f>IF(ISBLANK(M189),"",MAX(L$5:L188)+1)</f>
        <v/>
      </c>
    </row>
    <row r="190" spans="1:26" s="83" customFormat="1">
      <c r="B190" s="74" t="str">
        <f>I68</f>
        <v>Common</v>
      </c>
      <c r="C190" s="58"/>
      <c r="D190" s="112"/>
      <c r="E190" s="58"/>
      <c r="F190" s="58"/>
      <c r="G190" s="58"/>
      <c r="H190" s="58"/>
      <c r="I190" s="109"/>
      <c r="J190" s="58"/>
      <c r="K190" s="58"/>
      <c r="L190" s="55" t="str">
        <f>IF(ISBLANK(M190),"",MAX(L$5:L189)+1)</f>
        <v/>
      </c>
    </row>
    <row r="191" spans="1:26" s="83" customFormat="1">
      <c r="B191" s="71" t="s">
        <v>442</v>
      </c>
      <c r="C191" s="89"/>
      <c r="D191" s="86" t="str">
        <f>D5</f>
        <v>$</v>
      </c>
      <c r="E191" s="89">
        <f>IF(E183="no",MAX(0,E169-E172-E186),IF($H50=$B$331,MAX(0,E169-E172-E186),IF(AND($H50=$B$330,E185=0),MAX(0,E169-E172-E186),E169)))</f>
        <v>6250</v>
      </c>
      <c r="F191" s="89">
        <f>IF(F183="no",MAX(0,F169-F172-F186),IF($H50=$B$331,MAX(0,F169-F172-F186),IF(AND($H50=$B$330,F185=0),MAX(0,F169-F172-F186),F169)))</f>
        <v>12500</v>
      </c>
      <c r="G191" s="89">
        <f>IF(G183="no",MAX(0,G169-G172-G186),IF($H50=$B$331,MAX(0,G169-G172-G186),IF(AND($H50=$B$330,G185=0),MAX(0,G169-G172-G186),G169)))</f>
        <v>25000</v>
      </c>
      <c r="H191" s="89">
        <f>IF(H183="no",MAX(0,H169-H172-H186),IF($H50=$B$331,MAX(0,H169-H172-H186),IF(AND($H50=$B$330,H185=0),MAX(0,H169-H172-H186),H169)))</f>
        <v>50000</v>
      </c>
      <c r="I191" s="89">
        <f>IF(I183="no",MAX(0,I169-I172-I186),IF($H50=$B$331,MAX(0,I169-I172-I186),IF(AND($H50=$B$330,I185=0),MAX(0,I169-I172-I186),I169)))</f>
        <v>75000</v>
      </c>
      <c r="J191" s="89">
        <f>IF(J183="no",MAX(0,J169-J172-J186),IF($H50=$B$331,MAX(0,J169-J172-J186),IF(AND($H50=$B$330,J185=0),MAX(0,J169-J172-J186),J169)))</f>
        <v>112500</v>
      </c>
      <c r="K191" s="89">
        <f>IF(K183="no",MAX(0,K169-K172-K186),IF($H50=$B$331,MAX(0,K169-K172-K186),IF(AND($H50=$B$330,K185=0),MAX(0,K169-K172-K186),K169)))</f>
        <v>168750</v>
      </c>
      <c r="L191" s="55" t="str">
        <f>IF(ISBLANK(M191),"",MAX(L$5:L190)+1)</f>
        <v/>
      </c>
    </row>
    <row r="192" spans="1:26" s="83" customFormat="1">
      <c r="B192" s="71" t="s">
        <v>444</v>
      </c>
      <c r="C192" s="89"/>
      <c r="D192" s="64" t="s">
        <v>130</v>
      </c>
      <c r="E192" s="89">
        <f t="shared" ref="E192:K192" si="67">E170-E184</f>
        <v>0</v>
      </c>
      <c r="F192" s="89">
        <f t="shared" si="67"/>
        <v>0</v>
      </c>
      <c r="G192" s="89">
        <f t="shared" si="67"/>
        <v>0</v>
      </c>
      <c r="H192" s="89">
        <f t="shared" si="67"/>
        <v>0</v>
      </c>
      <c r="I192" s="89">
        <f t="shared" si="67"/>
        <v>0</v>
      </c>
      <c r="J192" s="89">
        <f t="shared" si="67"/>
        <v>0</v>
      </c>
      <c r="K192" s="89">
        <f t="shared" si="67"/>
        <v>0</v>
      </c>
      <c r="L192" s="55" t="str">
        <f>IF(ISBLANK(M192),"",MAX(L$5:L191)+1)</f>
        <v/>
      </c>
    </row>
    <row r="193" spans="2:13" s="83" customFormat="1">
      <c r="B193" s="71" t="s">
        <v>471</v>
      </c>
      <c r="C193" s="109"/>
      <c r="D193" s="86" t="s">
        <v>130</v>
      </c>
      <c r="E193" s="109">
        <f>$I59+$J59-E97</f>
        <v>0</v>
      </c>
      <c r="F193" s="109">
        <f t="shared" ref="F193:K193" si="68">$I59+$J59-F97</f>
        <v>0</v>
      </c>
      <c r="G193" s="109">
        <f t="shared" si="68"/>
        <v>0</v>
      </c>
      <c r="H193" s="109">
        <f t="shared" si="68"/>
        <v>0</v>
      </c>
      <c r="I193" s="109">
        <f t="shared" si="68"/>
        <v>0</v>
      </c>
      <c r="J193" s="109">
        <f t="shared" si="68"/>
        <v>0</v>
      </c>
      <c r="K193" s="109">
        <f t="shared" si="68"/>
        <v>0</v>
      </c>
      <c r="L193" s="55" t="str">
        <f>IF(ISBLANK(M193),"",MAX(L$5:L192)+1)</f>
        <v/>
      </c>
    </row>
    <row r="194" spans="2:13" s="83" customFormat="1">
      <c r="B194" s="71" t="s">
        <v>472</v>
      </c>
      <c r="C194" s="109"/>
      <c r="D194" s="86" t="s">
        <v>130</v>
      </c>
      <c r="E194" s="109">
        <f>E179+E113+E157+E135</f>
        <v>0</v>
      </c>
      <c r="F194" s="109">
        <f t="shared" ref="F194:K194" si="69">F179+F113+F157+F135</f>
        <v>0</v>
      </c>
      <c r="G194" s="109">
        <f t="shared" si="69"/>
        <v>0</v>
      </c>
      <c r="H194" s="109">
        <f t="shared" si="69"/>
        <v>0</v>
      </c>
      <c r="I194" s="109">
        <f t="shared" si="69"/>
        <v>0</v>
      </c>
      <c r="J194" s="109">
        <f t="shared" si="69"/>
        <v>0</v>
      </c>
      <c r="K194" s="109">
        <f t="shared" si="69"/>
        <v>0</v>
      </c>
      <c r="L194" s="55" t="str">
        <f>IF(ISBLANK(M194),"",MAX(L$5:L193)+1)</f>
        <v/>
      </c>
    </row>
    <row r="195" spans="2:13" s="83" customFormat="1">
      <c r="B195" s="71" t="s">
        <v>473</v>
      </c>
      <c r="C195" s="109"/>
      <c r="D195" s="86" t="s">
        <v>130</v>
      </c>
      <c r="E195" s="109">
        <f>E118+E184+E162+E140</f>
        <v>0</v>
      </c>
      <c r="F195" s="109">
        <f t="shared" ref="F195:K195" si="70">F118+F184+F162+F140</f>
        <v>0</v>
      </c>
      <c r="G195" s="109">
        <f t="shared" si="70"/>
        <v>0</v>
      </c>
      <c r="H195" s="109">
        <f t="shared" si="70"/>
        <v>0</v>
      </c>
      <c r="I195" s="109">
        <f t="shared" si="70"/>
        <v>0</v>
      </c>
      <c r="J195" s="109">
        <f t="shared" si="70"/>
        <v>0</v>
      </c>
      <c r="K195" s="109">
        <f t="shared" si="70"/>
        <v>0</v>
      </c>
      <c r="L195" s="55" t="str">
        <f>IF(ISBLANK(M195),"",MAX(L$5:L194)+1)</f>
        <v/>
      </c>
    </row>
    <row r="196" spans="2:13" s="83" customFormat="1">
      <c r="B196" s="71" t="s">
        <v>474</v>
      </c>
      <c r="C196" s="89"/>
      <c r="D196" s="86" t="s">
        <v>130</v>
      </c>
      <c r="E196" s="89">
        <f t="shared" ref="E196:K196" si="71">E195+E193+E194</f>
        <v>0</v>
      </c>
      <c r="F196" s="89">
        <f t="shared" si="71"/>
        <v>0</v>
      </c>
      <c r="G196" s="89">
        <f t="shared" si="71"/>
        <v>0</v>
      </c>
      <c r="H196" s="89">
        <f t="shared" si="71"/>
        <v>0</v>
      </c>
      <c r="I196" s="89">
        <f t="shared" si="71"/>
        <v>0</v>
      </c>
      <c r="J196" s="89">
        <f t="shared" si="71"/>
        <v>0</v>
      </c>
      <c r="K196" s="89">
        <f t="shared" si="71"/>
        <v>0</v>
      </c>
      <c r="L196" s="55" t="str">
        <f>IF(ISBLANK(M196),"",MAX(L$5:L195)+1)</f>
        <v/>
      </c>
    </row>
    <row r="197" spans="2:13" s="83" customFormat="1">
      <c r="B197" s="71" t="s">
        <v>475</v>
      </c>
      <c r="C197" s="89"/>
      <c r="D197" s="86" t="str">
        <f>D$5</f>
        <v>$</v>
      </c>
      <c r="E197" s="89">
        <f t="shared" ref="E197:K197" si="72">E191</f>
        <v>6250</v>
      </c>
      <c r="F197" s="89">
        <f t="shared" si="72"/>
        <v>12500</v>
      </c>
      <c r="G197" s="89">
        <f t="shared" si="72"/>
        <v>25000</v>
      </c>
      <c r="H197" s="89">
        <f t="shared" si="72"/>
        <v>50000</v>
      </c>
      <c r="I197" s="89">
        <f t="shared" si="72"/>
        <v>75000</v>
      </c>
      <c r="J197" s="89">
        <f t="shared" si="72"/>
        <v>112500</v>
      </c>
      <c r="K197" s="89">
        <f t="shared" si="72"/>
        <v>168750</v>
      </c>
      <c r="L197" s="55" t="str">
        <f>IF(ISBLANK(M197),"",MAX(L$5:L196)+1)</f>
        <v/>
      </c>
    </row>
    <row r="198" spans="2:13" s="83" customFormat="1">
      <c r="B198" s="71" t="str">
        <f>"Proceeds to "&amp;B190</f>
        <v>Proceeds to Common</v>
      </c>
      <c r="C198" s="89"/>
      <c r="D198" s="86" t="str">
        <f>D$5</f>
        <v>$</v>
      </c>
      <c r="E198" s="89">
        <f t="shared" ref="E198:K198" si="73">E199*E193</f>
        <v>0</v>
      </c>
      <c r="F198" s="89">
        <f t="shared" si="73"/>
        <v>0</v>
      </c>
      <c r="G198" s="89">
        <f t="shared" si="73"/>
        <v>0</v>
      </c>
      <c r="H198" s="89">
        <f t="shared" si="73"/>
        <v>0</v>
      </c>
      <c r="I198" s="89">
        <f t="shared" si="73"/>
        <v>0</v>
      </c>
      <c r="J198" s="89">
        <f t="shared" si="73"/>
        <v>0</v>
      </c>
      <c r="K198" s="89">
        <f t="shared" si="73"/>
        <v>0</v>
      </c>
      <c r="L198" s="55" t="str">
        <f>IF(ISBLANK(M198),"",MAX(L$5:L197)+1)</f>
        <v/>
      </c>
    </row>
    <row r="199" spans="2:13" s="58" customFormat="1">
      <c r="B199" s="71" t="s">
        <v>469</v>
      </c>
      <c r="C199" s="110"/>
      <c r="D199" s="86" t="str">
        <f>D$5</f>
        <v>$</v>
      </c>
      <c r="E199" s="110">
        <f>IFERROR(E197/E196,0)</f>
        <v>0</v>
      </c>
      <c r="F199" s="110">
        <f t="shared" ref="F199:K199" si="74">IFERROR(F197/F196,0)</f>
        <v>0</v>
      </c>
      <c r="G199" s="110">
        <f t="shared" si="74"/>
        <v>0</v>
      </c>
      <c r="H199" s="110">
        <f t="shared" si="74"/>
        <v>0</v>
      </c>
      <c r="I199" s="110">
        <f t="shared" si="74"/>
        <v>0</v>
      </c>
      <c r="J199" s="110">
        <f t="shared" si="74"/>
        <v>0</v>
      </c>
      <c r="K199" s="110">
        <f t="shared" si="74"/>
        <v>0</v>
      </c>
      <c r="L199" s="55" t="str">
        <f>IF(ISBLANK(M199),"",MAX(L$5:L198)+1)</f>
        <v/>
      </c>
      <c r="M199" s="107"/>
    </row>
    <row r="200" spans="2:13" s="58" customFormat="1">
      <c r="D200" s="64"/>
      <c r="L200" s="55" t="str">
        <f>IF(ISBLANK(M200),"",MAX(L$5:L199)+1)</f>
        <v/>
      </c>
      <c r="M200" s="107"/>
    </row>
    <row r="201" spans="2:13" s="58" customFormat="1">
      <c r="B201" s="71" t="s">
        <v>476</v>
      </c>
      <c r="C201" s="89"/>
      <c r="D201" s="86" t="str">
        <f>D5</f>
        <v>$</v>
      </c>
      <c r="E201" s="113">
        <f>E198+E187+E121+E165+E143</f>
        <v>0</v>
      </c>
      <c r="F201" s="113">
        <f t="shared" ref="F201:K201" si="75">F198+F187+F121+F165+F143</f>
        <v>0</v>
      </c>
      <c r="G201" s="113">
        <f t="shared" si="75"/>
        <v>0</v>
      </c>
      <c r="H201" s="113">
        <f t="shared" si="75"/>
        <v>0</v>
      </c>
      <c r="I201" s="113">
        <f t="shared" si="75"/>
        <v>0</v>
      </c>
      <c r="J201" s="113">
        <f t="shared" si="75"/>
        <v>0</v>
      </c>
      <c r="K201" s="113">
        <f t="shared" si="75"/>
        <v>0</v>
      </c>
      <c r="L201" s="55">
        <f>IF(ISBLANK(M201),"",MAX(L$5:L200)+1)</f>
        <v>68</v>
      </c>
      <c r="M201" s="107" t="s">
        <v>477</v>
      </c>
    </row>
    <row r="202" spans="2:13" s="96" customFormat="1">
      <c r="B202" s="74" t="s">
        <v>478</v>
      </c>
      <c r="C202" s="115"/>
      <c r="D202" s="114" t="str">
        <f>D$5</f>
        <v>$</v>
      </c>
      <c r="E202" s="115">
        <f t="shared" ref="E202:K202" si="76">ROUND(E94-E201,1)</f>
        <v>6250</v>
      </c>
      <c r="F202" s="115">
        <f t="shared" si="76"/>
        <v>12500</v>
      </c>
      <c r="G202" s="115">
        <f t="shared" si="76"/>
        <v>25000</v>
      </c>
      <c r="H202" s="115">
        <f t="shared" si="76"/>
        <v>50000</v>
      </c>
      <c r="I202" s="115">
        <f t="shared" si="76"/>
        <v>75000</v>
      </c>
      <c r="J202" s="115">
        <f t="shared" si="76"/>
        <v>112500</v>
      </c>
      <c r="K202" s="115">
        <f t="shared" si="76"/>
        <v>168750</v>
      </c>
      <c r="L202" s="55">
        <f>IF(ISBLANK(M202),"",MAX(L$5:L201)+1)</f>
        <v>69</v>
      </c>
      <c r="M202" s="116" t="s">
        <v>479</v>
      </c>
    </row>
    <row r="203" spans="2:13" s="58" customFormat="1">
      <c r="D203" s="64"/>
      <c r="E203" s="89"/>
      <c r="F203" s="89"/>
      <c r="G203" s="89"/>
      <c r="L203" s="55" t="str">
        <f>IF(ISBLANK(M203),"",MAX(L$5:L202)+1)</f>
        <v/>
      </c>
      <c r="M203" s="107"/>
    </row>
    <row r="204" spans="2:13" s="58" customFormat="1">
      <c r="B204" s="74" t="s">
        <v>480</v>
      </c>
      <c r="D204" s="64"/>
      <c r="G204" s="89"/>
      <c r="L204" s="55" t="str">
        <f>IF(ISBLANK(M204),"",MAX(L$5:L203)+1)</f>
        <v/>
      </c>
      <c r="M204" s="107"/>
    </row>
    <row r="205" spans="2:13" s="58" customFormat="1">
      <c r="B205" s="71" t="str">
        <f>B102</f>
        <v>Preferred, C</v>
      </c>
      <c r="C205" s="89"/>
      <c r="D205" s="86" t="str">
        <f t="shared" ref="D205:D210" si="77">D$5</f>
        <v>$</v>
      </c>
      <c r="E205" s="89">
        <f>E$121*$E71+E$143*$F71+E$165*$G71+E$187*$H71+E$198*$I71</f>
        <v>0</v>
      </c>
      <c r="F205" s="89">
        <f>F$121*$E71+F$143*$F71+F$165*$G71+F$187*$H71+F$198*$I71</f>
        <v>0</v>
      </c>
      <c r="G205" s="89">
        <f>G$121*$E71+G$143*$F71+G$165*$G71+G$187*$H71+G$198*$I71</f>
        <v>0</v>
      </c>
      <c r="H205" s="89">
        <f>H$121*$E71+H$143*$F71+H$165*$G71+H$187*$H71+H$198*$I71</f>
        <v>0</v>
      </c>
      <c r="I205" s="89">
        <f>I$121*$E71+I$143*$F71+I$165*$G71+I$187*$H71+I$198*$I71</f>
        <v>0</v>
      </c>
      <c r="J205" s="89">
        <f>J$121*$E71+J$143*$F71+J$165*$G71+J$187*$H71+J$198*$I71</f>
        <v>0</v>
      </c>
      <c r="K205" s="89">
        <f>K$121*$E71+K$143*$F71+K$165*$G71+K$187*$H71+K$198*$I71</f>
        <v>0</v>
      </c>
      <c r="L205" s="55" t="str">
        <f>IF(ISBLANK(M205),"",MAX(L$5:L204)+1)</f>
        <v/>
      </c>
      <c r="M205" s="107"/>
    </row>
    <row r="206" spans="2:13" s="58" customFormat="1">
      <c r="B206" s="71" t="str">
        <f>B124</f>
        <v>Preferred, B</v>
      </c>
      <c r="C206" s="89"/>
      <c r="D206" s="86" t="str">
        <f t="shared" si="77"/>
        <v>$</v>
      </c>
      <c r="E206" s="89">
        <f>E$121*$E72+E$143*$F72+E$165*$G72+E$187*$H72+E$198*$I72</f>
        <v>0</v>
      </c>
      <c r="F206" s="89">
        <f>F$121*$E72+F$143*$F72+F$165*$G72+F$187*$H72+F$198*$I72</f>
        <v>0</v>
      </c>
      <c r="G206" s="89">
        <f>G$121*$E72+G$143*$F72+G$165*$G72+G$187*$H72+G$198*$I72</f>
        <v>0</v>
      </c>
      <c r="H206" s="89">
        <f>H$121*$E72+H$143*$F72+H$165*$G72+H$187*$H72+H$198*$I72</f>
        <v>0</v>
      </c>
      <c r="I206" s="89">
        <f>I$121*$E72+I$143*$F72+I$165*$G72+I$187*$H72+I$198*$I72</f>
        <v>0</v>
      </c>
      <c r="J206" s="89">
        <f>J$121*$E72+J$143*$F72+J$165*$G72+J$187*$H72+J$198*$I72</f>
        <v>0</v>
      </c>
      <c r="K206" s="89">
        <f>K$121*$E72+K$143*$F72+K$165*$G72+K$187*$H72+K$198*$I72</f>
        <v>0</v>
      </c>
      <c r="L206" s="55" t="str">
        <f>IF(ISBLANK(M206),"",MAX(L$5:L205)+1)</f>
        <v/>
      </c>
      <c r="M206" s="107"/>
    </row>
    <row r="207" spans="2:13" s="58" customFormat="1">
      <c r="B207" s="71" t="str">
        <f>B146</f>
        <v>Preferred, A</v>
      </c>
      <c r="C207" s="89"/>
      <c r="D207" s="86" t="str">
        <f t="shared" si="77"/>
        <v>$</v>
      </c>
      <c r="E207" s="89">
        <f>E$121*$E73+E$143*$F73+E$165*$G73+E$187*$H73+E$198*$I73</f>
        <v>0</v>
      </c>
      <c r="F207" s="89">
        <f>F$121*$E73+F$143*$F73+F$165*$G73+F$187*$H73+F$198*$I73</f>
        <v>0</v>
      </c>
      <c r="G207" s="89">
        <f>G$121*$E73+G$143*$F73+G$165*$G73+G$187*$H73+G$198*$I73</f>
        <v>0</v>
      </c>
      <c r="H207" s="89">
        <f>H$121*$E73+H$143*$F73+H$165*$G73+H$187*$H73+H$198*$I73</f>
        <v>0</v>
      </c>
      <c r="I207" s="89">
        <f>I$121*$E73+I$143*$F73+I$165*$G73+I$187*$H73+I$198*$I73</f>
        <v>0</v>
      </c>
      <c r="J207" s="89">
        <f>J$121*$E73+J$143*$F73+J$165*$G73+J$187*$H73+J$198*$I73</f>
        <v>0</v>
      </c>
      <c r="K207" s="89">
        <f>K$121*$E73+K$143*$F73+K$165*$G73+K$187*$H73+K$198*$I73</f>
        <v>0</v>
      </c>
      <c r="L207" s="55" t="str">
        <f>IF(ISBLANK(M207),"",MAX(L$5:L206)+1)</f>
        <v/>
      </c>
      <c r="M207" s="107"/>
    </row>
    <row r="208" spans="2:13" s="58" customFormat="1">
      <c r="B208" s="71" t="str">
        <f>B168</f>
        <v>Preferred, Seed</v>
      </c>
      <c r="C208" s="89"/>
      <c r="D208" s="86" t="str">
        <f t="shared" si="77"/>
        <v>$</v>
      </c>
      <c r="E208" s="89">
        <f>E$121*$E74+E$143*$F74+E$165*$G74+E$187*$H74+E$198*$I74</f>
        <v>0</v>
      </c>
      <c r="F208" s="89">
        <f>F$121*$E74+F$143*$F74+F$165*$G74+F$187*$H74+F$198*$I74</f>
        <v>0</v>
      </c>
      <c r="G208" s="89">
        <f>G$121*$E74+G$143*$F74+G$165*$G74+G$187*$H74+G$198*$I74</f>
        <v>0</v>
      </c>
      <c r="H208" s="89">
        <f>H$121*$E74+H$143*$F74+H$165*$G74+H$187*$H74+H$198*$I74</f>
        <v>0</v>
      </c>
      <c r="I208" s="89">
        <f>I$121*$E74+I$143*$F74+I$165*$G74+I$187*$H74+I$198*$I74</f>
        <v>0</v>
      </c>
      <c r="J208" s="89">
        <f>J$121*$E74+J$143*$F74+J$165*$G74+J$187*$H74+J$198*$I74</f>
        <v>0</v>
      </c>
      <c r="K208" s="89">
        <f>K$121*$E74+K$143*$F74+K$165*$G74+K$187*$H74+K$198*$I74</f>
        <v>0</v>
      </c>
      <c r="L208" s="55" t="str">
        <f>IF(ISBLANK(M208),"",MAX(L$5:L207)+1)</f>
        <v/>
      </c>
      <c r="M208" s="107"/>
    </row>
    <row r="209" spans="2:13" s="58" customFormat="1">
      <c r="B209" s="71" t="str">
        <f>B190&amp;" (including Options)"</f>
        <v>Common (including Options)</v>
      </c>
      <c r="C209" s="89"/>
      <c r="D209" s="86" t="str">
        <f t="shared" si="77"/>
        <v>$</v>
      </c>
      <c r="E209" s="89">
        <f>E$121*$E75+E$143*$F75+E$165*$G75+E$187*$H75+E$198*($I75+$I76)</f>
        <v>0</v>
      </c>
      <c r="F209" s="89">
        <f t="shared" ref="F209:K209" si="78">F$121*$E75+F$143*$F75+F$165*$G75+F$187*$H75+F$198*($I75+$I76)</f>
        <v>0</v>
      </c>
      <c r="G209" s="89">
        <f t="shared" si="78"/>
        <v>0</v>
      </c>
      <c r="H209" s="89">
        <f t="shared" si="78"/>
        <v>0</v>
      </c>
      <c r="I209" s="89">
        <f t="shared" si="78"/>
        <v>0</v>
      </c>
      <c r="J209" s="89">
        <f t="shared" si="78"/>
        <v>0</v>
      </c>
      <c r="K209" s="89">
        <f t="shared" si="78"/>
        <v>0</v>
      </c>
      <c r="L209" s="55" t="str">
        <f>IF(ISBLANK(M209),"",MAX(L$5:L208)+1)</f>
        <v/>
      </c>
      <c r="M209" s="107"/>
    </row>
    <row r="210" spans="2:13" s="58" customFormat="1">
      <c r="B210" s="71" t="s">
        <v>3</v>
      </c>
      <c r="C210" s="89"/>
      <c r="D210" s="86" t="str">
        <f t="shared" si="77"/>
        <v>$</v>
      </c>
      <c r="E210" s="113">
        <f t="shared" ref="E210:K210" si="79">SUM(E205:E209)</f>
        <v>0</v>
      </c>
      <c r="F210" s="113">
        <f t="shared" si="79"/>
        <v>0</v>
      </c>
      <c r="G210" s="113">
        <f t="shared" si="79"/>
        <v>0</v>
      </c>
      <c r="H210" s="113">
        <f t="shared" si="79"/>
        <v>0</v>
      </c>
      <c r="I210" s="113">
        <f t="shared" si="79"/>
        <v>0</v>
      </c>
      <c r="J210" s="113">
        <f t="shared" si="79"/>
        <v>0</v>
      </c>
      <c r="K210" s="113">
        <f t="shared" si="79"/>
        <v>0</v>
      </c>
      <c r="L210" s="55">
        <f>IF(ISBLANK(M210),"",MAX(L$5:L209)+1)</f>
        <v>70</v>
      </c>
      <c r="M210" s="107" t="s">
        <v>477</v>
      </c>
    </row>
    <row r="211" spans="2:13" s="58" customFormat="1">
      <c r="B211" s="74" t="s">
        <v>481</v>
      </c>
      <c r="C211" s="115"/>
      <c r="D211" s="114" t="str">
        <f>D$5</f>
        <v>$</v>
      </c>
      <c r="E211" s="115">
        <f>E210-E201</f>
        <v>0</v>
      </c>
      <c r="F211" s="115">
        <f t="shared" ref="F211:K211" si="80">F210-F201</f>
        <v>0</v>
      </c>
      <c r="G211" s="115">
        <f t="shared" si="80"/>
        <v>0</v>
      </c>
      <c r="H211" s="115">
        <f t="shared" si="80"/>
        <v>0</v>
      </c>
      <c r="I211" s="115">
        <f t="shared" si="80"/>
        <v>0</v>
      </c>
      <c r="J211" s="115">
        <f t="shared" si="80"/>
        <v>0</v>
      </c>
      <c r="K211" s="115">
        <f t="shared" si="80"/>
        <v>0</v>
      </c>
      <c r="L211" s="55">
        <f>IF(ISBLANK(M211),"",MAX(L$5:L210)+1)</f>
        <v>71</v>
      </c>
      <c r="M211" s="107" t="s">
        <v>482</v>
      </c>
    </row>
    <row r="212" spans="2:13" s="58" customFormat="1">
      <c r="D212" s="64"/>
      <c r="L212" s="55" t="str">
        <f>IF(ISBLANK(M212),"",MAX(L$5:L211)+1)</f>
        <v/>
      </c>
      <c r="M212" s="107"/>
    </row>
    <row r="213" spans="2:13" s="58" customFormat="1">
      <c r="B213" s="59" t="s">
        <v>483</v>
      </c>
      <c r="D213" s="64"/>
      <c r="L213" s="55" t="str">
        <f>IF(ISBLANK(M213),"",MAX(L$5:L212)+1)</f>
        <v/>
      </c>
      <c r="M213" s="107"/>
    </row>
    <row r="214" spans="2:13" s="58" customFormat="1">
      <c r="B214" s="111" t="str">
        <f>B205</f>
        <v>Preferred, C</v>
      </c>
      <c r="C214" s="117"/>
      <c r="D214" s="86" t="str">
        <f t="shared" ref="D214:D218" si="81">D$5</f>
        <v>$</v>
      </c>
      <c r="E214" s="117">
        <f t="shared" ref="E214:K214" si="82">IFERROR(E205/$E24,0)</f>
        <v>0</v>
      </c>
      <c r="F214" s="117">
        <f t="shared" si="82"/>
        <v>0</v>
      </c>
      <c r="G214" s="117">
        <f t="shared" si="82"/>
        <v>0</v>
      </c>
      <c r="H214" s="117">
        <f t="shared" si="82"/>
        <v>0</v>
      </c>
      <c r="I214" s="117">
        <f t="shared" si="82"/>
        <v>0</v>
      </c>
      <c r="J214" s="117">
        <f t="shared" si="82"/>
        <v>0</v>
      </c>
      <c r="K214" s="117">
        <f t="shared" si="82"/>
        <v>0</v>
      </c>
      <c r="L214" s="55" t="str">
        <f>IF(ISBLANK(M214),"",MAX(L$5:L213)+1)</f>
        <v/>
      </c>
      <c r="M214" s="107"/>
    </row>
    <row r="215" spans="2:13" s="58" customFormat="1">
      <c r="B215" s="111" t="str">
        <f>B206</f>
        <v>Preferred, B</v>
      </c>
      <c r="C215" s="117"/>
      <c r="D215" s="86" t="str">
        <f t="shared" si="81"/>
        <v>$</v>
      </c>
      <c r="E215" s="117">
        <f t="shared" ref="E215:K215" si="83">IFERROR(E206/$F24,0)</f>
        <v>0</v>
      </c>
      <c r="F215" s="117">
        <f t="shared" si="83"/>
        <v>0</v>
      </c>
      <c r="G215" s="117">
        <f t="shared" si="83"/>
        <v>0</v>
      </c>
      <c r="H215" s="117">
        <f t="shared" si="83"/>
        <v>0</v>
      </c>
      <c r="I215" s="117">
        <f t="shared" si="83"/>
        <v>0</v>
      </c>
      <c r="J215" s="117">
        <f t="shared" si="83"/>
        <v>0</v>
      </c>
      <c r="K215" s="117">
        <f t="shared" si="83"/>
        <v>0</v>
      </c>
      <c r="L215" s="55" t="str">
        <f>IF(ISBLANK(M215),"",MAX(L$5:L214)+1)</f>
        <v/>
      </c>
      <c r="M215" s="107"/>
    </row>
    <row r="216" spans="2:13" s="58" customFormat="1">
      <c r="B216" s="111" t="str">
        <f>B207</f>
        <v>Preferred, A</v>
      </c>
      <c r="C216" s="117"/>
      <c r="D216" s="86" t="str">
        <f t="shared" si="81"/>
        <v>$</v>
      </c>
      <c r="E216" s="117">
        <f t="shared" ref="E216:K216" si="84">IFERROR(E207/$G24,0)</f>
        <v>0</v>
      </c>
      <c r="F216" s="117">
        <f t="shared" si="84"/>
        <v>0</v>
      </c>
      <c r="G216" s="117">
        <f t="shared" si="84"/>
        <v>0</v>
      </c>
      <c r="H216" s="117">
        <f t="shared" si="84"/>
        <v>0</v>
      </c>
      <c r="I216" s="117">
        <f t="shared" si="84"/>
        <v>0</v>
      </c>
      <c r="J216" s="117">
        <f t="shared" si="84"/>
        <v>0</v>
      </c>
      <c r="K216" s="117">
        <f t="shared" si="84"/>
        <v>0</v>
      </c>
      <c r="L216" s="55" t="str">
        <f>IF(ISBLANK(M216),"",MAX(L$5:L215)+1)</f>
        <v/>
      </c>
      <c r="M216" s="107"/>
    </row>
    <row r="217" spans="2:13" s="58" customFormat="1">
      <c r="B217" s="111" t="str">
        <f>B208</f>
        <v>Preferred, Seed</v>
      </c>
      <c r="C217" s="117"/>
      <c r="D217" s="86" t="str">
        <f t="shared" si="81"/>
        <v>$</v>
      </c>
      <c r="E217" s="117">
        <f t="shared" ref="E217:K217" si="85">IFERROR(E208/$H24,0)</f>
        <v>0</v>
      </c>
      <c r="F217" s="117">
        <f t="shared" si="85"/>
        <v>0</v>
      </c>
      <c r="G217" s="117">
        <f t="shared" si="85"/>
        <v>0</v>
      </c>
      <c r="H217" s="117">
        <f t="shared" si="85"/>
        <v>0</v>
      </c>
      <c r="I217" s="117">
        <f t="shared" si="85"/>
        <v>0</v>
      </c>
      <c r="J217" s="117">
        <f t="shared" si="85"/>
        <v>0</v>
      </c>
      <c r="K217" s="117">
        <f t="shared" si="85"/>
        <v>0</v>
      </c>
      <c r="L217" s="55" t="str">
        <f>IF(ISBLANK(M217),"",MAX(L$5:L216)+1)</f>
        <v/>
      </c>
      <c r="M217" s="107"/>
    </row>
    <row r="218" spans="2:13" s="58" customFormat="1">
      <c r="B218" s="111" t="str">
        <f>B209</f>
        <v>Common (including Options)</v>
      </c>
      <c r="C218" s="117"/>
      <c r="D218" s="86" t="str">
        <f t="shared" si="81"/>
        <v>$</v>
      </c>
      <c r="E218" s="117">
        <f t="shared" ref="E218:K218" si="86">IFERROR(E209/($I24+$J24),0)</f>
        <v>0</v>
      </c>
      <c r="F218" s="117">
        <f t="shared" si="86"/>
        <v>0</v>
      </c>
      <c r="G218" s="117">
        <f t="shared" si="86"/>
        <v>0</v>
      </c>
      <c r="H218" s="117">
        <f t="shared" si="86"/>
        <v>0</v>
      </c>
      <c r="I218" s="117">
        <f t="shared" si="86"/>
        <v>0</v>
      </c>
      <c r="J218" s="117">
        <f t="shared" si="86"/>
        <v>0</v>
      </c>
      <c r="K218" s="117">
        <f t="shared" si="86"/>
        <v>0</v>
      </c>
      <c r="L218" s="55" t="str">
        <f>IF(ISBLANK(M218),"",MAX(L$5:L217)+1)</f>
        <v/>
      </c>
      <c r="M218" s="107"/>
    </row>
    <row r="219" spans="2:13" s="58" customFormat="1">
      <c r="D219" s="64"/>
      <c r="L219" s="55" t="str">
        <f>IF(ISBLANK(M219),"",MAX(L$5:L218)+1)</f>
        <v/>
      </c>
      <c r="M219" s="107"/>
    </row>
    <row r="220" spans="2:13" s="58" customFormat="1">
      <c r="B220" s="74" t="s">
        <v>484</v>
      </c>
      <c r="C220" s="118"/>
      <c r="D220" s="64"/>
      <c r="E220" s="118"/>
      <c r="F220" s="118"/>
      <c r="G220" s="118"/>
      <c r="H220" s="118"/>
      <c r="I220" s="118"/>
      <c r="J220" s="118"/>
      <c r="K220" s="118"/>
      <c r="L220" s="55" t="str">
        <f>IF(ISBLANK(M220),"",MAX(L$5:L219)+1)</f>
        <v/>
      </c>
      <c r="M220" s="107"/>
    </row>
    <row r="221" spans="2:13" s="58" customFormat="1">
      <c r="B221" s="71" t="str">
        <f>B102</f>
        <v>Preferred, C</v>
      </c>
      <c r="C221" s="89"/>
      <c r="D221" s="86" t="str">
        <f t="shared" ref="D221:D226" si="87">D$5</f>
        <v>$</v>
      </c>
      <c r="E221" s="89">
        <f>IF($E$50=$B$331,MIN(E103,$E61),IF($E$50=$B$330,IF(E113=0,0,MIN(E103,$E61)),IF(E111&gt;E106,0,MIN(E103,$E61))))</f>
        <v>0</v>
      </c>
      <c r="F221" s="89">
        <f>IF($E$50=$B$331,MIN(F103,$E61),IF($E$50=$B$330,IF(F113=0,0,MIN(F103,$E61)),IF(F111&gt;F106,0,MIN(F103,$E61))))</f>
        <v>0</v>
      </c>
      <c r="G221" s="89">
        <f>IF($E$50=$B$331,MIN(G103,$E61),IF($E$50=$B$330,IF(G113=0,0,MIN(G103,$E61)),IF(G111&gt;G106,0,MIN(G103,$E61))))</f>
        <v>0</v>
      </c>
      <c r="H221" s="89">
        <f>IF($E$50=$B$331,MIN(H103,$E61),IF($E$50=$B$330,IF(H113=0,0,MIN(H103,$E61)),IF(H111&gt;H106,0,MIN(H103,$E61))))</f>
        <v>0</v>
      </c>
      <c r="I221" s="89">
        <f>IF($E$50=$B$331,MIN(I103,$E61),IF($E$50=$B$330,IF(I113=0,0,MIN(I103,$E61)),IF(I111&gt;I106,0,MIN(I103,$E61))))</f>
        <v>0</v>
      </c>
      <c r="J221" s="89">
        <f>IF($E$50=$B$331,MIN(J103,$E61),IF($E$50=$B$330,IF(J113=0,0,MIN(J103,$E61)),IF(J111&gt;J106,0,MIN(J103,$E61))))</f>
        <v>0</v>
      </c>
      <c r="K221" s="89">
        <f>IF($E$50=$B$331,MIN(K103,$E61),IF($E$50=$B$330,IF(K113=0,0,MIN(K103,$E61)),IF(K111&gt;K106,0,MIN(K103,$E61))))</f>
        <v>0</v>
      </c>
      <c r="L221" s="55">
        <f>IF(ISBLANK(M221),"",MAX(L$5:L220)+1)</f>
        <v>72</v>
      </c>
      <c r="M221" s="107" t="s">
        <v>485</v>
      </c>
    </row>
    <row r="222" spans="2:13" s="58" customFormat="1">
      <c r="B222" s="71" t="str">
        <f>B124</f>
        <v>Preferred, B</v>
      </c>
      <c r="C222" s="89"/>
      <c r="D222" s="86" t="str">
        <f t="shared" si="87"/>
        <v>$</v>
      </c>
      <c r="E222" s="89">
        <f>IF($E$50=$B$331,MIN(E125,$F61),IF($E$50=$B$330,IF(E135=0,0,MIN(E125,$F61)),IF(E133&gt;E128,0,MIN(E125,$F61))))</f>
        <v>0</v>
      </c>
      <c r="F222" s="89">
        <f>IF($E$50=$B$331,MIN(F125,$F61),IF($E$50=$B$330,IF(F135=0,0,MIN(F125,$F61)),IF(F133&gt;F128,0,MIN(F125,$F61))))</f>
        <v>0</v>
      </c>
      <c r="G222" s="89">
        <f>IF($E$50=$B$331,MIN(G125,$F61),IF($E$50=$B$330,IF(G135=0,0,MIN(G125,$F61)),IF(G133&gt;G128,0,MIN(G125,$F61))))</f>
        <v>0</v>
      </c>
      <c r="H222" s="89">
        <f>IF($E$50=$B$331,MIN(H125,$F61),IF($E$50=$B$330,IF(H135=0,0,MIN(H125,$F61)),IF(H133&gt;H128,0,MIN(H125,$F61))))</f>
        <v>0</v>
      </c>
      <c r="I222" s="89">
        <f>IF($E$50=$B$331,MIN(I125,$F61),IF($E$50=$B$330,IF(I135=0,0,MIN(I125,$F61)),IF(I133&gt;I128,0,MIN(I125,$F61))))</f>
        <v>0</v>
      </c>
      <c r="J222" s="89">
        <f>IF($E$50=$B$331,MIN(J125,$F61),IF($E$50=$B$330,IF(J135=0,0,MIN(J125,$F61)),IF(J133&gt;J128,0,MIN(J125,$F61))))</f>
        <v>0</v>
      </c>
      <c r="K222" s="89">
        <f>IF($E$50=$B$331,MIN(K125,$F61),IF($E$50=$B$330,IF(K135=0,0,MIN(K125,$F61)),IF(K133&gt;K128,0,MIN(K125,$F61))))</f>
        <v>0</v>
      </c>
      <c r="L222" s="55" t="str">
        <f>IF(ISBLANK(M222),"",MAX(L$5:L221)+1)</f>
        <v/>
      </c>
      <c r="M222" s="107"/>
    </row>
    <row r="223" spans="2:13" s="58" customFormat="1">
      <c r="B223" s="71" t="str">
        <f>B146</f>
        <v>Preferred, A</v>
      </c>
      <c r="C223" s="89"/>
      <c r="D223" s="86" t="str">
        <f t="shared" si="87"/>
        <v>$</v>
      </c>
      <c r="E223" s="89">
        <f>IF($G$50=$B$331,MIN(E147,$G61),IF($G$50=$B$330,IF(E157=0,0,MIN(E147,$G61)),IF(E155&gt;E150,0,MIN(E147,$G61))))</f>
        <v>0</v>
      </c>
      <c r="F223" s="89">
        <f>IF($G$50=$B$331,MIN(F147,$G61),IF($G$50=$B$330,IF(F157=0,0,MIN(F147,$G61)),IF(F155&gt;F150,0,MIN(F147,$G61))))</f>
        <v>0</v>
      </c>
      <c r="G223" s="89">
        <f>IF($G$50=$B$331,MIN(G147,$G61),IF($G$50=$B$330,IF(G157=0,0,MIN(G147,$G61)),IF(G155&gt;G150,0,MIN(G147,$G61))))</f>
        <v>0</v>
      </c>
      <c r="H223" s="89">
        <f>IF($G$50=$B$331,MIN(H147,$G61),IF($G$50=$B$330,IF(H157=0,0,MIN(H147,$G61)),IF(H155&gt;H150,0,MIN(H147,$G61))))</f>
        <v>0</v>
      </c>
      <c r="I223" s="89">
        <f>IF($G$50=$B$331,MIN(I147,$G61),IF($G$50=$B$330,IF(I157=0,0,MIN(I147,$G61)),IF(I155&gt;I150,0,MIN(I147,$G61))))</f>
        <v>0</v>
      </c>
      <c r="J223" s="89">
        <f>IF($G$50=$B$331,MIN(J147,$G61),IF($G$50=$B$330,IF(J157=0,0,MIN(J147,$G61)),IF(J155&gt;J150,0,MIN(J147,$G61))))</f>
        <v>0</v>
      </c>
      <c r="K223" s="89">
        <f>IF($G$50=$B$331,MIN(K147,$G61),IF($G$50=$B$330,IF(K157=0,0,MIN(K147,$G61)),IF(K155&gt;K150,0,MIN(K147,$G61))))</f>
        <v>0</v>
      </c>
      <c r="L223" s="55" t="str">
        <f>IF(ISBLANK(M223),"",MAX(L$5:L222)+1)</f>
        <v/>
      </c>
      <c r="M223" s="107"/>
    </row>
    <row r="224" spans="2:13" s="58" customFormat="1">
      <c r="B224" s="71" t="str">
        <f>B168</f>
        <v>Preferred, Seed</v>
      </c>
      <c r="C224" s="89"/>
      <c r="D224" s="86" t="str">
        <f t="shared" si="87"/>
        <v>$</v>
      </c>
      <c r="E224" s="89">
        <f>IF($H$50=$B$331,MIN(E169,$H61),IF($H$50=$B$330,IF(AND(E185=0,E177&gt;E172),0,MIN(E169,$H61)),IF(E177&gt;E172,0,MIN(E169,$H61))))</f>
        <v>0</v>
      </c>
      <c r="F224" s="89">
        <f>IF($H$50=$B$331,MIN(F169,$H61),IF($H$50=$B$330,IF(AND(F185=0,F177&gt;F172),0,MIN(F169,$H61)),IF(F177&gt;F172,0,MIN(F169,$H61))))</f>
        <v>0</v>
      </c>
      <c r="G224" s="89">
        <f>IF($H$50=$B$331,MIN(G169,$H61),IF($H$50=$B$330,IF(AND(G185=0,G177&gt;G172),0,MIN(G169,$H61)),IF(G177&gt;G172,0,MIN(G169,$H61))))</f>
        <v>0</v>
      </c>
      <c r="H224" s="89">
        <f>IF($H$50=$B$331,MIN(H169,$H61),IF($H$50=$B$330,IF(AND(H185=0,H177&gt;H172),0,MIN(H169,$H61)),IF(H177&gt;H172,0,MIN(H169,$H61))))</f>
        <v>0</v>
      </c>
      <c r="I224" s="89">
        <f>IF($H$50=$B$331,MIN(I169,$H61),IF($H$50=$B$330,IF(AND(I185=0,I177&gt;I172),0,MIN(I169,$H61)),IF(I177&gt;I172,0,MIN(I169,$H61))))</f>
        <v>0</v>
      </c>
      <c r="J224" s="89">
        <f>IF($H$50=$B$331,MIN(J169,$H61),IF($H$50=$B$330,IF(AND(J185=0,J177&gt;J172),0,MIN(J169,$H61)),IF(J177&gt;J172,0,MIN(J169,$H61))))</f>
        <v>0</v>
      </c>
      <c r="K224" s="89">
        <f>IF($H$50=$B$331,MIN(K169,$H61),IF($H$50=$B$330,IF(AND(K185=0,K177&gt;K172),0,MIN(K169,$H61)),IF(K177&gt;K172,0,MIN(K169,$H61))))</f>
        <v>0</v>
      </c>
      <c r="L224" s="55" t="str">
        <f>IF(ISBLANK(M224),"",MAX(L$5:L223)+1)</f>
        <v/>
      </c>
    </row>
    <row r="225" spans="2:13" s="58" customFormat="1">
      <c r="B225" s="71" t="str">
        <f>B190&amp;" (including Options)"</f>
        <v>Common (including Options)</v>
      </c>
      <c r="C225" s="89"/>
      <c r="D225" s="86" t="str">
        <f t="shared" si="87"/>
        <v>$</v>
      </c>
      <c r="E225" s="89">
        <v>0</v>
      </c>
      <c r="F225" s="89">
        <v>0</v>
      </c>
      <c r="G225" s="89">
        <v>0</v>
      </c>
      <c r="H225" s="89">
        <v>0</v>
      </c>
      <c r="I225" s="89">
        <v>0</v>
      </c>
      <c r="J225" s="89">
        <v>0</v>
      </c>
      <c r="K225" s="89">
        <v>0</v>
      </c>
      <c r="L225" s="55" t="str">
        <f>IF(ISBLANK(M225),"",MAX(L$5:L224)+1)</f>
        <v/>
      </c>
    </row>
    <row r="226" spans="2:13" s="58" customFormat="1">
      <c r="B226" s="71" t="s">
        <v>3</v>
      </c>
      <c r="C226" s="89"/>
      <c r="D226" s="86" t="str">
        <f t="shared" si="87"/>
        <v>$</v>
      </c>
      <c r="E226" s="113">
        <f t="shared" ref="E226:K226" si="88">SUM(E221:E225)</f>
        <v>0</v>
      </c>
      <c r="F226" s="113">
        <f t="shared" si="88"/>
        <v>0</v>
      </c>
      <c r="G226" s="113">
        <f t="shared" si="88"/>
        <v>0</v>
      </c>
      <c r="H226" s="113">
        <f t="shared" si="88"/>
        <v>0</v>
      </c>
      <c r="I226" s="113">
        <f t="shared" si="88"/>
        <v>0</v>
      </c>
      <c r="J226" s="113">
        <f t="shared" si="88"/>
        <v>0</v>
      </c>
      <c r="K226" s="113">
        <f t="shared" si="88"/>
        <v>0</v>
      </c>
      <c r="L226" s="55" t="str">
        <f>IF(ISBLANK(M226),"",MAX(L$5:L225)+1)</f>
        <v/>
      </c>
      <c r="M226" s="56"/>
    </row>
    <row r="227" spans="2:13" s="58" customFormat="1">
      <c r="C227" s="89"/>
      <c r="D227" s="64"/>
      <c r="L227" s="55" t="str">
        <f>IF(ISBLANK(M227),"",MAX(L$5:L226)+1)</f>
        <v/>
      </c>
      <c r="M227" s="56"/>
    </row>
    <row r="228" spans="2:13" s="58" customFormat="1">
      <c r="B228" s="119" t="s">
        <v>486</v>
      </c>
      <c r="C228" s="89"/>
      <c r="D228" s="64"/>
      <c r="L228" s="55">
        <f>IF(ISBLANK(M228),"",MAX(L$5:L227)+1)</f>
        <v>73</v>
      </c>
      <c r="M228" s="56" t="s">
        <v>487</v>
      </c>
    </row>
    <row r="229" spans="2:13" s="58" customFormat="1" outlineLevel="1">
      <c r="B229" s="120" t="str">
        <f>B14</f>
        <v>Investor</v>
      </c>
      <c r="C229" s="89"/>
      <c r="D229" s="86" t="str">
        <f t="shared" ref="D229:D237" si="89">D$5</f>
        <v>$</v>
      </c>
      <c r="E229" s="61">
        <v>0</v>
      </c>
      <c r="F229" s="61">
        <v>0</v>
      </c>
      <c r="G229" s="61">
        <v>0</v>
      </c>
      <c r="H229" s="61">
        <v>0</v>
      </c>
      <c r="I229" s="61">
        <v>0</v>
      </c>
      <c r="J229" s="61">
        <v>0</v>
      </c>
      <c r="K229" s="61">
        <v>0</v>
      </c>
      <c r="L229" s="55">
        <f>IF(ISBLANK(M229),"",MAX(L$5:L228)+1)</f>
        <v>74</v>
      </c>
      <c r="M229" s="56" t="s">
        <v>488</v>
      </c>
    </row>
    <row r="230" spans="2:13" s="58" customFormat="1" outlineLevel="1">
      <c r="B230" s="120" t="str">
        <f>B15</f>
        <v>Investor</v>
      </c>
      <c r="C230" s="89"/>
      <c r="D230" s="86" t="str">
        <f t="shared" si="89"/>
        <v>$</v>
      </c>
      <c r="E230" s="61">
        <v>0</v>
      </c>
      <c r="F230" s="61">
        <v>0</v>
      </c>
      <c r="G230" s="61">
        <v>0</v>
      </c>
      <c r="H230" s="61">
        <v>0</v>
      </c>
      <c r="I230" s="61">
        <v>0</v>
      </c>
      <c r="J230" s="61">
        <v>0</v>
      </c>
      <c r="K230" s="61">
        <v>0</v>
      </c>
      <c r="L230" s="55" t="str">
        <f>IF(ISBLANK(M230),"",MAX(L$5:L229)+1)</f>
        <v/>
      </c>
      <c r="M230" s="56"/>
    </row>
    <row r="231" spans="2:13" s="58" customFormat="1" outlineLevel="1">
      <c r="B231" s="120" t="str">
        <f>B16</f>
        <v>Investor</v>
      </c>
      <c r="C231" s="89"/>
      <c r="D231" s="86" t="str">
        <f t="shared" si="89"/>
        <v>$</v>
      </c>
      <c r="E231" s="61">
        <v>0</v>
      </c>
      <c r="F231" s="61">
        <v>0</v>
      </c>
      <c r="G231" s="61">
        <v>0</v>
      </c>
      <c r="H231" s="61">
        <v>0</v>
      </c>
      <c r="I231" s="61">
        <v>0</v>
      </c>
      <c r="J231" s="61">
        <v>0</v>
      </c>
      <c r="K231" s="61">
        <v>0</v>
      </c>
      <c r="L231" s="55" t="str">
        <f>IF(ISBLANK(M231),"",MAX(L$5:L230)+1)</f>
        <v/>
      </c>
      <c r="M231" s="56"/>
    </row>
    <row r="232" spans="2:13" s="58" customFormat="1" outlineLevel="1">
      <c r="B232" s="120" t="str">
        <f>B17</f>
        <v>Investor</v>
      </c>
      <c r="C232" s="89"/>
      <c r="D232" s="86" t="str">
        <f t="shared" si="89"/>
        <v>$</v>
      </c>
      <c r="E232" s="61">
        <v>0</v>
      </c>
      <c r="F232" s="61">
        <v>0</v>
      </c>
      <c r="G232" s="61">
        <v>0</v>
      </c>
      <c r="H232" s="61">
        <v>0</v>
      </c>
      <c r="I232" s="61">
        <v>0</v>
      </c>
      <c r="J232" s="61">
        <v>0</v>
      </c>
      <c r="K232" s="61">
        <v>0</v>
      </c>
      <c r="L232" s="55" t="str">
        <f>IF(ISBLANK(M232),"",MAX(L$5:L231)+1)</f>
        <v/>
      </c>
      <c r="M232" s="56"/>
    </row>
    <row r="233" spans="2:13" s="58" customFormat="1" outlineLevel="1">
      <c r="B233" s="120" t="str">
        <f>B18</f>
        <v>Investor</v>
      </c>
      <c r="C233" s="89"/>
      <c r="D233" s="86" t="str">
        <f t="shared" si="89"/>
        <v>$</v>
      </c>
      <c r="E233" s="61">
        <v>0</v>
      </c>
      <c r="F233" s="61">
        <v>0</v>
      </c>
      <c r="G233" s="61">
        <v>0</v>
      </c>
      <c r="H233" s="61">
        <v>0</v>
      </c>
      <c r="I233" s="61">
        <v>0</v>
      </c>
      <c r="J233" s="61">
        <v>0</v>
      </c>
      <c r="K233" s="61">
        <v>0</v>
      </c>
      <c r="L233" s="55" t="str">
        <f>IF(ISBLANK(M233),"",MAX(L$5:L232)+1)</f>
        <v/>
      </c>
      <c r="M233" s="56"/>
    </row>
    <row r="234" spans="2:13" s="58" customFormat="1" outlineLevel="1">
      <c r="B234" s="120" t="str">
        <f>B19</f>
        <v>Investor</v>
      </c>
      <c r="C234" s="89"/>
      <c r="D234" s="86" t="str">
        <f t="shared" si="89"/>
        <v>$</v>
      </c>
      <c r="E234" s="61">
        <v>0</v>
      </c>
      <c r="F234" s="61">
        <v>0</v>
      </c>
      <c r="G234" s="61">
        <v>0</v>
      </c>
      <c r="H234" s="61">
        <v>0</v>
      </c>
      <c r="I234" s="61">
        <v>0</v>
      </c>
      <c r="J234" s="61">
        <v>0</v>
      </c>
      <c r="K234" s="61">
        <v>0</v>
      </c>
      <c r="L234" s="55" t="str">
        <f>IF(ISBLANK(M234),"",MAX(L$5:L233)+1)</f>
        <v/>
      </c>
      <c r="M234" s="56"/>
    </row>
    <row r="235" spans="2:13" s="58" customFormat="1" outlineLevel="1">
      <c r="B235" s="120" t="str">
        <f>B20</f>
        <v>Options Exercised</v>
      </c>
      <c r="C235" s="89"/>
      <c r="D235" s="86" t="str">
        <f t="shared" si="89"/>
        <v>$</v>
      </c>
      <c r="E235" s="61">
        <v>0</v>
      </c>
      <c r="F235" s="61">
        <v>0</v>
      </c>
      <c r="G235" s="61">
        <v>0</v>
      </c>
      <c r="H235" s="61">
        <v>0</v>
      </c>
      <c r="I235" s="61">
        <v>0</v>
      </c>
      <c r="J235" s="61">
        <v>0</v>
      </c>
      <c r="K235" s="61">
        <v>0</v>
      </c>
      <c r="L235" s="55" t="str">
        <f>IF(ISBLANK(M235),"",MAX(L$5:L234)+1)</f>
        <v/>
      </c>
      <c r="M235" s="56"/>
    </row>
    <row r="236" spans="2:13" s="58" customFormat="1" outlineLevel="1">
      <c r="B236" s="120" t="str">
        <f>B21</f>
        <v>Options Exercised</v>
      </c>
      <c r="C236" s="89"/>
      <c r="D236" s="86" t="str">
        <f t="shared" si="89"/>
        <v>$</v>
      </c>
      <c r="E236" s="61">
        <v>0</v>
      </c>
      <c r="F236" s="61">
        <v>0</v>
      </c>
      <c r="G236" s="61">
        <v>0</v>
      </c>
      <c r="H236" s="61">
        <v>0</v>
      </c>
      <c r="I236" s="61">
        <v>0</v>
      </c>
      <c r="J236" s="61">
        <v>0</v>
      </c>
      <c r="K236" s="61">
        <v>0</v>
      </c>
      <c r="L236" s="55" t="str">
        <f>IF(ISBLANK(M236),"",MAX(L$5:L235)+1)</f>
        <v/>
      </c>
      <c r="M236" s="56"/>
    </row>
    <row r="237" spans="2:13" s="58" customFormat="1" outlineLevel="1">
      <c r="B237" s="121" t="s">
        <v>3</v>
      </c>
      <c r="C237" s="89"/>
      <c r="D237" s="86" t="str">
        <f t="shared" si="89"/>
        <v>$</v>
      </c>
      <c r="E237" s="113">
        <f t="shared" ref="E237:K237" si="90">SUM(E229:E236)</f>
        <v>0</v>
      </c>
      <c r="F237" s="113">
        <f t="shared" si="90"/>
        <v>0</v>
      </c>
      <c r="G237" s="113">
        <f t="shared" si="90"/>
        <v>0</v>
      </c>
      <c r="H237" s="113">
        <f t="shared" si="90"/>
        <v>0</v>
      </c>
      <c r="I237" s="113">
        <f t="shared" si="90"/>
        <v>0</v>
      </c>
      <c r="J237" s="113">
        <f t="shared" si="90"/>
        <v>0</v>
      </c>
      <c r="K237" s="113">
        <f t="shared" si="90"/>
        <v>0</v>
      </c>
      <c r="L237" s="55" t="str">
        <f>IF(ISBLANK(M237),"",MAX(L$5:L236)+1)</f>
        <v/>
      </c>
      <c r="M237" s="56"/>
    </row>
    <row r="238" spans="2:13" s="58" customFormat="1" outlineLevel="1">
      <c r="B238" s="120"/>
      <c r="D238" s="64"/>
      <c r="L238" s="55" t="str">
        <f>IF(ISBLANK(M238),"",MAX(L$5:L237)+1)</f>
        <v/>
      </c>
      <c r="M238" s="56"/>
    </row>
    <row r="239" spans="2:13" s="58" customFormat="1">
      <c r="D239" s="64"/>
      <c r="L239" s="55" t="str">
        <f>IF(ISBLANK(M239),"",MAX(L$5:L238)+1)</f>
        <v/>
      </c>
      <c r="M239" s="56"/>
    </row>
    <row r="240" spans="2:13" s="58" customFormat="1">
      <c r="B240" s="122" t="s">
        <v>489</v>
      </c>
      <c r="D240" s="64"/>
      <c r="L240" s="55">
        <f>IF(ISBLANK(M240),"",MAX(L$5:L239)+1)</f>
        <v>75</v>
      </c>
      <c r="M240" s="56" t="s">
        <v>490</v>
      </c>
    </row>
    <row r="241" spans="2:13" s="58" customFormat="1">
      <c r="B241" s="96"/>
      <c r="D241" s="64"/>
      <c r="L241" s="55">
        <f>IF(ISBLANK(M241),"",MAX(L$5:L240)+1)</f>
        <v>76</v>
      </c>
      <c r="M241" s="56" t="s">
        <v>491</v>
      </c>
    </row>
    <row r="242" spans="2:13" s="58" customFormat="1">
      <c r="B242" s="89" t="str">
        <f>B14</f>
        <v>Investor</v>
      </c>
      <c r="C242" s="109"/>
      <c r="D242" s="86" t="str">
        <f t="shared" ref="D242:D251" si="91">D$5</f>
        <v>$</v>
      </c>
      <c r="E242" s="109">
        <f>E$214*$E14+$F14*E$215+$G14*E$216+$H14*E$217+($I14+$J14)*E$218+E229</f>
        <v>0</v>
      </c>
      <c r="F242" s="109">
        <f>F$214*$E14+$F14*F$215+$G14*F$216+$H14*F$217+($I14+$J14)*F$218+F229</f>
        <v>0</v>
      </c>
      <c r="G242" s="109">
        <f>G$214*$E14+$F14*G$215+$G14*G$216+$H14*G$217+($I14+$J14)*G$218+G229</f>
        <v>0</v>
      </c>
      <c r="H242" s="109">
        <f>H$214*$E14+$F14*H$215+$G14*H$216+$H14*H$217+($I14+$J14)*H$218+H229</f>
        <v>0</v>
      </c>
      <c r="I242" s="109">
        <f>I$214*$E14+$F14*I$215+$G14*I$216+$H14*I$217+($I14+$J14)*I$218+I229</f>
        <v>0</v>
      </c>
      <c r="J242" s="109">
        <f>J$214*$E14+$F14*J$215+$G14*J$216+$H14*J$217+($I14+$J14)*J$218+J229</f>
        <v>0</v>
      </c>
      <c r="K242" s="109">
        <f>K$214*$E14+$F14*K$215+$G14*K$216+$H14*K$217+($I14+$J14)*K$218+K229</f>
        <v>0</v>
      </c>
      <c r="L242" s="55" t="str">
        <f>IF(ISBLANK(M242),"",MAX(L$5:L241)+1)</f>
        <v/>
      </c>
      <c r="M242" s="83"/>
    </row>
    <row r="243" spans="2:13" s="58" customFormat="1">
      <c r="B243" s="89" t="str">
        <f>B15</f>
        <v>Investor</v>
      </c>
      <c r="C243" s="109"/>
      <c r="D243" s="86" t="str">
        <f t="shared" si="91"/>
        <v>$</v>
      </c>
      <c r="E243" s="109">
        <f>E$214*$E15+$F15*E$215+$G15*E$216+$H15*E$217+($I15+$J15)*E$218+E230</f>
        <v>0</v>
      </c>
      <c r="F243" s="109">
        <f>F$214*$E15+$F15*F$215+$G15*F$216+$H15*F$217+($I15+$J15)*F$218+F230</f>
        <v>0</v>
      </c>
      <c r="G243" s="109">
        <f>G$214*$E15+$F15*G$215+$G15*G$216+$H15*G$217+($I15+$J15)*G$218+G230</f>
        <v>0</v>
      </c>
      <c r="H243" s="109">
        <f>H$214*$E15+$F15*H$215+$G15*H$216+$H15*H$217+($I15+$J15)*H$218+H230</f>
        <v>0</v>
      </c>
      <c r="I243" s="109">
        <f>I$214*$E15+$F15*I$215+$G15*I$216+$H15*I$217+($I15+$J15)*I$218+I230</f>
        <v>0</v>
      </c>
      <c r="J243" s="109">
        <f>J$214*$E15+$F15*J$215+$G15*J$216+$H15*J$217+($I15+$J15)*J$218+J230</f>
        <v>0</v>
      </c>
      <c r="K243" s="109">
        <f>K$214*$E15+$F15*K$215+$G15*K$216+$H15*K$217+($I15+$J15)*K$218+K230</f>
        <v>0</v>
      </c>
      <c r="L243" s="55" t="str">
        <f>IF(ISBLANK(M243),"",MAX(L$5:L242)+1)</f>
        <v/>
      </c>
      <c r="M243" s="83"/>
    </row>
    <row r="244" spans="2:13" s="58" customFormat="1">
      <c r="B244" s="89" t="str">
        <f>B16</f>
        <v>Investor</v>
      </c>
      <c r="C244" s="109"/>
      <c r="D244" s="86" t="str">
        <f t="shared" si="91"/>
        <v>$</v>
      </c>
      <c r="E244" s="109">
        <f>E$214*$E16+$F16*E$215+$G16*E$216+$H16*E$217+($I16+$J16)*E$218+E231</f>
        <v>0</v>
      </c>
      <c r="F244" s="109">
        <f>F$214*$E16+$F16*F$215+$G16*F$216+$H16*F$217+($I16+$J16)*F$218+F231</f>
        <v>0</v>
      </c>
      <c r="G244" s="109">
        <f>G$214*$E16+$F16*G$215+$G16*G$216+$H16*G$217+($I16+$J16)*G$218+G231</f>
        <v>0</v>
      </c>
      <c r="H244" s="109">
        <f>H$214*$E16+$F16*H$215+$G16*H$216+$H16*H$217+($I16+$J16)*H$218+H231</f>
        <v>0</v>
      </c>
      <c r="I244" s="109">
        <f>I$214*$E16+$F16*I$215+$G16*I$216+$H16*I$217+($I16+$J16)*I$218+I231</f>
        <v>0</v>
      </c>
      <c r="J244" s="109">
        <f>J$214*$E16+$F16*J$215+$G16*J$216+$H16*J$217+($I16+$J16)*J$218+J231</f>
        <v>0</v>
      </c>
      <c r="K244" s="109">
        <f>K$214*$E16+$F16*K$215+$G16*K$216+$H16*K$217+($I16+$J16)*K$218+K231</f>
        <v>0</v>
      </c>
      <c r="L244" s="55" t="str">
        <f>IF(ISBLANK(M244),"",MAX(L$5:L243)+1)</f>
        <v/>
      </c>
      <c r="M244" s="83"/>
    </row>
    <row r="245" spans="2:13" s="58" customFormat="1">
      <c r="B245" s="89" t="str">
        <f>B17</f>
        <v>Investor</v>
      </c>
      <c r="C245" s="109"/>
      <c r="D245" s="86" t="str">
        <f t="shared" si="91"/>
        <v>$</v>
      </c>
      <c r="E245" s="109">
        <f>E$214*$E17+$F17*E$215+$G17*E$216+$H17*E$217+($I17+$J17)*E$218+E232</f>
        <v>0</v>
      </c>
      <c r="F245" s="109">
        <f>F$214*$E17+$F17*F$215+$G17*F$216+$H17*F$217+($I17+$J17)*F$218+F232</f>
        <v>0</v>
      </c>
      <c r="G245" s="109">
        <f>G$214*$E17+$F17*G$215+$G17*G$216+$H17*G$217+($I17+$J17)*G$218+G232</f>
        <v>0</v>
      </c>
      <c r="H245" s="109">
        <f>H$214*$E17+$F17*H$215+$G17*H$216+$H17*H$217+($I17+$J17)*H$218+H232</f>
        <v>0</v>
      </c>
      <c r="I245" s="109">
        <f>I$214*$E17+$F17*I$215+$G17*I$216+$H17*I$217+($I17+$J17)*I$218+I232</f>
        <v>0</v>
      </c>
      <c r="J245" s="109">
        <f>J$214*$E17+$F17*J$215+$G17*J$216+$H17*J$217+($I17+$J17)*J$218+J232</f>
        <v>0</v>
      </c>
      <c r="K245" s="109">
        <f>K$214*$E17+$F17*K$215+$G17*K$216+$H17*K$217+($I17+$J17)*K$218+K232</f>
        <v>0</v>
      </c>
      <c r="L245" s="55" t="str">
        <f>IF(ISBLANK(M245),"",MAX(L$5:L244)+1)</f>
        <v/>
      </c>
      <c r="M245" s="83"/>
    </row>
    <row r="246" spans="2:13" s="58" customFormat="1">
      <c r="B246" s="89" t="str">
        <f>B18</f>
        <v>Investor</v>
      </c>
      <c r="C246" s="109"/>
      <c r="D246" s="86" t="str">
        <f t="shared" si="91"/>
        <v>$</v>
      </c>
      <c r="E246" s="109">
        <f>E$214*$E18+$F18*E$215+$G18*E$216+$H18*E$217+($I18+$J18)*E$218+E233</f>
        <v>0</v>
      </c>
      <c r="F246" s="109">
        <f>F$214*$E18+$F18*F$215+$G18*F$216+$H18*F$217+($I18+$J18)*F$218+F233</f>
        <v>0</v>
      </c>
      <c r="G246" s="109">
        <f>G$214*$E18+$F18*G$215+$G18*G$216+$H18*G$217+($I18+$J18)*G$218+G233</f>
        <v>0</v>
      </c>
      <c r="H246" s="109">
        <f>H$214*$E18+$F18*H$215+$G18*H$216+$H18*H$217+($I18+$J18)*H$218+H233</f>
        <v>0</v>
      </c>
      <c r="I246" s="109">
        <f>I$214*$E18+$F18*I$215+$G18*I$216+$H18*I$217+($I18+$J18)*I$218+I233</f>
        <v>0</v>
      </c>
      <c r="J246" s="109">
        <f>J$214*$E18+$F18*J$215+$G18*J$216+$H18*J$217+($I18+$J18)*J$218+J233</f>
        <v>0</v>
      </c>
      <c r="K246" s="109">
        <f>K$214*$E18+$F18*K$215+$G18*K$216+$H18*K$217+($I18+$J18)*K$218+K233</f>
        <v>0</v>
      </c>
      <c r="L246" s="55" t="str">
        <f>IF(ISBLANK(M246),"",MAX(L$5:L245)+1)</f>
        <v/>
      </c>
      <c r="M246" s="83"/>
    </row>
    <row r="247" spans="2:13" s="58" customFormat="1">
      <c r="B247" s="89" t="str">
        <f>B19</f>
        <v>Investor</v>
      </c>
      <c r="C247" s="109"/>
      <c r="D247" s="86" t="str">
        <f t="shared" si="91"/>
        <v>$</v>
      </c>
      <c r="E247" s="109">
        <f>E$214*$E19+$F19*E$215+$G19*E$216+$H19*E$217+($I19+$J19)*E$218+E234</f>
        <v>0</v>
      </c>
      <c r="F247" s="109">
        <f>F$214*$E19+$F19*F$215+$G19*F$216+$H19*F$217+($I19+$J19)*F$218+F234</f>
        <v>0</v>
      </c>
      <c r="G247" s="109">
        <f>G$214*$E19+$F19*G$215+$G19*G$216+$H19*G$217+($I19+$J19)*G$218+G234</f>
        <v>0</v>
      </c>
      <c r="H247" s="109">
        <f>H$214*$E19+$F19*H$215+$G19*H$216+$H19*H$217+($I19+$J19)*H$218+H234</f>
        <v>0</v>
      </c>
      <c r="I247" s="109">
        <f>I$214*$E19+$F19*I$215+$G19*I$216+$H19*I$217+($I19+$J19)*I$218+I234</f>
        <v>0</v>
      </c>
      <c r="J247" s="109">
        <f>J$214*$E19+$F19*J$215+$G19*J$216+$H19*J$217+($I19+$J19)*J$218+J234</f>
        <v>0</v>
      </c>
      <c r="K247" s="109">
        <f>K$214*$E19+$F19*K$215+$G19*K$216+$H19*K$217+($I19+$J19)*K$218+K234</f>
        <v>0</v>
      </c>
      <c r="L247" s="55" t="str">
        <f>IF(ISBLANK(M247),"",MAX(L$5:L246)+1)</f>
        <v/>
      </c>
      <c r="M247" s="83"/>
    </row>
    <row r="248" spans="2:13" s="58" customFormat="1">
      <c r="B248" s="89" t="str">
        <f>B20</f>
        <v>Options Exercised</v>
      </c>
      <c r="C248" s="109"/>
      <c r="D248" s="86" t="str">
        <f t="shared" si="91"/>
        <v>$</v>
      </c>
      <c r="E248" s="109">
        <f>E$214*$E20+$F20*E$215+$G20*E$216+$H20*E$217+($I20+$J20)*E$218+E235</f>
        <v>0</v>
      </c>
      <c r="F248" s="109">
        <f>F$214*$E20+$F20*F$215+$G20*F$216+$H20*F$217+($I20+$J20)*F$218+F235</f>
        <v>0</v>
      </c>
      <c r="G248" s="109">
        <f>G$214*$E20+$F20*G$215+$G20*G$216+$H20*G$217+($I20+$J20)*G$218+G235</f>
        <v>0</v>
      </c>
      <c r="H248" s="109">
        <f>H$214*$E20+$F20*H$215+$G20*H$216+$H20*H$217+($I20+$J20)*H$218+H235</f>
        <v>0</v>
      </c>
      <c r="I248" s="109">
        <f>I$214*$E20+$F20*I$215+$G20*I$216+$H20*I$217+($I20+$J20)*I$218+I235</f>
        <v>0</v>
      </c>
      <c r="J248" s="109">
        <f>J$214*$E20+$F20*J$215+$G20*J$216+$H20*J$217+($I20+$J20)*J$218+J235</f>
        <v>0</v>
      </c>
      <c r="K248" s="109">
        <f>K$214*$E20+$F20*K$215+$G20*K$216+$H20*K$217+($I20+$J20)*K$218+K235</f>
        <v>0</v>
      </c>
      <c r="L248" s="55" t="str">
        <f>IF(ISBLANK(M248),"",MAX(L$5:L247)+1)</f>
        <v/>
      </c>
      <c r="M248" s="56"/>
    </row>
    <row r="249" spans="2:13" s="58" customFormat="1">
      <c r="B249" s="89" t="str">
        <f>B21</f>
        <v>Options Exercised</v>
      </c>
      <c r="C249" s="109"/>
      <c r="D249" s="86" t="str">
        <f t="shared" si="91"/>
        <v>$</v>
      </c>
      <c r="E249" s="109">
        <f>E$214*$E21+$F21*E$215+$G21*E$216+$H21*E$217+($I21+$J21)*E$218+E236</f>
        <v>0</v>
      </c>
      <c r="F249" s="109">
        <f>F$214*$E21+$F21*F$215+$G21*F$216+$H21*F$217+($I21+$J21)*F$218+F236</f>
        <v>0</v>
      </c>
      <c r="G249" s="109">
        <f>G$214*$E21+$F21*G$215+$G21*G$216+$H21*G$217+($I21+$J21)*G$218+G236</f>
        <v>0</v>
      </c>
      <c r="H249" s="109">
        <f>H$214*$E21+$F21*H$215+$G21*H$216+$H21*H$217+($I21+$J21)*H$218+H236</f>
        <v>0</v>
      </c>
      <c r="I249" s="109">
        <f>I$214*$E21+$F21*I$215+$G21*I$216+$H21*I$217+($I21+$J21)*I$218+I236</f>
        <v>0</v>
      </c>
      <c r="J249" s="109">
        <f>J$214*$E21+$F21*J$215+$G21*J$216+$H21*J$217+($I21+$J21)*J$218+J236</f>
        <v>0</v>
      </c>
      <c r="K249" s="109">
        <f>K$214*$E21+$F21*K$215+$G21*K$216+$H21*K$217+($I21+$J21)*K$218+K236</f>
        <v>0</v>
      </c>
      <c r="L249" s="55" t="str">
        <f>IF(ISBLANK(M249),"",MAX(L$5:L248)+1)</f>
        <v/>
      </c>
      <c r="M249" s="56"/>
    </row>
    <row r="250" spans="2:13" s="58" customFormat="1">
      <c r="B250" s="89" t="s">
        <v>3</v>
      </c>
      <c r="C250" s="89"/>
      <c r="D250" s="86" t="str">
        <f t="shared" si="91"/>
        <v>$</v>
      </c>
      <c r="E250" s="113">
        <f t="shared" ref="E250:K250" si="92">SUM(E242:E249)</f>
        <v>0</v>
      </c>
      <c r="F250" s="113">
        <f t="shared" si="92"/>
        <v>0</v>
      </c>
      <c r="G250" s="113">
        <f t="shared" si="92"/>
        <v>0</v>
      </c>
      <c r="H250" s="113">
        <f t="shared" si="92"/>
        <v>0</v>
      </c>
      <c r="I250" s="113">
        <f t="shared" si="92"/>
        <v>0</v>
      </c>
      <c r="J250" s="113">
        <f t="shared" si="92"/>
        <v>0</v>
      </c>
      <c r="K250" s="113">
        <f t="shared" si="92"/>
        <v>0</v>
      </c>
      <c r="L250" s="55" t="str">
        <f>IF(ISBLANK(M250),"",MAX(L$5:L249)+1)</f>
        <v/>
      </c>
      <c r="M250" s="56"/>
    </row>
    <row r="251" spans="2:13" s="58" customFormat="1">
      <c r="B251" s="115" t="s">
        <v>492</v>
      </c>
      <c r="C251" s="89"/>
      <c r="D251" s="114" t="str">
        <f t="shared" si="91"/>
        <v>$</v>
      </c>
      <c r="E251" s="89">
        <f>E250-E201</f>
        <v>0</v>
      </c>
      <c r="F251" s="89">
        <f t="shared" ref="F251:K251" si="93">F250-F201</f>
        <v>0</v>
      </c>
      <c r="G251" s="89">
        <f t="shared" si="93"/>
        <v>0</v>
      </c>
      <c r="H251" s="89">
        <f t="shared" si="93"/>
        <v>0</v>
      </c>
      <c r="I251" s="89">
        <f t="shared" si="93"/>
        <v>0</v>
      </c>
      <c r="J251" s="89">
        <f t="shared" si="93"/>
        <v>0</v>
      </c>
      <c r="K251" s="89">
        <f t="shared" si="93"/>
        <v>0</v>
      </c>
      <c r="L251" s="55" t="str">
        <f>IF(ISBLANK(M251),"",MAX(L$5:L250)+1)</f>
        <v/>
      </c>
      <c r="M251" s="56"/>
    </row>
    <row r="252" spans="2:13" s="58" customFormat="1">
      <c r="D252" s="64"/>
      <c r="L252" s="55" t="str">
        <f>IF(ISBLANK(M252),"",MAX(L$5:L251)+1)</f>
        <v/>
      </c>
      <c r="M252" s="56"/>
    </row>
    <row r="253" spans="2:13" s="58" customFormat="1">
      <c r="B253" s="122" t="s">
        <v>493</v>
      </c>
      <c r="D253" s="64"/>
      <c r="L253" s="55" t="str">
        <f>IF(ISBLANK(M253),"",MAX(L$5:L252)+1)</f>
        <v/>
      </c>
      <c r="M253" s="56"/>
    </row>
    <row r="254" spans="2:13" s="58" customFormat="1">
      <c r="D254" s="64"/>
      <c r="L254" s="55" t="str">
        <f>IF(ISBLANK(M254),"",MAX(L$5:L253)+1)</f>
        <v/>
      </c>
      <c r="M254" s="56"/>
    </row>
    <row r="255" spans="2:13" s="58" customFormat="1">
      <c r="B255" s="89" t="str">
        <f>B14</f>
        <v>Investor</v>
      </c>
      <c r="C255" s="123"/>
      <c r="D255" s="64" t="s">
        <v>22</v>
      </c>
      <c r="E255" s="123" t="str">
        <f>IFERROR((E242-SUM($E28:$J28))/(SUM($E28:$J28)),"na")</f>
        <v>na</v>
      </c>
      <c r="F255" s="123" t="str">
        <f>IFERROR((F242-SUM($E28:$J28))/(SUM($E28:$J28)),"na")</f>
        <v>na</v>
      </c>
      <c r="G255" s="123" t="str">
        <f>IFERROR((G242-SUM($E28:$J28))/(SUM($E28:$J28)),"na")</f>
        <v>na</v>
      </c>
      <c r="H255" s="123" t="str">
        <f>IFERROR((H242-SUM($E28:$J28))/(SUM($E28:$J28)),"na")</f>
        <v>na</v>
      </c>
      <c r="I255" s="123" t="str">
        <f>IFERROR((I242-SUM($E28:$J28))/(SUM($E28:$J28)),"na")</f>
        <v>na</v>
      </c>
      <c r="J255" s="123" t="str">
        <f>IFERROR((J242-SUM($E28:$J28))/(SUM($E28:$J28)),"na")</f>
        <v>na</v>
      </c>
      <c r="K255" s="123" t="str">
        <f>IFERROR((K242-SUM($E28:$J28))/(SUM($E28:$J28)),"na")</f>
        <v>na</v>
      </c>
      <c r="L255" s="55">
        <f>IF(ISBLANK(M255),"",MAX(L$5:L254)+1)</f>
        <v>77</v>
      </c>
      <c r="M255" s="56" t="s">
        <v>494</v>
      </c>
    </row>
    <row r="256" spans="2:13" s="58" customFormat="1">
      <c r="B256" s="89" t="str">
        <f>B15</f>
        <v>Investor</v>
      </c>
      <c r="C256" s="123"/>
      <c r="D256" s="64" t="s">
        <v>22</v>
      </c>
      <c r="E256" s="123" t="str">
        <f>IFERROR((E243-SUM($E29:$J29))/(SUM($E29:$J29)),"na")</f>
        <v>na</v>
      </c>
      <c r="F256" s="123" t="str">
        <f>IFERROR((F243-SUM($E29:$J29))/(SUM($E29:$J29)),"na")</f>
        <v>na</v>
      </c>
      <c r="G256" s="123" t="str">
        <f>IFERROR((G243-SUM($E29:$J29))/(SUM($E29:$J29)),"na")</f>
        <v>na</v>
      </c>
      <c r="H256" s="123" t="str">
        <f>IFERROR((H243-SUM($E29:$J29))/(SUM($E29:$J29)),"na")</f>
        <v>na</v>
      </c>
      <c r="I256" s="123" t="str">
        <f>IFERROR((I243-SUM($E29:$J29))/(SUM($E29:$J29)),"na")</f>
        <v>na</v>
      </c>
      <c r="J256" s="123" t="str">
        <f>IFERROR((J243-SUM($E29:$J29))/(SUM($E29:$J29)),"na")</f>
        <v>na</v>
      </c>
      <c r="K256" s="123" t="str">
        <f>IFERROR((K243-SUM($E29:$J29))/(SUM($E29:$J29)),"na")</f>
        <v>na</v>
      </c>
      <c r="L256" s="55" t="str">
        <f>IF(ISBLANK(M256),"",MAX(L$5:L255)+1)</f>
        <v/>
      </c>
      <c r="M256" s="56"/>
    </row>
    <row r="257" spans="2:13" s="58" customFormat="1">
      <c r="B257" s="89" t="str">
        <f>B16</f>
        <v>Investor</v>
      </c>
      <c r="C257" s="123"/>
      <c r="D257" s="64" t="s">
        <v>22</v>
      </c>
      <c r="E257" s="123" t="str">
        <f>IFERROR((E244-SUM($E30:$J30))/(SUM($E30:$J30)),"na")</f>
        <v>na</v>
      </c>
      <c r="F257" s="123" t="str">
        <f>IFERROR((F244-SUM($E30:$J30))/(SUM($E30:$J30)),"na")</f>
        <v>na</v>
      </c>
      <c r="G257" s="123" t="str">
        <f>IFERROR((G244-SUM($E30:$J30))/(SUM($E30:$J30)),"na")</f>
        <v>na</v>
      </c>
      <c r="H257" s="123" t="str">
        <f>IFERROR((H244-SUM($E30:$J30))/(SUM($E30:$J30)),"na")</f>
        <v>na</v>
      </c>
      <c r="I257" s="123" t="str">
        <f>IFERROR((I244-SUM($E30:$J30))/(SUM($E30:$J30)),"na")</f>
        <v>na</v>
      </c>
      <c r="J257" s="123" t="str">
        <f>IFERROR((J244-SUM($E30:$J30))/(SUM($E30:$J30)),"na")</f>
        <v>na</v>
      </c>
      <c r="K257" s="123" t="str">
        <f>IFERROR((K244-SUM($E30:$J30))/(SUM($E30:$J30)),"na")</f>
        <v>na</v>
      </c>
      <c r="L257" s="55" t="str">
        <f>IF(ISBLANK(M257),"",MAX(L$5:L256)+1)</f>
        <v/>
      </c>
      <c r="M257" s="56"/>
    </row>
    <row r="258" spans="2:13" s="58" customFormat="1">
      <c r="B258" s="89" t="str">
        <f>B17</f>
        <v>Investor</v>
      </c>
      <c r="C258" s="123"/>
      <c r="D258" s="64" t="s">
        <v>22</v>
      </c>
      <c r="E258" s="123" t="str">
        <f>IFERROR((E245-SUM($E31:$J31))/(SUM($E31:$J31)),"na")</f>
        <v>na</v>
      </c>
      <c r="F258" s="123" t="str">
        <f>IFERROR((F245-SUM($E31:$J31))/(SUM($E31:$J31)),"na")</f>
        <v>na</v>
      </c>
      <c r="G258" s="123" t="str">
        <f>IFERROR((G245-SUM($E31:$J31))/(SUM($E31:$J31)),"na")</f>
        <v>na</v>
      </c>
      <c r="H258" s="123" t="str">
        <f>IFERROR((H245-SUM($E31:$J31))/(SUM($E31:$J31)),"na")</f>
        <v>na</v>
      </c>
      <c r="I258" s="123" t="str">
        <f>IFERROR((I245-SUM($E31:$J31))/(SUM($E31:$J31)),"na")</f>
        <v>na</v>
      </c>
      <c r="J258" s="123" t="str">
        <f>IFERROR((J245-SUM($E31:$J31))/(SUM($E31:$J31)),"na")</f>
        <v>na</v>
      </c>
      <c r="K258" s="123" t="str">
        <f>IFERROR((K245-SUM($E31:$J31))/(SUM($E31:$J31)),"na")</f>
        <v>na</v>
      </c>
      <c r="L258" s="55" t="str">
        <f>IF(ISBLANK(M258),"",MAX(L$5:L257)+1)</f>
        <v/>
      </c>
      <c r="M258" s="56"/>
    </row>
    <row r="259" spans="2:13" s="58" customFormat="1">
      <c r="B259" s="89" t="str">
        <f>B18</f>
        <v>Investor</v>
      </c>
      <c r="C259" s="123"/>
      <c r="D259" s="64" t="s">
        <v>22</v>
      </c>
      <c r="E259" s="123" t="str">
        <f>IFERROR((E246-SUM($E32:$J32))/(SUM($E32:$J32)),"na")</f>
        <v>na</v>
      </c>
      <c r="F259" s="123" t="str">
        <f>IFERROR((F246-SUM($E32:$J32))/(SUM($E32:$J32)),"na")</f>
        <v>na</v>
      </c>
      <c r="G259" s="123" t="str">
        <f>IFERROR((G246-SUM($E32:$J32))/(SUM($E32:$J32)),"na")</f>
        <v>na</v>
      </c>
      <c r="H259" s="123" t="str">
        <f>IFERROR((H246-SUM($E32:$J32))/(SUM($E32:$J32)),"na")</f>
        <v>na</v>
      </c>
      <c r="I259" s="123" t="str">
        <f>IFERROR((I246-SUM($E32:$J32))/(SUM($E32:$J32)),"na")</f>
        <v>na</v>
      </c>
      <c r="J259" s="123" t="str">
        <f>IFERROR((J246-SUM($E32:$J32))/(SUM($E32:$J32)),"na")</f>
        <v>na</v>
      </c>
      <c r="K259" s="123" t="str">
        <f>IFERROR((K246-SUM($E32:$J32))/(SUM($E32:$J32)),"na")</f>
        <v>na</v>
      </c>
      <c r="L259" s="55" t="str">
        <f>IF(ISBLANK(M259),"",MAX(L$5:L258)+1)</f>
        <v/>
      </c>
      <c r="M259" s="56"/>
    </row>
    <row r="260" spans="2:13" s="58" customFormat="1">
      <c r="B260" s="89" t="str">
        <f>B19</f>
        <v>Investor</v>
      </c>
      <c r="C260" s="123"/>
      <c r="D260" s="64" t="s">
        <v>22</v>
      </c>
      <c r="E260" s="123" t="str">
        <f>IFERROR((E247-SUM($E33:$J33))/(SUM($E33:$J33)),"na")</f>
        <v>na</v>
      </c>
      <c r="F260" s="123" t="str">
        <f>IFERROR((F247-SUM($E33:$J33))/(SUM($E33:$J33)),"na")</f>
        <v>na</v>
      </c>
      <c r="G260" s="123" t="str">
        <f>IFERROR((G247-SUM($E33:$J33))/(SUM($E33:$J33)),"na")</f>
        <v>na</v>
      </c>
      <c r="H260" s="123" t="str">
        <f>IFERROR((H247-SUM($E33:$J33))/(SUM($E33:$J33)),"na")</f>
        <v>na</v>
      </c>
      <c r="I260" s="123" t="str">
        <f>IFERROR((I247-SUM($E33:$J33))/(SUM($E33:$J33)),"na")</f>
        <v>na</v>
      </c>
      <c r="J260" s="123" t="str">
        <f>IFERROR((J247-SUM($E33:$J33))/(SUM($E33:$J33)),"na")</f>
        <v>na</v>
      </c>
      <c r="K260" s="123" t="str">
        <f>IFERROR((K247-SUM($E33:$J33))/(SUM($E33:$J33)),"na")</f>
        <v>na</v>
      </c>
      <c r="L260" s="55" t="str">
        <f>IF(ISBLANK(M260),"",MAX(L$5:L259)+1)</f>
        <v/>
      </c>
      <c r="M260" s="56"/>
    </row>
    <row r="261" spans="2:13" s="58" customFormat="1">
      <c r="B261" s="89" t="str">
        <f>B$20</f>
        <v>Options Exercised</v>
      </c>
      <c r="C261" s="123"/>
      <c r="D261" s="64" t="s">
        <v>22</v>
      </c>
      <c r="E261" s="123" t="str">
        <f>IFERROR((E248-SUM($E34:$J34))/(SUM($E34:$J34)),"na")</f>
        <v>na</v>
      </c>
      <c r="F261" s="123" t="str">
        <f>IFERROR((F248-SUM($E34:$J34))/(SUM($E34:$J34)),"na")</f>
        <v>na</v>
      </c>
      <c r="G261" s="123" t="str">
        <f>IFERROR((G248-SUM($E34:$J34))/(SUM($E34:$J34)),"na")</f>
        <v>na</v>
      </c>
      <c r="H261" s="123" t="str">
        <f>IFERROR((H248-SUM($E34:$J34))/(SUM($E34:$J34)),"na")</f>
        <v>na</v>
      </c>
      <c r="I261" s="123" t="str">
        <f>IFERROR((I248-SUM($E34:$J34))/(SUM($E34:$J34)),"na")</f>
        <v>na</v>
      </c>
      <c r="J261" s="123" t="str">
        <f>IFERROR((J248-SUM($E34:$J34))/(SUM($E34:$J34)),"na")</f>
        <v>na</v>
      </c>
      <c r="K261" s="123" t="str">
        <f>IFERROR((K248-SUM($E34:$J34))/(SUM($E34:$J34)),"na")</f>
        <v>na</v>
      </c>
      <c r="L261" s="55" t="str">
        <f>IF(ISBLANK(M261),"",MAX(L$5:L260)+1)</f>
        <v/>
      </c>
      <c r="M261" s="56"/>
    </row>
    <row r="262" spans="2:13" s="58" customFormat="1">
      <c r="B262" s="89" t="str">
        <f>B$21</f>
        <v>Options Exercised</v>
      </c>
      <c r="C262" s="123"/>
      <c r="D262" s="64" t="s">
        <v>22</v>
      </c>
      <c r="E262" s="123" t="str">
        <f>IFERROR((E249-SUM($E35:$J35))/(SUM($E35:$J35)),"na")</f>
        <v>na</v>
      </c>
      <c r="F262" s="123" t="str">
        <f>IFERROR((F249-SUM($E35:$J35))/(SUM($E35:$J35)),"na")</f>
        <v>na</v>
      </c>
      <c r="G262" s="123" t="str">
        <f>IFERROR((G249-SUM($E35:$J35))/(SUM($E35:$J35)),"na")</f>
        <v>na</v>
      </c>
      <c r="H262" s="123" t="str">
        <f>IFERROR((H249-SUM($E35:$J35))/(SUM($E35:$J35)),"na")</f>
        <v>na</v>
      </c>
      <c r="I262" s="123" t="str">
        <f>IFERROR((I249-SUM($E35:$J35))/(SUM($E35:$J35)),"na")</f>
        <v>na</v>
      </c>
      <c r="J262" s="123" t="str">
        <f>IFERROR((J249-SUM($E35:$J35))/(SUM($E35:$J35)),"na")</f>
        <v>na</v>
      </c>
      <c r="K262" s="123" t="str">
        <f>IFERROR((K249-SUM($E35:$J35))/(SUM($E35:$J35)),"na")</f>
        <v>na</v>
      </c>
      <c r="L262" s="55" t="str">
        <f>IF(ISBLANK(M262),"",MAX(L$5:L261)+1)</f>
        <v/>
      </c>
      <c r="M262" s="56"/>
    </row>
    <row r="263" spans="2:13" s="58" customFormat="1">
      <c r="B263" s="89" t="s">
        <v>3</v>
      </c>
      <c r="C263" s="93"/>
      <c r="D263" s="64" t="s">
        <v>22</v>
      </c>
      <c r="E263" s="98">
        <f t="shared" ref="E263:K263" si="94">IFERROR((E250-$K39)/$K39,0)</f>
        <v>0</v>
      </c>
      <c r="F263" s="98">
        <f t="shared" si="94"/>
        <v>0</v>
      </c>
      <c r="G263" s="98">
        <f t="shared" si="94"/>
        <v>0</v>
      </c>
      <c r="H263" s="98">
        <f t="shared" si="94"/>
        <v>0</v>
      </c>
      <c r="I263" s="98">
        <f t="shared" si="94"/>
        <v>0</v>
      </c>
      <c r="J263" s="98">
        <f t="shared" si="94"/>
        <v>0</v>
      </c>
      <c r="K263" s="98">
        <f t="shared" si="94"/>
        <v>0</v>
      </c>
      <c r="L263" s="55" t="str">
        <f>IF(ISBLANK(M263),"",MAX(L$5:L262)+1)</f>
        <v/>
      </c>
      <c r="M263" s="83"/>
    </row>
    <row r="264" spans="2:13" s="58" customFormat="1">
      <c r="D264" s="64"/>
      <c r="L264" s="55" t="str">
        <f>IF(ISBLANK(M264),"",MAX(L$5:L263)+1)</f>
        <v/>
      </c>
      <c r="M264" s="83"/>
    </row>
    <row r="265" spans="2:13" s="58" customFormat="1">
      <c r="D265" s="64"/>
      <c r="L265" s="55" t="str">
        <f>IF(ISBLANK(M265),"",MAX(L$5:L264)+1)</f>
        <v/>
      </c>
      <c r="M265" s="83"/>
    </row>
    <row r="266" spans="2:13" s="58" customFormat="1">
      <c r="D266" s="64"/>
      <c r="L266" s="55" t="str">
        <f>IF(ISBLANK(M266),"",MAX(L$5:L265)+1)</f>
        <v/>
      </c>
      <c r="M266" s="83"/>
    </row>
    <row r="267" spans="2:13" s="58" customFormat="1">
      <c r="D267" s="64"/>
      <c r="L267" s="55">
        <f>IF(ISBLANK(M267),"",MAX(L$5:L266)+1)</f>
        <v>78</v>
      </c>
      <c r="M267" s="56" t="s">
        <v>495</v>
      </c>
    </row>
    <row r="268" spans="2:13" s="58" customFormat="1">
      <c r="D268" s="64"/>
      <c r="L268" s="55" t="str">
        <f>IF(ISBLANK(M268),"",MAX(L$5:L267)+1)</f>
        <v/>
      </c>
      <c r="M268" s="83"/>
    </row>
    <row r="269" spans="2:13" s="58" customFormat="1">
      <c r="D269" s="64"/>
      <c r="L269" s="55" t="str">
        <f>IF(ISBLANK(M269),"",MAX(L$5:L268)+1)</f>
        <v/>
      </c>
      <c r="M269" s="83"/>
    </row>
    <row r="270" spans="2:13" s="83" customFormat="1">
      <c r="C270" s="58"/>
      <c r="D270" s="64"/>
      <c r="E270" s="58"/>
      <c r="F270" s="58"/>
      <c r="G270" s="58"/>
      <c r="H270" s="58"/>
      <c r="I270" s="58"/>
      <c r="J270" s="58"/>
      <c r="K270" s="58"/>
      <c r="L270" s="55" t="str">
        <f>IF(ISBLANK(M270),"",MAX(L$5:L269)+1)</f>
        <v/>
      </c>
    </row>
    <row r="271" spans="2:13" s="83" customFormat="1">
      <c r="C271" s="58"/>
      <c r="D271" s="64"/>
      <c r="E271" s="58"/>
      <c r="F271" s="58"/>
      <c r="G271" s="58"/>
      <c r="H271" s="58"/>
      <c r="I271" s="58"/>
      <c r="J271" s="58"/>
      <c r="K271" s="58"/>
      <c r="L271" s="55" t="str">
        <f>IF(ISBLANK(M271),"",MAX(L$5:L270)+1)</f>
        <v/>
      </c>
    </row>
    <row r="272" spans="2:13" s="83" customFormat="1">
      <c r="C272" s="58"/>
      <c r="D272" s="64"/>
      <c r="E272" s="58"/>
      <c r="F272" s="58"/>
      <c r="G272" s="58"/>
      <c r="H272" s="58"/>
      <c r="I272" s="58"/>
      <c r="J272" s="58"/>
      <c r="K272" s="58"/>
      <c r="L272" s="55" t="str">
        <f>IF(ISBLANK(M272),"",MAX(L$5:L271)+1)</f>
        <v/>
      </c>
    </row>
    <row r="273" spans="1:26" s="83" customFormat="1">
      <c r="C273" s="58"/>
      <c r="D273" s="64"/>
      <c r="E273" s="58"/>
      <c r="F273" s="58"/>
      <c r="G273" s="58"/>
      <c r="H273" s="58"/>
      <c r="I273" s="58"/>
      <c r="J273" s="58"/>
      <c r="K273" s="58"/>
      <c r="L273" s="55" t="str">
        <f>IF(ISBLANK(M273),"",MAX(L$5:L272)+1)</f>
        <v/>
      </c>
    </row>
    <row r="274" spans="1:26" s="83" customFormat="1">
      <c r="C274" s="58"/>
      <c r="D274" s="64"/>
      <c r="E274" s="58"/>
      <c r="F274" s="58"/>
      <c r="G274" s="58"/>
      <c r="H274" s="58"/>
      <c r="I274" s="58"/>
      <c r="J274" s="58"/>
      <c r="K274" s="58"/>
      <c r="L274" s="55" t="str">
        <f>IF(ISBLANK(M274),"",MAX(L$5:L273)+1)</f>
        <v/>
      </c>
    </row>
    <row r="275" spans="1:26" s="83" customFormat="1">
      <c r="C275" s="58"/>
      <c r="D275" s="64"/>
      <c r="E275" s="58"/>
      <c r="F275" s="58"/>
      <c r="G275" s="58"/>
      <c r="H275" s="58"/>
      <c r="I275" s="58"/>
      <c r="J275" s="58"/>
      <c r="K275" s="58"/>
      <c r="L275" s="55" t="str">
        <f>IF(ISBLANK(M275),"",MAX(L$5:L274)+1)</f>
        <v/>
      </c>
    </row>
    <row r="276" spans="1:26" s="83" customFormat="1">
      <c r="C276" s="58"/>
      <c r="D276" s="64"/>
      <c r="E276" s="58"/>
      <c r="F276" s="58"/>
      <c r="G276" s="58"/>
      <c r="H276" s="58"/>
      <c r="I276" s="58"/>
      <c r="J276" s="58"/>
      <c r="K276" s="58"/>
      <c r="L276" s="55" t="str">
        <f>IF(ISBLANK(M276),"",MAX(L$5:L275)+1)</f>
        <v/>
      </c>
    </row>
    <row r="277" spans="1:26" s="83" customFormat="1">
      <c r="C277" s="58"/>
      <c r="D277" s="64"/>
      <c r="E277" s="58"/>
      <c r="F277" s="58"/>
      <c r="G277" s="58"/>
      <c r="H277" s="58"/>
      <c r="I277" s="58"/>
      <c r="J277" s="58"/>
      <c r="K277" s="58"/>
      <c r="L277" s="55" t="str">
        <f>IF(ISBLANK(M277),"",MAX(L$5:L276)+1)</f>
        <v/>
      </c>
    </row>
    <row r="278" spans="1:26" s="83" customFormat="1">
      <c r="C278" s="58"/>
      <c r="D278" s="64"/>
      <c r="E278" s="58"/>
      <c r="F278" s="58"/>
      <c r="G278" s="58"/>
      <c r="H278" s="58"/>
      <c r="I278" s="58"/>
      <c r="J278" s="58"/>
      <c r="K278" s="58"/>
      <c r="L278" s="55" t="str">
        <f>IF(ISBLANK(M278),"",MAX(L$5:L277)+1)</f>
        <v/>
      </c>
    </row>
    <row r="279" spans="1:26" s="83" customFormat="1">
      <c r="C279" s="58"/>
      <c r="D279" s="64"/>
      <c r="E279" s="58"/>
      <c r="F279" s="58"/>
      <c r="G279" s="58"/>
      <c r="H279" s="58"/>
      <c r="I279" s="58"/>
      <c r="J279" s="58"/>
      <c r="K279" s="58"/>
      <c r="L279" s="55" t="str">
        <f>IF(ISBLANK(M279),"",MAX(L$5:L278)+1)</f>
        <v/>
      </c>
    </row>
    <row r="280" spans="1:26" s="83" customFormat="1">
      <c r="C280" s="58"/>
      <c r="D280" s="64"/>
      <c r="E280" s="58"/>
      <c r="F280" s="58"/>
      <c r="G280" s="58"/>
      <c r="H280" s="58"/>
      <c r="I280" s="58"/>
      <c r="J280" s="58"/>
      <c r="K280" s="58"/>
      <c r="L280" s="55" t="str">
        <f>IF(ISBLANK(M280),"",MAX(L$5:L279)+1)</f>
        <v/>
      </c>
    </row>
    <row r="281" spans="1:26" s="83" customFormat="1">
      <c r="C281" s="58"/>
      <c r="D281" s="64"/>
      <c r="E281" s="58"/>
      <c r="F281" s="58"/>
      <c r="G281" s="58"/>
      <c r="H281" s="58"/>
      <c r="I281" s="58"/>
      <c r="J281" s="58"/>
      <c r="K281" s="58"/>
      <c r="L281" s="55" t="str">
        <f>IF(ISBLANK(M281),"",MAX(L$5:L280)+1)</f>
        <v/>
      </c>
    </row>
    <row r="282" spans="1:26" s="83" customFormat="1">
      <c r="C282" s="58"/>
      <c r="D282" s="64"/>
      <c r="E282" s="58"/>
      <c r="F282" s="58"/>
      <c r="G282" s="58"/>
      <c r="H282" s="58"/>
      <c r="I282" s="58"/>
      <c r="J282" s="58"/>
      <c r="K282" s="58"/>
      <c r="L282" s="55" t="str">
        <f>IF(ISBLANK(M282),"",MAX(L$5:L281)+1)</f>
        <v/>
      </c>
    </row>
    <row r="283" spans="1:26" s="83" customFormat="1">
      <c r="C283" s="58"/>
      <c r="D283" s="64"/>
      <c r="E283" s="58"/>
      <c r="F283" s="58"/>
      <c r="G283" s="58"/>
      <c r="H283" s="58"/>
      <c r="I283" s="58"/>
      <c r="J283" s="58"/>
      <c r="K283" s="58"/>
      <c r="L283" s="55" t="str">
        <f>IF(ISBLANK(M283),"",MAX(L$5:L282)+1)</f>
        <v/>
      </c>
    </row>
    <row r="284" spans="1:26" s="83" customFormat="1">
      <c r="C284" s="58"/>
      <c r="D284" s="64"/>
      <c r="E284" s="58"/>
      <c r="F284" s="58"/>
      <c r="G284" s="58"/>
      <c r="H284" s="58"/>
      <c r="I284" s="58"/>
      <c r="J284" s="58"/>
      <c r="K284" s="58"/>
      <c r="L284" s="55" t="str">
        <f>IF(ISBLANK(M284),"",MAX(L$5:L283)+1)</f>
        <v/>
      </c>
    </row>
    <row r="285" spans="1:26" s="83" customFormat="1">
      <c r="C285" s="58"/>
      <c r="D285" s="64"/>
      <c r="E285" s="58"/>
      <c r="F285" s="58"/>
      <c r="G285" s="58"/>
      <c r="H285" s="58"/>
      <c r="I285" s="58"/>
      <c r="J285" s="58"/>
      <c r="K285" s="58"/>
      <c r="L285" s="55" t="str">
        <f>IF(ISBLANK(M285),"",MAX(L$5:L284)+1)</f>
        <v/>
      </c>
    </row>
    <row r="286" spans="1:26" s="83" customFormat="1">
      <c r="A286" s="58"/>
      <c r="B286" s="58"/>
      <c r="C286" s="58"/>
      <c r="D286" s="64"/>
      <c r="E286" s="58"/>
      <c r="F286" s="58"/>
      <c r="G286" s="58"/>
      <c r="H286" s="58"/>
      <c r="I286" s="58"/>
      <c r="J286" s="58"/>
      <c r="K286" s="58"/>
      <c r="L286" s="55" t="str">
        <f>IF(ISBLANK(M286),"",MAX(L$5:L285)+1)</f>
        <v/>
      </c>
      <c r="N286" s="58"/>
      <c r="O286" s="58"/>
      <c r="P286" s="58"/>
      <c r="Q286" s="58"/>
      <c r="R286" s="58"/>
      <c r="S286" s="58"/>
      <c r="T286" s="58"/>
      <c r="U286" s="58"/>
      <c r="V286" s="58"/>
      <c r="W286" s="58"/>
      <c r="X286" s="58"/>
      <c r="Y286" s="58"/>
      <c r="Z286" s="58"/>
    </row>
    <row r="287" spans="1:26" s="83" customFormat="1">
      <c r="A287" s="58"/>
      <c r="B287" s="58"/>
      <c r="C287" s="58"/>
      <c r="D287" s="64"/>
      <c r="E287" s="58"/>
      <c r="F287" s="58"/>
      <c r="G287" s="58"/>
      <c r="H287" s="58"/>
      <c r="I287" s="58"/>
      <c r="J287" s="58"/>
      <c r="K287" s="58"/>
      <c r="L287" s="55" t="str">
        <f>IF(ISBLANK(M287),"",MAX(L$5:L286)+1)</f>
        <v/>
      </c>
      <c r="N287" s="58"/>
      <c r="O287" s="58"/>
      <c r="P287" s="58"/>
      <c r="Q287" s="58"/>
      <c r="R287" s="58"/>
      <c r="S287" s="58"/>
      <c r="T287" s="58"/>
      <c r="U287" s="58"/>
      <c r="V287" s="58"/>
      <c r="W287" s="58"/>
      <c r="X287" s="58"/>
      <c r="Y287" s="58"/>
      <c r="Z287" s="58"/>
    </row>
    <row r="288" spans="1:26" s="83" customFormat="1">
      <c r="A288" s="58"/>
      <c r="B288" s="58"/>
      <c r="C288" s="58"/>
      <c r="D288" s="64"/>
      <c r="E288" s="58"/>
      <c r="F288" s="58"/>
      <c r="G288" s="58"/>
      <c r="H288" s="58"/>
      <c r="I288" s="58"/>
      <c r="J288" s="58"/>
      <c r="K288" s="58"/>
      <c r="L288" s="55" t="str">
        <f>IF(ISBLANK(M288),"",MAX(L$5:L287)+1)</f>
        <v/>
      </c>
      <c r="N288" s="58"/>
      <c r="O288" s="58"/>
      <c r="P288" s="58"/>
      <c r="Q288" s="58"/>
      <c r="R288" s="58"/>
      <c r="S288" s="58"/>
      <c r="T288" s="58"/>
      <c r="U288" s="58"/>
      <c r="V288" s="58"/>
      <c r="W288" s="58"/>
      <c r="X288" s="58"/>
      <c r="Y288" s="58"/>
      <c r="Z288" s="58"/>
    </row>
    <row r="289" spans="1:26" s="83" customFormat="1">
      <c r="A289" s="58"/>
      <c r="B289" s="58"/>
      <c r="C289" s="58"/>
      <c r="D289" s="64"/>
      <c r="E289" s="58"/>
      <c r="F289" s="58"/>
      <c r="G289" s="58"/>
      <c r="H289" s="58"/>
      <c r="I289" s="58"/>
      <c r="J289" s="58"/>
      <c r="K289" s="58"/>
      <c r="L289" s="55" t="str">
        <f>IF(ISBLANK(M289),"",MAX(L$5:L288)+1)</f>
        <v/>
      </c>
      <c r="N289" s="58"/>
      <c r="O289" s="58"/>
      <c r="P289" s="58"/>
      <c r="Q289" s="58"/>
      <c r="R289" s="58"/>
      <c r="S289" s="58"/>
      <c r="T289" s="58"/>
      <c r="U289" s="58"/>
      <c r="V289" s="58"/>
      <c r="W289" s="58"/>
      <c r="X289" s="58"/>
      <c r="Y289" s="58"/>
      <c r="Z289" s="58"/>
    </row>
    <row r="290" spans="1:26" s="83" customFormat="1">
      <c r="A290" s="58"/>
      <c r="B290" s="58"/>
      <c r="C290" s="58"/>
      <c r="D290" s="64"/>
      <c r="E290" s="58"/>
      <c r="F290" s="58"/>
      <c r="G290" s="58"/>
      <c r="H290" s="58"/>
      <c r="I290" s="58"/>
      <c r="J290" s="58"/>
      <c r="K290" s="58"/>
      <c r="L290" s="55" t="str">
        <f>IF(ISBLANK(M290),"",MAX(L$5:L289)+1)</f>
        <v/>
      </c>
      <c r="N290" s="58"/>
      <c r="O290" s="58"/>
      <c r="P290" s="58"/>
      <c r="Q290" s="58"/>
      <c r="R290" s="58"/>
      <c r="S290" s="58"/>
      <c r="T290" s="58"/>
      <c r="U290" s="58"/>
      <c r="V290" s="58"/>
      <c r="W290" s="58"/>
      <c r="X290" s="58"/>
      <c r="Y290" s="58"/>
      <c r="Z290" s="58"/>
    </row>
    <row r="291" spans="1:26" s="83" customFormat="1">
      <c r="A291" s="58"/>
      <c r="B291" s="58"/>
      <c r="C291" s="58"/>
      <c r="D291" s="64"/>
      <c r="E291" s="58"/>
      <c r="F291" s="58"/>
      <c r="G291" s="58"/>
      <c r="H291" s="58"/>
      <c r="I291" s="58"/>
      <c r="J291" s="58"/>
      <c r="K291" s="58"/>
      <c r="L291" s="55" t="str">
        <f>IF(ISBLANK(M291),"",MAX(L$5:L290)+1)</f>
        <v/>
      </c>
      <c r="N291" s="58"/>
      <c r="O291" s="58"/>
      <c r="P291" s="58"/>
      <c r="Q291" s="58"/>
      <c r="R291" s="58"/>
      <c r="S291" s="58"/>
      <c r="T291" s="58"/>
      <c r="U291" s="58"/>
      <c r="V291" s="58"/>
      <c r="W291" s="58"/>
      <c r="X291" s="58"/>
      <c r="Y291" s="58"/>
      <c r="Z291" s="58"/>
    </row>
    <row r="292" spans="1:26" s="83" customFormat="1">
      <c r="A292" s="58"/>
      <c r="B292" s="58"/>
      <c r="C292" s="58"/>
      <c r="D292" s="64"/>
      <c r="E292" s="58"/>
      <c r="F292" s="58"/>
      <c r="G292" s="58"/>
      <c r="H292" s="58"/>
      <c r="I292" s="58"/>
      <c r="J292" s="58"/>
      <c r="K292" s="58"/>
      <c r="L292" s="55" t="str">
        <f>IF(ISBLANK(M292),"",MAX(L$5:L291)+1)</f>
        <v/>
      </c>
      <c r="N292" s="58"/>
      <c r="O292" s="58"/>
      <c r="P292" s="58"/>
      <c r="Q292" s="58"/>
      <c r="R292" s="58"/>
      <c r="S292" s="58"/>
      <c r="T292" s="58"/>
      <c r="U292" s="58"/>
      <c r="V292" s="58"/>
      <c r="W292" s="58"/>
      <c r="X292" s="58"/>
      <c r="Y292" s="58"/>
      <c r="Z292" s="58"/>
    </row>
    <row r="293" spans="1:26" s="83" customFormat="1">
      <c r="A293" s="58"/>
      <c r="B293" s="58"/>
      <c r="C293" s="58"/>
      <c r="D293" s="64"/>
      <c r="E293" s="58"/>
      <c r="F293" s="58"/>
      <c r="G293" s="58"/>
      <c r="H293" s="58"/>
      <c r="I293" s="58"/>
      <c r="J293" s="58"/>
      <c r="K293" s="58"/>
      <c r="L293" s="55" t="str">
        <f>IF(ISBLANK(M293),"",MAX(L$5:L292)+1)</f>
        <v/>
      </c>
      <c r="N293" s="58"/>
      <c r="O293" s="58"/>
      <c r="P293" s="58"/>
      <c r="Q293" s="58"/>
      <c r="R293" s="58"/>
      <c r="S293" s="58"/>
      <c r="T293" s="58"/>
      <c r="U293" s="58"/>
      <c r="V293" s="58"/>
      <c r="W293" s="58"/>
      <c r="X293" s="58"/>
      <c r="Y293" s="58"/>
      <c r="Z293" s="58"/>
    </row>
    <row r="294" spans="1:26" s="83" customFormat="1">
      <c r="A294" s="58"/>
      <c r="B294" s="58"/>
      <c r="C294" s="58"/>
      <c r="D294" s="64"/>
      <c r="E294" s="58"/>
      <c r="F294" s="58"/>
      <c r="G294" s="58"/>
      <c r="H294" s="58"/>
      <c r="I294" s="58"/>
      <c r="J294" s="58"/>
      <c r="K294" s="58"/>
      <c r="L294" s="55" t="str">
        <f>IF(ISBLANK(M294),"",MAX(L$5:L293)+1)</f>
        <v/>
      </c>
      <c r="N294" s="58"/>
      <c r="O294" s="58"/>
      <c r="P294" s="58"/>
      <c r="Q294" s="58"/>
      <c r="R294" s="58"/>
      <c r="S294" s="58"/>
      <c r="T294" s="58"/>
      <c r="U294" s="58"/>
      <c r="V294" s="58"/>
      <c r="W294" s="58"/>
      <c r="X294" s="58"/>
      <c r="Y294" s="58"/>
      <c r="Z294" s="58"/>
    </row>
    <row r="295" spans="1:26" s="83" customFormat="1">
      <c r="A295" s="58"/>
      <c r="B295" s="58"/>
      <c r="C295" s="58"/>
      <c r="D295" s="64"/>
      <c r="E295" s="58"/>
      <c r="F295" s="58"/>
      <c r="G295" s="58"/>
      <c r="H295" s="58"/>
      <c r="I295" s="58"/>
      <c r="J295" s="58"/>
      <c r="K295" s="58"/>
      <c r="L295" s="55" t="str">
        <f>IF(ISBLANK(M295),"",MAX(L$5:L294)+1)</f>
        <v/>
      </c>
      <c r="N295" s="58"/>
      <c r="O295" s="58"/>
      <c r="P295" s="58"/>
      <c r="Q295" s="58"/>
      <c r="R295" s="58"/>
      <c r="S295" s="58"/>
      <c r="T295" s="58"/>
      <c r="U295" s="58"/>
      <c r="V295" s="58"/>
      <c r="W295" s="58"/>
      <c r="X295" s="58"/>
      <c r="Y295" s="58"/>
      <c r="Z295" s="58"/>
    </row>
    <row r="296" spans="1:26" s="58" customFormat="1">
      <c r="D296" s="64"/>
      <c r="L296" s="55">
        <f>IF(ISBLANK(M296),"",MAX(L$5:L295)+1)</f>
        <v>79</v>
      </c>
      <c r="M296" s="56" t="s">
        <v>496</v>
      </c>
    </row>
    <row r="297" spans="1:26" s="58" customFormat="1">
      <c r="D297" s="64"/>
      <c r="L297" s="55" t="str">
        <f>IF(ISBLANK(M297),"",MAX(L$5:L296)+1)</f>
        <v/>
      </c>
      <c r="M297" s="83"/>
    </row>
    <row r="298" spans="1:26" s="58" customFormat="1">
      <c r="D298" s="64"/>
      <c r="L298" s="55" t="str">
        <f>IF(ISBLANK(M298),"",MAX(L$5:L297)+1)</f>
        <v/>
      </c>
      <c r="M298" s="83"/>
    </row>
    <row r="299" spans="1:26" s="83" customFormat="1">
      <c r="A299" s="58"/>
      <c r="B299" s="58"/>
      <c r="C299" s="58"/>
      <c r="D299" s="64"/>
      <c r="E299" s="58"/>
      <c r="F299" s="58"/>
      <c r="G299" s="58"/>
      <c r="H299" s="58"/>
      <c r="I299" s="58"/>
      <c r="J299" s="58"/>
      <c r="K299" s="58"/>
      <c r="L299" s="55" t="str">
        <f>IF(ISBLANK(M299),"",MAX(L$5:L298)+1)</f>
        <v/>
      </c>
      <c r="N299" s="58"/>
      <c r="O299" s="58"/>
      <c r="P299" s="58"/>
      <c r="Q299" s="58"/>
      <c r="R299" s="58"/>
      <c r="S299" s="58"/>
      <c r="T299" s="58"/>
      <c r="U299" s="58"/>
      <c r="V299" s="58"/>
      <c r="W299" s="58"/>
      <c r="X299" s="58"/>
      <c r="Y299" s="58"/>
      <c r="Z299" s="58"/>
    </row>
    <row r="300" spans="1:26" s="83" customFormat="1">
      <c r="A300" s="58"/>
      <c r="B300" s="58"/>
      <c r="C300" s="58"/>
      <c r="D300" s="64"/>
      <c r="E300" s="58"/>
      <c r="F300" s="58"/>
      <c r="G300" s="58"/>
      <c r="H300" s="58"/>
      <c r="I300" s="58"/>
      <c r="J300" s="58"/>
      <c r="K300" s="58"/>
      <c r="L300" s="55" t="str">
        <f>IF(ISBLANK(M300),"",MAX(L$5:L299)+1)</f>
        <v/>
      </c>
      <c r="N300" s="58"/>
      <c r="O300" s="58"/>
      <c r="P300" s="58"/>
      <c r="Q300" s="58"/>
      <c r="R300" s="58"/>
      <c r="S300" s="58"/>
      <c r="T300" s="58"/>
      <c r="U300" s="58"/>
      <c r="V300" s="58"/>
      <c r="W300" s="58"/>
      <c r="X300" s="58"/>
      <c r="Y300" s="58"/>
      <c r="Z300" s="58"/>
    </row>
    <row r="301" spans="1:26" s="83" customFormat="1">
      <c r="A301" s="58"/>
      <c r="B301" s="58"/>
      <c r="C301" s="58"/>
      <c r="D301" s="64"/>
      <c r="E301" s="58"/>
      <c r="F301" s="58"/>
      <c r="G301" s="58"/>
      <c r="H301" s="58"/>
      <c r="I301" s="58"/>
      <c r="J301" s="58"/>
      <c r="K301" s="58"/>
      <c r="L301" s="55" t="str">
        <f>IF(ISBLANK(M301),"",MAX(L$5:L300)+1)</f>
        <v/>
      </c>
      <c r="N301" s="58"/>
      <c r="O301" s="58"/>
      <c r="P301" s="58"/>
      <c r="Q301" s="58"/>
      <c r="R301" s="58"/>
      <c r="S301" s="58"/>
      <c r="T301" s="58"/>
      <c r="U301" s="58"/>
      <c r="V301" s="58"/>
      <c r="W301" s="58"/>
      <c r="X301" s="58"/>
      <c r="Y301" s="58"/>
      <c r="Z301" s="58"/>
    </row>
    <row r="302" spans="1:26" s="83" customFormat="1">
      <c r="C302" s="58"/>
      <c r="D302" s="64"/>
      <c r="E302" s="58"/>
      <c r="F302" s="58"/>
      <c r="G302" s="58"/>
      <c r="H302" s="58"/>
      <c r="I302" s="58"/>
      <c r="J302" s="58"/>
      <c r="K302" s="58"/>
      <c r="L302" s="55" t="str">
        <f>IF(ISBLANK(M302),"",MAX(L$5:L301)+1)</f>
        <v/>
      </c>
    </row>
    <row r="303" spans="1:26" s="83" customFormat="1">
      <c r="C303" s="58"/>
      <c r="D303" s="64"/>
      <c r="E303" s="58"/>
      <c r="F303" s="58"/>
      <c r="G303" s="58"/>
      <c r="H303" s="58"/>
      <c r="I303" s="58"/>
      <c r="J303" s="58"/>
      <c r="K303" s="58"/>
      <c r="L303" s="55" t="str">
        <f>IF(ISBLANK(M303),"",MAX(L$5:L302)+1)</f>
        <v/>
      </c>
    </row>
    <row r="304" spans="1:26" s="83" customFormat="1">
      <c r="C304" s="58"/>
      <c r="D304" s="64"/>
      <c r="E304" s="58"/>
      <c r="F304" s="58"/>
      <c r="G304" s="58"/>
      <c r="H304" s="58"/>
      <c r="I304" s="58"/>
      <c r="J304" s="58"/>
      <c r="K304" s="58"/>
      <c r="L304" s="55" t="str">
        <f>IF(ISBLANK(M304),"",MAX(L$5:L303)+1)</f>
        <v/>
      </c>
    </row>
    <row r="305" spans="1:26" s="83" customFormat="1">
      <c r="C305" s="58"/>
      <c r="D305" s="64"/>
      <c r="E305" s="58"/>
      <c r="F305" s="58"/>
      <c r="G305" s="58"/>
      <c r="H305" s="58"/>
      <c r="I305" s="58"/>
      <c r="J305" s="58"/>
      <c r="K305" s="58"/>
      <c r="L305" s="55" t="str">
        <f>IF(ISBLANK(M305),"",MAX(L$5:L304)+1)</f>
        <v/>
      </c>
    </row>
    <row r="306" spans="1:26" s="83" customFormat="1">
      <c r="C306" s="58"/>
      <c r="D306" s="64"/>
      <c r="E306" s="58"/>
      <c r="F306" s="58"/>
      <c r="G306" s="58"/>
      <c r="H306" s="58"/>
      <c r="I306" s="58"/>
      <c r="J306" s="58"/>
      <c r="K306" s="58"/>
      <c r="L306" s="55" t="str">
        <f>IF(ISBLANK(M306),"",MAX(L$5:L305)+1)</f>
        <v/>
      </c>
    </row>
    <row r="307" spans="1:26" s="83" customFormat="1">
      <c r="C307" s="58"/>
      <c r="D307" s="64"/>
      <c r="E307" s="58"/>
      <c r="F307" s="58"/>
      <c r="G307" s="58"/>
      <c r="H307" s="58"/>
      <c r="I307" s="58"/>
      <c r="J307" s="58"/>
      <c r="K307" s="58"/>
      <c r="L307" s="55" t="str">
        <f>IF(ISBLANK(M307),"",MAX(L$5:L306)+1)</f>
        <v/>
      </c>
    </row>
    <row r="308" spans="1:26" s="83" customFormat="1">
      <c r="C308" s="58"/>
      <c r="D308" s="64"/>
      <c r="E308" s="58"/>
      <c r="F308" s="58"/>
      <c r="G308" s="58"/>
      <c r="H308" s="58"/>
      <c r="I308" s="58"/>
      <c r="J308" s="58"/>
      <c r="K308" s="58"/>
      <c r="L308" s="55" t="str">
        <f>IF(ISBLANK(M308),"",MAX(L$5:L307)+1)</f>
        <v/>
      </c>
    </row>
    <row r="309" spans="1:26" s="83" customFormat="1">
      <c r="C309" s="58"/>
      <c r="D309" s="64"/>
      <c r="E309" s="58"/>
      <c r="F309" s="58"/>
      <c r="G309" s="58"/>
      <c r="H309" s="58"/>
      <c r="I309" s="58"/>
      <c r="J309" s="58"/>
      <c r="K309" s="58"/>
      <c r="L309" s="55" t="str">
        <f>IF(ISBLANK(M309),"",MAX(L$5:L308)+1)</f>
        <v/>
      </c>
    </row>
    <row r="310" spans="1:26" s="83" customFormat="1">
      <c r="C310" s="58"/>
      <c r="D310" s="64"/>
      <c r="E310" s="58"/>
      <c r="F310" s="58"/>
      <c r="G310" s="58"/>
      <c r="H310" s="58"/>
      <c r="I310" s="58"/>
      <c r="J310" s="58"/>
      <c r="K310" s="58"/>
      <c r="L310" s="55" t="str">
        <f>IF(ISBLANK(M310),"",MAX(L$5:L309)+1)</f>
        <v/>
      </c>
    </row>
    <row r="311" spans="1:26" s="83" customFormat="1">
      <c r="C311" s="58"/>
      <c r="D311" s="64"/>
      <c r="E311" s="58"/>
      <c r="F311" s="58"/>
      <c r="G311" s="58"/>
      <c r="H311" s="58"/>
      <c r="I311" s="58"/>
      <c r="J311" s="58"/>
      <c r="K311" s="58"/>
      <c r="L311" s="55" t="str">
        <f>IF(ISBLANK(M311),"",MAX(L$5:L310)+1)</f>
        <v/>
      </c>
    </row>
    <row r="312" spans="1:26" s="83" customFormat="1">
      <c r="C312" s="58"/>
      <c r="D312" s="64"/>
      <c r="E312" s="58"/>
      <c r="F312" s="58"/>
      <c r="G312" s="58"/>
      <c r="H312" s="58"/>
      <c r="I312" s="58"/>
      <c r="J312" s="58"/>
      <c r="K312" s="58"/>
      <c r="L312" s="55" t="str">
        <f>IF(ISBLANK(M312),"",MAX(L$5:L311)+1)</f>
        <v/>
      </c>
    </row>
    <row r="313" spans="1:26" s="83" customFormat="1">
      <c r="C313" s="58"/>
      <c r="D313" s="64"/>
      <c r="E313" s="58"/>
      <c r="F313" s="58"/>
      <c r="G313" s="58"/>
      <c r="H313" s="58"/>
      <c r="I313" s="58"/>
      <c r="J313" s="58"/>
      <c r="K313" s="58"/>
      <c r="L313" s="55" t="str">
        <f>IF(ISBLANK(M313),"",MAX(L$5:L312)+1)</f>
        <v/>
      </c>
    </row>
    <row r="314" spans="1:26" s="83" customFormat="1">
      <c r="C314" s="58"/>
      <c r="D314" s="64"/>
      <c r="E314" s="58"/>
      <c r="F314" s="58"/>
      <c r="G314" s="58"/>
      <c r="H314" s="58"/>
      <c r="I314" s="58"/>
      <c r="J314" s="58"/>
      <c r="K314" s="58"/>
      <c r="L314" s="55" t="str">
        <f>IF(ISBLANK(M314),"",MAX(L$5:L313)+1)</f>
        <v/>
      </c>
    </row>
    <row r="315" spans="1:26" s="83" customFormat="1">
      <c r="C315" s="58"/>
      <c r="D315" s="64"/>
      <c r="E315" s="58"/>
      <c r="F315" s="58"/>
      <c r="G315" s="58"/>
      <c r="H315" s="58"/>
      <c r="I315" s="58"/>
      <c r="J315" s="58"/>
      <c r="K315" s="58"/>
      <c r="L315" s="55" t="str">
        <f>IF(ISBLANK(M315),"",MAX(L$5:L314)+1)</f>
        <v/>
      </c>
    </row>
    <row r="316" spans="1:26" s="83" customFormat="1">
      <c r="C316" s="58"/>
      <c r="D316" s="64"/>
      <c r="E316" s="58"/>
      <c r="F316" s="58"/>
      <c r="G316" s="58"/>
      <c r="H316" s="58"/>
      <c r="I316" s="58"/>
      <c r="J316" s="58"/>
      <c r="K316" s="58"/>
      <c r="L316" s="55" t="str">
        <f>IF(ISBLANK(M316),"",MAX(L$5:L315)+1)</f>
        <v/>
      </c>
    </row>
    <row r="317" spans="1:26" s="83" customFormat="1">
      <c r="C317" s="58"/>
      <c r="D317" s="64"/>
      <c r="E317" s="58"/>
      <c r="F317" s="58"/>
      <c r="G317" s="58"/>
      <c r="H317" s="58"/>
      <c r="I317" s="58"/>
      <c r="J317" s="58"/>
      <c r="K317" s="58"/>
      <c r="L317" s="55" t="str">
        <f>IF(ISBLANK(M317),"",MAX(L$5:L316)+1)</f>
        <v/>
      </c>
    </row>
    <row r="318" spans="1:26" s="83" customFormat="1">
      <c r="A318" s="58"/>
      <c r="B318" s="58"/>
      <c r="C318" s="58"/>
      <c r="D318" s="64"/>
      <c r="E318" s="58"/>
      <c r="F318" s="58"/>
      <c r="G318" s="58"/>
      <c r="H318" s="58"/>
      <c r="I318" s="58"/>
      <c r="J318" s="58"/>
      <c r="K318" s="58"/>
      <c r="L318" s="55" t="str">
        <f>IF(ISBLANK(M318),"",MAX(L$5:L317)+1)</f>
        <v/>
      </c>
      <c r="N318" s="58"/>
      <c r="O318" s="58"/>
      <c r="P318" s="58"/>
      <c r="Q318" s="58"/>
      <c r="R318" s="58"/>
      <c r="S318" s="58"/>
      <c r="T318" s="58"/>
      <c r="U318" s="58"/>
      <c r="V318" s="58"/>
      <c r="W318" s="58"/>
      <c r="X318" s="58"/>
      <c r="Y318" s="58"/>
      <c r="Z318" s="58"/>
    </row>
    <row r="319" spans="1:26" s="58" customFormat="1">
      <c r="D319" s="64"/>
      <c r="L319" s="55" t="str">
        <f>IF(ISBLANK(M319),"",MAX(L$5:L318)+1)</f>
        <v/>
      </c>
      <c r="M319" s="83"/>
    </row>
    <row r="320" spans="1:26" s="58" customFormat="1">
      <c r="D320" s="64"/>
      <c r="L320" s="55" t="str">
        <f>IF(ISBLANK(M320),"",MAX(L$5:L319)+1)</f>
        <v/>
      </c>
      <c r="M320" s="83"/>
    </row>
    <row r="321" spans="2:26" s="58" customFormat="1">
      <c r="D321" s="64"/>
      <c r="L321" s="55" t="str">
        <f>IF(ISBLANK(M321),"",MAX(L$5:L320)+1)</f>
        <v/>
      </c>
      <c r="M321" s="83"/>
    </row>
    <row r="322" spans="2:26" s="58" customFormat="1">
      <c r="D322" s="64"/>
      <c r="L322" s="55" t="str">
        <f>IF(ISBLANK(M322),"",MAX(L$5:L321)+1)</f>
        <v/>
      </c>
      <c r="M322" s="83"/>
    </row>
    <row r="323" spans="2:26" s="58" customFormat="1">
      <c r="D323" s="64"/>
      <c r="L323" s="55" t="str">
        <f>IF(ISBLANK(M323),"",MAX(L$5:L322)+1)</f>
        <v/>
      </c>
      <c r="M323" s="83"/>
    </row>
    <row r="324" spans="2:26" s="58" customFormat="1">
      <c r="D324" s="64"/>
      <c r="L324" s="55" t="str">
        <f>IF(ISBLANK(M324),"",MAX(L$5:L323)+1)</f>
        <v/>
      </c>
      <c r="M324" s="83"/>
    </row>
    <row r="325" spans="2:26" s="58" customFormat="1">
      <c r="D325" s="64"/>
      <c r="L325" s="55" t="str">
        <f>IF(ISBLANK(M325),"",MAX(L$5:L324)+1)</f>
        <v/>
      </c>
      <c r="M325" s="83"/>
    </row>
    <row r="326" spans="2:26" s="58" customFormat="1">
      <c r="D326" s="64"/>
      <c r="L326" s="55" t="str">
        <f>IF(ISBLANK(M326),"",MAX(L$5:L325)+1)</f>
        <v/>
      </c>
      <c r="M326" s="83"/>
    </row>
    <row r="327" spans="2:26" s="58" customFormat="1">
      <c r="B327" s="53" t="s">
        <v>497</v>
      </c>
      <c r="D327" s="64"/>
      <c r="L327" s="55">
        <f>IF(ISBLANK(M327),"",MAX(L$5:L326)+1)</f>
        <v>80</v>
      </c>
      <c r="M327" s="83" t="s">
        <v>498</v>
      </c>
    </row>
    <row r="328" spans="2:26" s="58" customFormat="1" outlineLevel="1">
      <c r="B328" s="59" t="s">
        <v>499</v>
      </c>
      <c r="D328" s="64"/>
      <c r="L328" s="55">
        <f>IF(ISBLANK(M328),"",MAX(L$5:L327)+1)</f>
        <v>81</v>
      </c>
      <c r="M328" s="83" t="s">
        <v>500</v>
      </c>
    </row>
    <row r="329" spans="2:26" s="58" customFormat="1" outlineLevel="1">
      <c r="B329" s="124" t="s">
        <v>396</v>
      </c>
      <c r="D329" s="64"/>
      <c r="L329" s="55" t="str">
        <f>IF(ISBLANK(M329),"",MAX(L$5:L328)+1)</f>
        <v/>
      </c>
      <c r="M329" s="83"/>
    </row>
    <row r="330" spans="2:26" s="58" customFormat="1" outlineLevel="1">
      <c r="B330" s="124" t="s">
        <v>501</v>
      </c>
      <c r="D330" s="64"/>
      <c r="L330" s="55" t="str">
        <f>IF(ISBLANK(M330),"",MAX(L$5:L329)+1)</f>
        <v/>
      </c>
      <c r="M330" s="83"/>
    </row>
    <row r="331" spans="2:26" s="58" customFormat="1" outlineLevel="1">
      <c r="B331" s="124" t="s">
        <v>502</v>
      </c>
      <c r="D331" s="64"/>
      <c r="L331" s="55" t="str">
        <f>IF(ISBLANK(M331),"",MAX(L$5:L330)+1)</f>
        <v/>
      </c>
      <c r="M331" s="83"/>
    </row>
    <row r="332" spans="2:26" s="58" customFormat="1" outlineLevel="1">
      <c r="B332" s="57"/>
      <c r="D332" s="64"/>
      <c r="L332" s="55" t="str">
        <f>IF(ISBLANK(M332),"",MAX(L$5:L331)+1)</f>
        <v/>
      </c>
      <c r="M332" s="83"/>
    </row>
    <row r="333" spans="2:26" s="58" customFormat="1" outlineLevel="1">
      <c r="B333" s="59" t="s">
        <v>503</v>
      </c>
      <c r="D333" s="64"/>
      <c r="L333" s="55">
        <f>IF(ISBLANK(M333),"",MAX(L$5:L332)+1)</f>
        <v>82</v>
      </c>
      <c r="M333" s="83" t="s">
        <v>504</v>
      </c>
    </row>
    <row r="334" spans="2:26" s="58" customFormat="1" outlineLevel="1">
      <c r="B334" s="57" t="s">
        <v>505</v>
      </c>
      <c r="D334" s="64"/>
      <c r="L334" s="55" t="str">
        <f>IF(ISBLANK(M334),"",MAX(L$5:L333)+1)</f>
        <v/>
      </c>
      <c r="M334" s="83"/>
    </row>
    <row r="335" spans="2:26" s="58" customFormat="1" outlineLevel="1">
      <c r="B335" s="57" t="s">
        <v>506</v>
      </c>
      <c r="D335" s="64"/>
      <c r="L335" s="55" t="str">
        <f>IF(ISBLANK(M335),"",MAX(L$5:L334)+1)</f>
        <v/>
      </c>
      <c r="M335" s="83"/>
    </row>
    <row r="336" spans="2:26" s="83" customFormat="1" outlineLevel="1">
      <c r="B336" s="57" t="s">
        <v>507</v>
      </c>
      <c r="C336" s="58"/>
      <c r="D336" s="64"/>
      <c r="E336" s="58"/>
      <c r="F336" s="58"/>
      <c r="G336" s="58"/>
      <c r="H336" s="58"/>
      <c r="I336" s="58"/>
      <c r="J336" s="58"/>
      <c r="K336" s="58"/>
      <c r="L336" s="55" t="str">
        <f>IF(ISBLANK(M336),"",MAX(L$5:L335)+1)</f>
        <v/>
      </c>
      <c r="N336" s="58"/>
      <c r="O336" s="58"/>
      <c r="P336" s="58"/>
      <c r="Q336" s="58"/>
      <c r="R336" s="58"/>
      <c r="S336" s="58"/>
      <c r="T336" s="58"/>
      <c r="U336" s="58"/>
      <c r="V336" s="58"/>
      <c r="W336" s="58"/>
      <c r="X336" s="58"/>
      <c r="Y336" s="58"/>
      <c r="Z336" s="58"/>
    </row>
    <row r="337" spans="2:26" s="83" customFormat="1" outlineLevel="1">
      <c r="B337" s="58"/>
      <c r="C337" s="58"/>
      <c r="D337" s="64"/>
      <c r="E337" s="58"/>
      <c r="F337" s="58"/>
      <c r="G337" s="58"/>
      <c r="H337" s="58"/>
      <c r="I337" s="58"/>
      <c r="J337" s="58"/>
      <c r="K337" s="58"/>
      <c r="L337" s="55" t="str">
        <f>IF(ISBLANK(M337),"",MAX(L$5:L336)+1)</f>
        <v/>
      </c>
      <c r="N337" s="58"/>
      <c r="O337" s="58"/>
      <c r="P337" s="58"/>
      <c r="Q337" s="58"/>
      <c r="R337" s="58"/>
      <c r="S337" s="58"/>
      <c r="T337" s="58"/>
      <c r="U337" s="58"/>
      <c r="V337" s="58"/>
      <c r="W337" s="58"/>
      <c r="X337" s="58"/>
      <c r="Y337" s="58"/>
      <c r="Z337" s="58"/>
    </row>
  </sheetData>
  <conditionalFormatting sqref="E9">
    <cfRule type="expression" dxfId="0" priority="4">
      <formula>SUM(E202:K202)&lt;&gt;0</formula>
    </cfRule>
  </conditionalFormatting>
  <conditionalFormatting sqref="E205:K209 C205:C209">
    <cfRule type="colorScale" priority="3">
      <colorScale>
        <cfvo type="min"/>
        <cfvo type="percentile" val="50"/>
        <cfvo type="max"/>
        <color theme="0"/>
        <color rgb="FFFFEB84"/>
        <color rgb="FF63BE7B"/>
      </colorScale>
    </cfRule>
  </conditionalFormatting>
  <conditionalFormatting sqref="E214:K218 C214:C218">
    <cfRule type="colorScale" priority="2">
      <colorScale>
        <cfvo type="min"/>
        <cfvo type="percentile" val="50"/>
        <cfvo type="max"/>
        <color theme="0"/>
        <color rgb="FFFFEB84"/>
        <color rgb="FF63BE7B"/>
      </colorScale>
    </cfRule>
  </conditionalFormatting>
  <conditionalFormatting sqref="E242:K249 C242:C249">
    <cfRule type="colorScale" priority="1">
      <colorScale>
        <cfvo type="min"/>
        <cfvo type="percentile" val="50"/>
        <cfvo type="max"/>
        <color theme="0"/>
        <color rgb="FFFFEB84"/>
        <color rgb="FF63BE7B"/>
      </colorScale>
    </cfRule>
  </conditionalFormatting>
  <dataValidations count="4">
    <dataValidation type="list" allowBlank="1" showInputMessage="1" showErrorMessage="1" sqref="E44:H44" xr:uid="{084FB402-D4FC-8E41-BED4-8FC5BE94F45C}">
      <formula1>$B$334:$B$336</formula1>
    </dataValidation>
    <dataValidation type="list" allowBlank="1" showInputMessage="1" showErrorMessage="1" sqref="E57:J58" xr:uid="{D620E4AC-9A3E-5545-A745-D3C47675ECC2}">
      <formula1>$E$56:$K$56</formula1>
    </dataValidation>
    <dataValidation type="list" allowBlank="1" showInputMessage="1" showErrorMessage="1" sqref="E50:H50" xr:uid="{B190FC27-0F7F-EE49-9603-8B9F6DB7459D}">
      <formula1>$B$329:$B$331</formula1>
    </dataValidation>
    <dataValidation type="list" allowBlank="1" showInputMessage="1" showErrorMessage="1" sqref="E8" xr:uid="{5AFA77EA-47B8-3243-8C2D-276B892542BD}">
      <formula1>"no,yes"</formula1>
    </dataValidation>
  </dataValidations>
  <pageMargins left="0.75" right="0.75" top="1" bottom="1" header="0.5" footer="0.5"/>
  <pageSetup orientation="portrait" horizontalDpi="4294967292" verticalDpi="4294967292"/>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2:P150"/>
  <sheetViews>
    <sheetView showGridLines="0" workbookViewId="0">
      <selection activeCell="E8" sqref="E8"/>
    </sheetView>
  </sheetViews>
  <sheetFormatPr baseColWidth="10" defaultRowHeight="20" outlineLevelRow="1"/>
  <cols>
    <col min="1" max="1" width="6.83203125" style="126" customWidth="1"/>
    <col min="2" max="2" width="53.83203125" style="130" customWidth="1"/>
    <col min="3" max="3" width="5.1640625" style="126" customWidth="1"/>
    <col min="4" max="4" width="20.83203125" style="130" customWidth="1"/>
    <col min="5" max="5" width="20.83203125" style="129" customWidth="1"/>
    <col min="6" max="9" width="20.83203125" style="130" customWidth="1"/>
    <col min="10" max="10" width="9.83203125" style="130" customWidth="1"/>
    <col min="11" max="11" width="18.1640625" style="131" customWidth="1"/>
    <col min="12" max="15" width="18.1640625" style="130" customWidth="1"/>
    <col min="16" max="16" width="14.33203125" style="130" bestFit="1" customWidth="1"/>
    <col min="17" max="16384" width="10.83203125" style="130"/>
  </cols>
  <sheetData>
    <row r="2" spans="2:11">
      <c r="B2" s="127" t="s">
        <v>169</v>
      </c>
      <c r="C2" s="128"/>
      <c r="D2" s="129"/>
    </row>
    <row r="3" spans="2:11">
      <c r="B3" s="132" t="s">
        <v>204</v>
      </c>
      <c r="D3" s="133"/>
      <c r="F3" s="134"/>
      <c r="K3" s="130" t="s">
        <v>170</v>
      </c>
    </row>
    <row r="4" spans="2:11">
      <c r="B4" s="132" t="s">
        <v>205</v>
      </c>
      <c r="D4" s="133"/>
      <c r="F4" s="134"/>
      <c r="K4" s="130" t="s">
        <v>171</v>
      </c>
    </row>
    <row r="5" spans="2:11">
      <c r="D5" s="133"/>
    </row>
    <row r="6" spans="2:11">
      <c r="B6" s="130" t="s">
        <v>201</v>
      </c>
      <c r="D6" s="135" t="s">
        <v>6</v>
      </c>
      <c r="E6" s="135" t="s">
        <v>11</v>
      </c>
      <c r="F6" s="135" t="s">
        <v>12</v>
      </c>
      <c r="G6" s="135" t="s">
        <v>13</v>
      </c>
      <c r="H6" s="135" t="s">
        <v>14</v>
      </c>
      <c r="I6" s="135" t="s">
        <v>15</v>
      </c>
      <c r="K6" s="131" t="s">
        <v>172</v>
      </c>
    </row>
    <row r="8" spans="2:11">
      <c r="B8" s="127" t="s">
        <v>195</v>
      </c>
      <c r="D8" s="126"/>
      <c r="E8" s="126"/>
      <c r="F8" s="126"/>
      <c r="G8" s="126"/>
      <c r="H8" s="126"/>
      <c r="I8" s="126"/>
    </row>
    <row r="9" spans="2:11">
      <c r="B9" s="130" t="s">
        <v>175</v>
      </c>
      <c r="C9" s="126" t="s">
        <v>22</v>
      </c>
      <c r="D9" s="136">
        <v>1</v>
      </c>
      <c r="E9" s="137">
        <v>0.5</v>
      </c>
      <c r="F9" s="137">
        <v>0.25</v>
      </c>
      <c r="G9" s="137">
        <v>0.25</v>
      </c>
      <c r="H9" s="137">
        <v>0.25</v>
      </c>
      <c r="I9" s="137">
        <v>0.25</v>
      </c>
      <c r="K9" s="131" t="s">
        <v>173</v>
      </c>
    </row>
    <row r="10" spans="2:11">
      <c r="B10" s="130" t="str">
        <f>"% of "&amp;D6&amp;" Companies that raise this round"</f>
        <v>% of Seed Companies that raise this round</v>
      </c>
      <c r="C10" s="126" t="s">
        <v>22</v>
      </c>
      <c r="D10" s="138">
        <f>D9</f>
        <v>1</v>
      </c>
      <c r="E10" s="139">
        <f>E9*D10</f>
        <v>0.5</v>
      </c>
      <c r="F10" s="139">
        <f>F9*E10</f>
        <v>0.125</v>
      </c>
      <c r="G10" s="139">
        <f>G9*F10</f>
        <v>3.125E-2</v>
      </c>
      <c r="H10" s="139">
        <f>H9*G10</f>
        <v>7.8125E-3</v>
      </c>
      <c r="I10" s="139">
        <f>I9*H10</f>
        <v>1.953125E-3</v>
      </c>
      <c r="J10" s="138"/>
      <c r="K10" s="131" t="s">
        <v>174</v>
      </c>
    </row>
    <row r="11" spans="2:11">
      <c r="B11" s="130" t="s">
        <v>176</v>
      </c>
      <c r="C11" s="126" t="s">
        <v>130</v>
      </c>
      <c r="D11" s="140">
        <v>0</v>
      </c>
      <c r="E11" s="141">
        <v>10</v>
      </c>
      <c r="F11" s="141">
        <v>6</v>
      </c>
      <c r="G11" s="141">
        <v>5</v>
      </c>
      <c r="H11" s="141">
        <v>2.5</v>
      </c>
      <c r="I11" s="141">
        <v>1.6</v>
      </c>
      <c r="K11" s="131" t="s">
        <v>177</v>
      </c>
    </row>
    <row r="12" spans="2:11">
      <c r="B12" s="130" t="s">
        <v>160</v>
      </c>
      <c r="C12" s="126" t="s">
        <v>130</v>
      </c>
      <c r="D12" s="140">
        <v>0</v>
      </c>
      <c r="E12" s="141">
        <v>5</v>
      </c>
      <c r="F12" s="141">
        <v>3.5</v>
      </c>
      <c r="G12" s="141">
        <v>2</v>
      </c>
      <c r="H12" s="141">
        <v>2</v>
      </c>
      <c r="I12" s="141">
        <v>2</v>
      </c>
      <c r="K12" s="131" t="s">
        <v>178</v>
      </c>
    </row>
    <row r="13" spans="2:11">
      <c r="B13" s="130" t="s">
        <v>161</v>
      </c>
      <c r="C13" s="126" t="s">
        <v>130</v>
      </c>
      <c r="D13" s="140">
        <v>0</v>
      </c>
      <c r="E13" s="142">
        <v>18</v>
      </c>
      <c r="F13" s="142">
        <v>18</v>
      </c>
      <c r="G13" s="142">
        <v>18</v>
      </c>
      <c r="H13" s="142">
        <v>18</v>
      </c>
      <c r="I13" s="142">
        <v>18</v>
      </c>
      <c r="K13" s="131" t="s">
        <v>179</v>
      </c>
    </row>
    <row r="14" spans="2:11">
      <c r="B14" s="130" t="s">
        <v>17</v>
      </c>
      <c r="C14" s="126" t="s">
        <v>156</v>
      </c>
      <c r="D14" s="143">
        <v>43101</v>
      </c>
      <c r="E14" s="144">
        <f>EDATE(D14,E13)</f>
        <v>43647</v>
      </c>
      <c r="F14" s="144">
        <f>EDATE(E14,F13)</f>
        <v>44197</v>
      </c>
      <c r="G14" s="144">
        <f>EDATE(F14,G13)</f>
        <v>44743</v>
      </c>
      <c r="H14" s="144">
        <f>EDATE(G14,H13)</f>
        <v>45292</v>
      </c>
      <c r="I14" s="144">
        <f>EDATE(H14,I13)</f>
        <v>45839</v>
      </c>
      <c r="K14" s="131" t="s">
        <v>180</v>
      </c>
    </row>
    <row r="15" spans="2:11">
      <c r="B15" s="130" t="s">
        <v>162</v>
      </c>
      <c r="C15" s="145" t="s">
        <v>124</v>
      </c>
      <c r="D15" s="142">
        <v>1000000</v>
      </c>
      <c r="E15" s="146">
        <f>E12*D15</f>
        <v>5000000</v>
      </c>
      <c r="F15" s="146">
        <f>F12*E15</f>
        <v>17500000</v>
      </c>
      <c r="G15" s="146">
        <f>G12*F15</f>
        <v>35000000</v>
      </c>
      <c r="H15" s="146">
        <f>H12*G15</f>
        <v>70000000</v>
      </c>
      <c r="I15" s="146">
        <f>I12*H15</f>
        <v>140000000</v>
      </c>
      <c r="J15" s="147"/>
      <c r="K15" s="131" t="s">
        <v>181</v>
      </c>
    </row>
    <row r="16" spans="2:11">
      <c r="B16" s="130" t="s">
        <v>153</v>
      </c>
      <c r="C16" s="148" t="str">
        <f>$C$15</f>
        <v>$</v>
      </c>
      <c r="D16" s="142">
        <v>3000000</v>
      </c>
      <c r="E16" s="147">
        <f>E11*D16</f>
        <v>30000000</v>
      </c>
      <c r="F16" s="147">
        <f>F11*E16</f>
        <v>180000000</v>
      </c>
      <c r="G16" s="147">
        <f>G11*F16</f>
        <v>900000000</v>
      </c>
      <c r="H16" s="147">
        <f>H11*G16</f>
        <v>2250000000</v>
      </c>
      <c r="I16" s="147">
        <f>I11*H16</f>
        <v>3600000000</v>
      </c>
      <c r="K16" s="131" t="s">
        <v>182</v>
      </c>
    </row>
    <row r="17" spans="2:11">
      <c r="B17" s="130" t="s">
        <v>163</v>
      </c>
      <c r="C17" s="148" t="str">
        <f>$C$15</f>
        <v>$</v>
      </c>
      <c r="D17" s="147">
        <f t="shared" ref="D17:I17" si="0">D16+D15</f>
        <v>4000000</v>
      </c>
      <c r="E17" s="147">
        <f t="shared" si="0"/>
        <v>35000000</v>
      </c>
      <c r="F17" s="147">
        <f t="shared" si="0"/>
        <v>197500000</v>
      </c>
      <c r="G17" s="147">
        <f t="shared" si="0"/>
        <v>935000000</v>
      </c>
      <c r="H17" s="147">
        <f t="shared" si="0"/>
        <v>2320000000</v>
      </c>
      <c r="I17" s="147">
        <f t="shared" si="0"/>
        <v>3740000000</v>
      </c>
      <c r="K17" s="131" t="s">
        <v>183</v>
      </c>
    </row>
    <row r="18" spans="2:11">
      <c r="B18" s="130" t="s">
        <v>164</v>
      </c>
      <c r="C18" s="126" t="s">
        <v>130</v>
      </c>
      <c r="D18" s="142">
        <f>10000000</f>
        <v>10000000</v>
      </c>
      <c r="E18" s="146">
        <f>D22</f>
        <v>16666666.666666666</v>
      </c>
      <c r="F18" s="146">
        <f>E22</f>
        <v>24305555.555555552</v>
      </c>
      <c r="G18" s="146">
        <f>F22</f>
        <v>31374818.445896875</v>
      </c>
      <c r="H18" s="146">
        <f>G22</f>
        <v>38347000.322762847</v>
      </c>
      <c r="I18" s="146">
        <f>H22</f>
        <v>43933353.456202373</v>
      </c>
      <c r="K18" s="131" t="s">
        <v>184</v>
      </c>
    </row>
    <row r="19" spans="2:11">
      <c r="B19" s="130" t="s">
        <v>165</v>
      </c>
      <c r="C19" s="126" t="s">
        <v>130</v>
      </c>
      <c r="D19" s="147">
        <f t="shared" ref="D19:I19" si="1">D15/D23</f>
        <v>3333333.3333333335</v>
      </c>
      <c r="E19" s="147">
        <f t="shared" si="1"/>
        <v>2777777.7777777775</v>
      </c>
      <c r="F19" s="147">
        <f t="shared" si="1"/>
        <v>2363040.1234567896</v>
      </c>
      <c r="G19" s="147">
        <f t="shared" si="1"/>
        <v>1220131.8284515452</v>
      </c>
      <c r="H19" s="147">
        <f t="shared" si="1"/>
        <v>1193017.7878192884</v>
      </c>
      <c r="I19" s="147">
        <f t="shared" si="1"/>
        <v>1708519.3010745365</v>
      </c>
      <c r="K19" s="131" t="s">
        <v>186</v>
      </c>
    </row>
    <row r="20" spans="2:11">
      <c r="B20" s="130" t="s">
        <v>185</v>
      </c>
      <c r="C20" s="126" t="s">
        <v>22</v>
      </c>
      <c r="D20" s="137">
        <v>0.2</v>
      </c>
      <c r="E20" s="137">
        <v>0.2</v>
      </c>
      <c r="F20" s="137">
        <v>0.15</v>
      </c>
      <c r="G20" s="137">
        <v>0.15</v>
      </c>
      <c r="H20" s="137">
        <v>0.1</v>
      </c>
      <c r="I20" s="137">
        <v>0.05</v>
      </c>
      <c r="K20" s="131" t="s">
        <v>202</v>
      </c>
    </row>
    <row r="21" spans="2:11">
      <c r="B21" s="130" t="s">
        <v>187</v>
      </c>
      <c r="C21" s="126" t="s">
        <v>130</v>
      </c>
      <c r="D21" s="147">
        <f t="shared" ref="D21:I21" si="2">ROUND(D22-D18-D19,5)</f>
        <v>3333333.3333299998</v>
      </c>
      <c r="E21" s="147">
        <f t="shared" si="2"/>
        <v>4861111.1111099999</v>
      </c>
      <c r="F21" s="147">
        <f t="shared" si="2"/>
        <v>4706222.76688</v>
      </c>
      <c r="G21" s="147">
        <f t="shared" si="2"/>
        <v>5752050.0484100003</v>
      </c>
      <c r="H21" s="147">
        <f t="shared" si="2"/>
        <v>4393335.3456199998</v>
      </c>
      <c r="I21" s="147">
        <f t="shared" si="2"/>
        <v>2402203.8293300001</v>
      </c>
      <c r="K21" s="131" t="s">
        <v>188</v>
      </c>
    </row>
    <row r="22" spans="2:11">
      <c r="B22" s="130" t="s">
        <v>189</v>
      </c>
      <c r="C22" s="126" t="s">
        <v>130</v>
      </c>
      <c r="D22" s="147">
        <f t="shared" ref="D22:I22" si="3">(D18+D19)/(1-D20)</f>
        <v>16666666.666666666</v>
      </c>
      <c r="E22" s="147">
        <f t="shared" si="3"/>
        <v>24305555.555555552</v>
      </c>
      <c r="F22" s="147">
        <f t="shared" si="3"/>
        <v>31374818.445896875</v>
      </c>
      <c r="G22" s="147">
        <f t="shared" si="3"/>
        <v>38347000.322762847</v>
      </c>
      <c r="H22" s="147">
        <f t="shared" si="3"/>
        <v>43933353.456202373</v>
      </c>
      <c r="I22" s="147">
        <f t="shared" si="3"/>
        <v>48044076.58660727</v>
      </c>
      <c r="K22" s="149" t="s">
        <v>190</v>
      </c>
    </row>
    <row r="23" spans="2:11">
      <c r="B23" s="130" t="s">
        <v>32</v>
      </c>
      <c r="C23" s="148" t="str">
        <f>$C$15</f>
        <v>$</v>
      </c>
      <c r="D23" s="150">
        <f t="shared" ref="D23:I23" si="4">D16/D18</f>
        <v>0.3</v>
      </c>
      <c r="E23" s="150">
        <f t="shared" si="4"/>
        <v>1.8</v>
      </c>
      <c r="F23" s="150">
        <f t="shared" si="4"/>
        <v>7.4057142857142866</v>
      </c>
      <c r="G23" s="150">
        <f t="shared" si="4"/>
        <v>28.685424954792044</v>
      </c>
      <c r="H23" s="150">
        <f t="shared" si="4"/>
        <v>58.674732862074642</v>
      </c>
      <c r="I23" s="150">
        <f t="shared" si="4"/>
        <v>81.942299341862864</v>
      </c>
      <c r="K23" s="131" t="s">
        <v>191</v>
      </c>
    </row>
    <row r="24" spans="2:11">
      <c r="B24" s="130" t="s">
        <v>166</v>
      </c>
      <c r="C24" s="126" t="s">
        <v>130</v>
      </c>
      <c r="D24" s="147">
        <f>SUM($D19:D19)</f>
        <v>3333333.3333333335</v>
      </c>
      <c r="E24" s="147">
        <f>SUM($D19:E19)</f>
        <v>6111111.111111111</v>
      </c>
      <c r="F24" s="147">
        <f>SUM($D19:F19)</f>
        <v>8474151.2345679011</v>
      </c>
      <c r="G24" s="147">
        <f>SUM($D19:G19)</f>
        <v>9694283.063019447</v>
      </c>
      <c r="H24" s="147">
        <f>SUM($D19:H19)</f>
        <v>10887300.850838736</v>
      </c>
      <c r="I24" s="147">
        <f>SUM($D19:I19)</f>
        <v>12595820.151913272</v>
      </c>
      <c r="K24" s="131" t="s">
        <v>192</v>
      </c>
    </row>
    <row r="25" spans="2:11">
      <c r="B25" s="130" t="s">
        <v>200</v>
      </c>
      <c r="C25" s="126" t="s">
        <v>22</v>
      </c>
      <c r="D25" s="151">
        <f t="shared" ref="D25:I25" si="5">IFERROR(D24/D22,0)</f>
        <v>0.2</v>
      </c>
      <c r="E25" s="151">
        <f t="shared" si="5"/>
        <v>0.25142857142857145</v>
      </c>
      <c r="F25" s="151">
        <f t="shared" si="5"/>
        <v>0.27009403254972875</v>
      </c>
      <c r="G25" s="151">
        <f t="shared" si="5"/>
        <v>0.25280420844977808</v>
      </c>
      <c r="H25" s="151">
        <f t="shared" si="5"/>
        <v>0.24781401815120718</v>
      </c>
      <c r="I25" s="151">
        <f t="shared" si="5"/>
        <v>0.26217217702597023</v>
      </c>
      <c r="K25" s="131" t="s">
        <v>193</v>
      </c>
    </row>
    <row r="26" spans="2:11">
      <c r="D26" s="126"/>
      <c r="E26" s="126"/>
      <c r="F26" s="126"/>
      <c r="G26" s="126"/>
      <c r="H26" s="126"/>
      <c r="I26" s="126"/>
      <c r="J26" s="126"/>
    </row>
    <row r="27" spans="2:11">
      <c r="D27" s="126"/>
      <c r="E27" s="126"/>
      <c r="F27" s="126"/>
      <c r="G27" s="126"/>
      <c r="H27" s="126"/>
      <c r="I27" s="126"/>
      <c r="J27" s="126"/>
    </row>
    <row r="28" spans="2:11">
      <c r="B28" s="127" t="s">
        <v>194</v>
      </c>
      <c r="C28" s="128"/>
      <c r="D28" s="128"/>
      <c r="E28" s="128"/>
      <c r="F28" s="128"/>
      <c r="G28" s="128"/>
      <c r="H28" s="128"/>
      <c r="I28" s="128"/>
      <c r="J28" s="128"/>
    </row>
    <row r="29" spans="2:11">
      <c r="B29" s="152" t="s">
        <v>228</v>
      </c>
      <c r="C29" s="153" t="s">
        <v>22</v>
      </c>
      <c r="D29" s="154">
        <f>1-E9</f>
        <v>0.5</v>
      </c>
      <c r="E29" s="154">
        <f>1-F9</f>
        <v>0.75</v>
      </c>
      <c r="F29" s="154">
        <f>1-G9</f>
        <v>0.75</v>
      </c>
      <c r="G29" s="154">
        <f>1-H9</f>
        <v>0.75</v>
      </c>
      <c r="H29" s="154">
        <f>1-I9</f>
        <v>0.75</v>
      </c>
      <c r="I29" s="137">
        <v>1</v>
      </c>
      <c r="K29" s="131" t="s">
        <v>196</v>
      </c>
    </row>
    <row r="30" spans="2:11">
      <c r="B30" s="152" t="str">
        <f>"% of "&amp;D6&amp;" Companies that fail or exit at each stage"</f>
        <v>% of Seed Companies that fail or exit at each stage</v>
      </c>
      <c r="C30" s="153" t="s">
        <v>22</v>
      </c>
      <c r="D30" s="155">
        <f>D29</f>
        <v>0.5</v>
      </c>
      <c r="E30" s="156">
        <f>(1-SUM($D30:D30))*E29</f>
        <v>0.375</v>
      </c>
      <c r="F30" s="156">
        <f>(1-SUM($D30:E30))*F29</f>
        <v>9.375E-2</v>
      </c>
      <c r="G30" s="156">
        <f>(1-SUM($D30:F30))*G29</f>
        <v>2.34375E-2</v>
      </c>
      <c r="H30" s="156">
        <f>(1-SUM($D30:G30))*H29</f>
        <v>5.859375E-3</v>
      </c>
      <c r="I30" s="139">
        <f>(1-SUM($D30:H30))*I29</f>
        <v>1.953125E-3</v>
      </c>
      <c r="J30" s="138"/>
      <c r="K30" s="131" t="s">
        <v>197</v>
      </c>
    </row>
    <row r="31" spans="2:11">
      <c r="B31" s="152" t="str">
        <f>"% of Companies that fail, of the % of Companies that raised this round and fail or exit"</f>
        <v>% of Companies that fail, of the % of Companies that raised this round and fail or exit</v>
      </c>
      <c r="C31" s="153" t="s">
        <v>22</v>
      </c>
      <c r="D31" s="157">
        <v>0.8</v>
      </c>
      <c r="E31" s="157">
        <v>0.6</v>
      </c>
      <c r="F31" s="157">
        <v>0.35</v>
      </c>
      <c r="G31" s="157">
        <v>0.15</v>
      </c>
      <c r="H31" s="157">
        <v>0.1</v>
      </c>
      <c r="I31" s="157">
        <v>0.05</v>
      </c>
      <c r="J31" s="138"/>
      <c r="K31" s="131" t="s">
        <v>229</v>
      </c>
    </row>
    <row r="32" spans="2:11">
      <c r="B32" s="130" t="s">
        <v>198</v>
      </c>
      <c r="C32" s="126" t="s">
        <v>130</v>
      </c>
      <c r="D32" s="158">
        <v>1.2</v>
      </c>
      <c r="E32" s="158">
        <v>1.4</v>
      </c>
      <c r="F32" s="158">
        <v>1.4</v>
      </c>
      <c r="G32" s="158">
        <v>1.4</v>
      </c>
      <c r="H32" s="158">
        <v>1.2</v>
      </c>
      <c r="I32" s="158">
        <v>1.1000000000000001</v>
      </c>
      <c r="K32" s="131" t="s">
        <v>231</v>
      </c>
    </row>
    <row r="33" spans="2:11">
      <c r="B33" s="130" t="s">
        <v>199</v>
      </c>
      <c r="C33" s="126" t="s">
        <v>130</v>
      </c>
      <c r="D33" s="142">
        <v>12</v>
      </c>
      <c r="E33" s="142">
        <f>D33</f>
        <v>12</v>
      </c>
      <c r="F33" s="142">
        <f t="shared" ref="F33:I33" si="6">E33</f>
        <v>12</v>
      </c>
      <c r="G33" s="142">
        <f t="shared" si="6"/>
        <v>12</v>
      </c>
      <c r="H33" s="142">
        <f t="shared" si="6"/>
        <v>12</v>
      </c>
      <c r="I33" s="142">
        <f t="shared" si="6"/>
        <v>12</v>
      </c>
      <c r="K33" s="131" t="s">
        <v>230</v>
      </c>
    </row>
    <row r="34" spans="2:11">
      <c r="B34" s="130" t="s">
        <v>17</v>
      </c>
      <c r="C34" s="126" t="s">
        <v>156</v>
      </c>
      <c r="D34" s="159">
        <f t="shared" ref="D34:I34" si="7">EDATE(D14,D33)</f>
        <v>43466</v>
      </c>
      <c r="E34" s="159">
        <f t="shared" si="7"/>
        <v>44013</v>
      </c>
      <c r="F34" s="159">
        <f t="shared" si="7"/>
        <v>44562</v>
      </c>
      <c r="G34" s="159">
        <f t="shared" si="7"/>
        <v>45108</v>
      </c>
      <c r="H34" s="159">
        <f t="shared" si="7"/>
        <v>45658</v>
      </c>
      <c r="I34" s="159">
        <f t="shared" si="7"/>
        <v>46204</v>
      </c>
    </row>
    <row r="35" spans="2:11">
      <c r="B35" s="130" t="s">
        <v>167</v>
      </c>
      <c r="C35" s="148" t="str">
        <f>$C$15</f>
        <v>$</v>
      </c>
      <c r="D35" s="160">
        <f t="shared" ref="D35:I35" si="8">D22*D36</f>
        <v>1199999.9999999995</v>
      </c>
      <c r="E35" s="160">
        <f t="shared" si="8"/>
        <v>24499999.999999996</v>
      </c>
      <c r="F35" s="160">
        <f t="shared" si="8"/>
        <v>211441176.47058824</v>
      </c>
      <c r="G35" s="160">
        <f t="shared" si="8"/>
        <v>1308999999.9999998</v>
      </c>
      <c r="H35" s="160">
        <f t="shared" si="8"/>
        <v>2784000000</v>
      </c>
      <c r="I35" s="160">
        <f t="shared" si="8"/>
        <v>4114000000</v>
      </c>
      <c r="K35" s="131" t="s">
        <v>232</v>
      </c>
    </row>
    <row r="36" spans="2:11">
      <c r="B36" s="130" t="s">
        <v>168</v>
      </c>
      <c r="C36" s="148" t="str">
        <f>$C$15</f>
        <v>$</v>
      </c>
      <c r="D36" s="150">
        <f>D32*D23*(1-D31)</f>
        <v>7.1999999999999981E-2</v>
      </c>
      <c r="E36" s="150">
        <f t="shared" ref="E36:I36" si="9">E32*E23*(1-E31)</f>
        <v>1.008</v>
      </c>
      <c r="F36" s="150">
        <f t="shared" si="9"/>
        <v>6.7392000000000003</v>
      </c>
      <c r="G36" s="150">
        <f t="shared" si="9"/>
        <v>34.135655696202527</v>
      </c>
      <c r="H36" s="150">
        <f t="shared" si="9"/>
        <v>63.368711491040607</v>
      </c>
      <c r="I36" s="150">
        <f t="shared" si="9"/>
        <v>85.629702812246691</v>
      </c>
      <c r="K36" s="131" t="s">
        <v>233</v>
      </c>
    </row>
    <row r="37" spans="2:11">
      <c r="B37" s="130" t="s">
        <v>211</v>
      </c>
      <c r="C37" s="148" t="str">
        <f>$C$15</f>
        <v>$</v>
      </c>
      <c r="D37" s="160">
        <f t="shared" ref="D37:I37" si="10">D24*D36</f>
        <v>239999.99999999994</v>
      </c>
      <c r="E37" s="160">
        <f t="shared" si="10"/>
        <v>6160000</v>
      </c>
      <c r="F37" s="160">
        <f t="shared" si="10"/>
        <v>57109000</v>
      </c>
      <c r="G37" s="160">
        <f t="shared" si="10"/>
        <v>330920708.86075944</v>
      </c>
      <c r="H37" s="160">
        <f t="shared" si="10"/>
        <v>689914226.53296077</v>
      </c>
      <c r="I37" s="160">
        <f t="shared" si="10"/>
        <v>1078576336.2848415</v>
      </c>
      <c r="K37" s="131" t="s">
        <v>234</v>
      </c>
    </row>
    <row r="38" spans="2:11">
      <c r="C38" s="148"/>
      <c r="D38" s="160"/>
      <c r="E38" s="160"/>
      <c r="F38" s="160"/>
      <c r="G38" s="160"/>
      <c r="H38" s="160"/>
      <c r="I38" s="160"/>
    </row>
    <row r="39" spans="2:11">
      <c r="C39" s="148"/>
      <c r="D39" s="160"/>
      <c r="E39" s="160"/>
      <c r="F39" s="160"/>
      <c r="G39" s="160"/>
      <c r="H39" s="160"/>
      <c r="I39" s="160"/>
    </row>
    <row r="40" spans="2:11">
      <c r="B40" s="127" t="s">
        <v>235</v>
      </c>
      <c r="C40" s="148"/>
      <c r="D40" s="160"/>
      <c r="E40" s="160"/>
      <c r="F40" s="160"/>
      <c r="G40" s="160"/>
      <c r="H40" s="160"/>
      <c r="I40" s="160"/>
    </row>
    <row r="41" spans="2:11">
      <c r="B41" s="161" t="s">
        <v>247</v>
      </c>
      <c r="C41" s="148"/>
      <c r="D41" s="162" t="str">
        <f t="shared" ref="D41:I41" si="11">D6</f>
        <v>Seed</v>
      </c>
      <c r="E41" s="162" t="str">
        <f t="shared" si="11"/>
        <v>A</v>
      </c>
      <c r="F41" s="162" t="str">
        <f t="shared" si="11"/>
        <v>B</v>
      </c>
      <c r="G41" s="162" t="str">
        <f t="shared" si="11"/>
        <v>C</v>
      </c>
      <c r="H41" s="162" t="str">
        <f t="shared" si="11"/>
        <v>D</v>
      </c>
      <c r="I41" s="162" t="str">
        <f t="shared" si="11"/>
        <v>E</v>
      </c>
    </row>
    <row r="42" spans="2:11">
      <c r="C42" s="148"/>
      <c r="D42" s="160"/>
      <c r="E42" s="160"/>
      <c r="F42" s="160"/>
      <c r="G42" s="160"/>
      <c r="H42" s="160"/>
      <c r="I42" s="160"/>
    </row>
    <row r="43" spans="2:11">
      <c r="B43" s="130" t="s">
        <v>248</v>
      </c>
      <c r="C43" s="148"/>
      <c r="D43" s="163" t="str">
        <f t="shared" ref="D43:I43" si="12">IF(D15&gt;=1000000,$C$15&amp;ROUNDUP(D15/1000000,2)&amp;"m",$C$15&amp;ROUNDUP(D15/1000,0)&amp;"k")&amp;" at "</f>
        <v xml:space="preserve">$1m at </v>
      </c>
      <c r="E43" s="163" t="str">
        <f t="shared" si="12"/>
        <v xml:space="preserve">$5m at </v>
      </c>
      <c r="F43" s="163" t="str">
        <f t="shared" si="12"/>
        <v xml:space="preserve">$17.5m at </v>
      </c>
      <c r="G43" s="163" t="str">
        <f t="shared" si="12"/>
        <v xml:space="preserve">$35m at </v>
      </c>
      <c r="H43" s="163" t="str">
        <f t="shared" si="12"/>
        <v xml:space="preserve">$70m at </v>
      </c>
      <c r="I43" s="163" t="str">
        <f t="shared" si="12"/>
        <v xml:space="preserve">$140m at </v>
      </c>
    </row>
    <row r="44" spans="2:11">
      <c r="B44" s="130" t="s">
        <v>249</v>
      </c>
      <c r="C44" s="148"/>
      <c r="D44" s="163" t="str">
        <f t="shared" ref="D44:I44" si="13">IF(D16&gt;=1000000,$C$15&amp;ROUNDUP(D16/1000000,2)&amp;"m",$C$15&amp;ROUNDUP(D16/1000,0)&amp;"k")&amp;" pre"</f>
        <v>$3m pre</v>
      </c>
      <c r="E44" s="163" t="str">
        <f t="shared" si="13"/>
        <v>$30m pre</v>
      </c>
      <c r="F44" s="163" t="str">
        <f t="shared" si="13"/>
        <v>$180m pre</v>
      </c>
      <c r="G44" s="163" t="str">
        <f t="shared" si="13"/>
        <v>$900m pre</v>
      </c>
      <c r="H44" s="163" t="str">
        <f t="shared" si="13"/>
        <v>$2250m pre</v>
      </c>
      <c r="I44" s="163" t="str">
        <f t="shared" si="13"/>
        <v>$3600m pre</v>
      </c>
    </row>
    <row r="45" spans="2:11">
      <c r="C45" s="148"/>
      <c r="D45" s="160"/>
      <c r="E45" s="160"/>
      <c r="F45" s="160"/>
      <c r="G45" s="160"/>
      <c r="H45" s="160"/>
      <c r="I45" s="160"/>
    </row>
    <row r="46" spans="2:11">
      <c r="B46" s="130" t="s">
        <v>250</v>
      </c>
      <c r="C46" s="148"/>
      <c r="D46" s="163" t="str">
        <f>E9*100&amp;"% raise an "&amp;E41</f>
        <v>50% raise an A</v>
      </c>
      <c r="E46" s="163" t="str">
        <f>F9*100&amp;"% raise an "&amp;F41</f>
        <v>25% raise an B</v>
      </c>
      <c r="F46" s="163" t="str">
        <f>G9*100&amp;"% raise an "&amp;G41</f>
        <v>25% raise an C</v>
      </c>
      <c r="G46" s="163" t="str">
        <f>H9*100&amp;"% raise an "&amp;H41</f>
        <v>25% raise an D</v>
      </c>
      <c r="H46" s="163" t="str">
        <f>I9*100&amp;"% raise an "&amp;I41</f>
        <v>25% raise an E</v>
      </c>
      <c r="I46" s="163" t="str">
        <f>J9*100&amp;"% raise"</f>
        <v>0% raise</v>
      </c>
      <c r="K46" s="131" t="s">
        <v>246</v>
      </c>
    </row>
    <row r="47" spans="2:11">
      <c r="B47" s="130" t="s">
        <v>251</v>
      </c>
      <c r="C47" s="148"/>
      <c r="D47" s="163" t="str">
        <f t="shared" ref="D47:I47" si="14">D29*D31*100&amp;"% fail"</f>
        <v>40% fail</v>
      </c>
      <c r="E47" s="163" t="str">
        <f t="shared" si="14"/>
        <v>45% fail</v>
      </c>
      <c r="F47" s="163" t="str">
        <f t="shared" si="14"/>
        <v>26.25% fail</v>
      </c>
      <c r="G47" s="163" t="str">
        <f t="shared" si="14"/>
        <v>11.25% fail</v>
      </c>
      <c r="H47" s="163" t="str">
        <f t="shared" si="14"/>
        <v>7.5% fail</v>
      </c>
      <c r="I47" s="163" t="str">
        <f t="shared" si="14"/>
        <v>5% fail</v>
      </c>
    </row>
    <row r="48" spans="2:11">
      <c r="B48" s="130" t="s">
        <v>252</v>
      </c>
      <c r="C48" s="148"/>
      <c r="D48" s="163" t="str">
        <f t="shared" ref="D48:I48" si="15">D29*(1-D31)*100&amp;"% sell"</f>
        <v>10% sell</v>
      </c>
      <c r="E48" s="163" t="str">
        <f t="shared" si="15"/>
        <v>30% sell</v>
      </c>
      <c r="F48" s="163" t="str">
        <f t="shared" si="15"/>
        <v>48.75% sell</v>
      </c>
      <c r="G48" s="163" t="str">
        <f t="shared" si="15"/>
        <v>63.75% sell</v>
      </c>
      <c r="H48" s="163" t="str">
        <f t="shared" si="15"/>
        <v>67.5% sell</v>
      </c>
      <c r="I48" s="163" t="str">
        <f t="shared" si="15"/>
        <v>95% sell</v>
      </c>
    </row>
    <row r="49" spans="2:11">
      <c r="C49" s="148"/>
      <c r="D49" s="160"/>
      <c r="E49" s="160"/>
      <c r="F49" s="160"/>
      <c r="G49" s="160"/>
      <c r="H49" s="160"/>
      <c r="I49" s="160"/>
    </row>
    <row r="50" spans="2:11">
      <c r="C50" s="148"/>
      <c r="D50" s="160"/>
      <c r="E50" s="160"/>
      <c r="F50" s="160"/>
      <c r="G50" s="160"/>
      <c r="H50" s="160"/>
      <c r="I50" s="160"/>
    </row>
    <row r="51" spans="2:11">
      <c r="B51" s="127" t="s">
        <v>219</v>
      </c>
      <c r="C51" s="148"/>
      <c r="D51" s="160"/>
      <c r="E51" s="160"/>
      <c r="F51" s="160"/>
      <c r="G51" s="160"/>
      <c r="H51" s="160"/>
      <c r="I51" s="160"/>
    </row>
    <row r="52" spans="2:11">
      <c r="B52" s="130" t="s">
        <v>207</v>
      </c>
      <c r="C52" s="153" t="s">
        <v>22</v>
      </c>
      <c r="D52" s="157">
        <v>1</v>
      </c>
      <c r="E52" s="157">
        <v>1</v>
      </c>
      <c r="F52" s="157">
        <v>1</v>
      </c>
      <c r="G52" s="157">
        <v>1</v>
      </c>
      <c r="H52" s="157">
        <v>1</v>
      </c>
      <c r="I52" s="157">
        <v>1</v>
      </c>
      <c r="K52" s="130" t="s">
        <v>236</v>
      </c>
    </row>
    <row r="53" spans="2:11">
      <c r="B53" s="130" t="s">
        <v>206</v>
      </c>
      <c r="C53" s="148" t="str">
        <f>$C$15</f>
        <v>$</v>
      </c>
      <c r="D53" s="147">
        <f t="shared" ref="D53:I53" si="16">D52*D15</f>
        <v>1000000</v>
      </c>
      <c r="E53" s="147">
        <f t="shared" si="16"/>
        <v>5000000</v>
      </c>
      <c r="F53" s="147">
        <f t="shared" si="16"/>
        <v>17500000</v>
      </c>
      <c r="G53" s="147">
        <f t="shared" si="16"/>
        <v>35000000</v>
      </c>
      <c r="H53" s="147">
        <f t="shared" si="16"/>
        <v>70000000</v>
      </c>
      <c r="I53" s="147">
        <f t="shared" si="16"/>
        <v>140000000</v>
      </c>
      <c r="K53" s="130" t="s">
        <v>237</v>
      </c>
    </row>
    <row r="54" spans="2:11">
      <c r="B54" s="130" t="s">
        <v>209</v>
      </c>
      <c r="C54" s="148" t="s">
        <v>130</v>
      </c>
      <c r="D54" s="147">
        <f t="shared" ref="D54:I54" si="17">D53/D23</f>
        <v>3333333.3333333335</v>
      </c>
      <c r="E54" s="147">
        <f t="shared" si="17"/>
        <v>2777777.7777777775</v>
      </c>
      <c r="F54" s="147">
        <f t="shared" si="17"/>
        <v>2363040.1234567896</v>
      </c>
      <c r="G54" s="147">
        <f t="shared" si="17"/>
        <v>1220131.8284515452</v>
      </c>
      <c r="H54" s="147">
        <f t="shared" si="17"/>
        <v>1193017.7878192884</v>
      </c>
      <c r="I54" s="147">
        <f t="shared" si="17"/>
        <v>1708519.3010745365</v>
      </c>
      <c r="K54" s="130"/>
    </row>
    <row r="55" spans="2:11">
      <c r="B55" s="130" t="s">
        <v>210</v>
      </c>
      <c r="C55" s="148" t="s">
        <v>130</v>
      </c>
      <c r="D55" s="147">
        <f>SUM($D54:D54)</f>
        <v>3333333.3333333335</v>
      </c>
      <c r="E55" s="147">
        <f>SUM($D54:E54)</f>
        <v>6111111.111111111</v>
      </c>
      <c r="F55" s="147">
        <f>SUM($D54:F54)</f>
        <v>8474151.2345679011</v>
      </c>
      <c r="G55" s="147">
        <f>SUM($D54:G54)</f>
        <v>9694283.063019447</v>
      </c>
      <c r="H55" s="147">
        <f>SUM($D54:H54)</f>
        <v>10887300.850838736</v>
      </c>
      <c r="I55" s="147">
        <f>SUM($D54:I54)</f>
        <v>12595820.151913272</v>
      </c>
      <c r="K55" s="130"/>
    </row>
    <row r="56" spans="2:11">
      <c r="B56" s="130" t="s">
        <v>208</v>
      </c>
      <c r="C56" s="153" t="s">
        <v>22</v>
      </c>
      <c r="D56" s="164">
        <f t="shared" ref="D56:I56" si="18">D55/D22</f>
        <v>0.2</v>
      </c>
      <c r="E56" s="164">
        <f t="shared" si="18"/>
        <v>0.25142857142857145</v>
      </c>
      <c r="F56" s="164">
        <f t="shared" si="18"/>
        <v>0.27009403254972875</v>
      </c>
      <c r="G56" s="164">
        <f t="shared" si="18"/>
        <v>0.25280420844977808</v>
      </c>
      <c r="H56" s="164">
        <f t="shared" si="18"/>
        <v>0.24781401815120718</v>
      </c>
      <c r="I56" s="164">
        <f t="shared" si="18"/>
        <v>0.26217217702597023</v>
      </c>
      <c r="K56" s="165"/>
    </row>
    <row r="57" spans="2:11">
      <c r="B57" s="130" t="s">
        <v>212</v>
      </c>
      <c r="C57" s="148" t="str">
        <f>$C$15</f>
        <v>$</v>
      </c>
      <c r="D57" s="160">
        <f t="shared" ref="D57:I57" si="19">D55*D36</f>
        <v>239999.99999999994</v>
      </c>
      <c r="E57" s="160">
        <f t="shared" si="19"/>
        <v>6160000</v>
      </c>
      <c r="F57" s="160">
        <f t="shared" si="19"/>
        <v>57109000</v>
      </c>
      <c r="G57" s="160">
        <f t="shared" si="19"/>
        <v>330920708.86075944</v>
      </c>
      <c r="H57" s="160">
        <f t="shared" si="19"/>
        <v>689914226.53296077</v>
      </c>
      <c r="I57" s="160">
        <f t="shared" si="19"/>
        <v>1078576336.2848415</v>
      </c>
    </row>
    <row r="58" spans="2:11">
      <c r="C58" s="148"/>
      <c r="D58" s="160"/>
      <c r="E58" s="160"/>
      <c r="F58" s="160"/>
      <c r="G58" s="160"/>
      <c r="H58" s="160"/>
      <c r="I58" s="160"/>
    </row>
    <row r="59" spans="2:11">
      <c r="B59" s="130" t="s">
        <v>214</v>
      </c>
      <c r="C59" s="148" t="s">
        <v>130</v>
      </c>
      <c r="D59" s="166">
        <f>IFERROR(D57/(SUM($D53:D53)),"na")</f>
        <v>0.23999999999999994</v>
      </c>
      <c r="E59" s="166">
        <f>IFERROR(E57/(SUM($D53:E53)),"na")</f>
        <v>1.0266666666666666</v>
      </c>
      <c r="F59" s="166">
        <f>IFERROR(F57/(SUM($D53:F53)),"na")</f>
        <v>2.4301702127659572</v>
      </c>
      <c r="G59" s="166">
        <f>IFERROR(G57/(SUM($D53:G53)),"na")</f>
        <v>5.656764254030076</v>
      </c>
      <c r="H59" s="166">
        <f>IFERROR(H57/(SUM($D53:H53)),"na")</f>
        <v>5.3689823076495005</v>
      </c>
      <c r="I59" s="166">
        <f>IFERROR(I57/(SUM($D53:I53)),"na")</f>
        <v>4.0170440829975478</v>
      </c>
      <c r="K59" s="131" t="s">
        <v>238</v>
      </c>
    </row>
    <row r="60" spans="2:11">
      <c r="B60" s="130" t="s">
        <v>215</v>
      </c>
      <c r="C60" s="148" t="s">
        <v>22</v>
      </c>
      <c r="D60" s="167">
        <f>IFERROR((D57-SUM($D53:D53))/(SUM($D53:D53)),"na")</f>
        <v>-0.76</v>
      </c>
      <c r="E60" s="167">
        <f>IFERROR((E57-SUM($D53:E53))/(SUM($D53:E53)),"na")</f>
        <v>2.6666666666666668E-2</v>
      </c>
      <c r="F60" s="167">
        <f>IFERROR((F57-SUM($D53:F53))/(SUM($D53:F53)),"na")</f>
        <v>1.4301702127659575</v>
      </c>
      <c r="G60" s="167">
        <f>IFERROR((G57-SUM($D53:G53))/(SUM($D53:G53)),"na")</f>
        <v>4.656764254030076</v>
      </c>
      <c r="H60" s="167">
        <f>IFERROR((H57-SUM($D53:H53))/(SUM($D53:H53)),"na")</f>
        <v>4.3689823076495005</v>
      </c>
      <c r="I60" s="167">
        <f>IFERROR((I57-SUM($D53:I53))/(SUM($D53:I53)),"na")</f>
        <v>3.0170440829975478</v>
      </c>
      <c r="K60" s="131" t="s">
        <v>239</v>
      </c>
    </row>
    <row r="61" spans="2:11">
      <c r="B61" s="152" t="s">
        <v>217</v>
      </c>
      <c r="C61" s="168" t="s">
        <v>22</v>
      </c>
      <c r="D61" s="169">
        <f t="shared" ref="D61:I61" ca="1" si="20">IFERROR(LOOKUP(2,1/(ISNUMBER(D85:D90)),D85:D90),"na")</f>
        <v>-0.75999999754130854</v>
      </c>
      <c r="E61" s="169">
        <f t="shared" ca="1" si="20"/>
        <v>2.1185663342475892E-2</v>
      </c>
      <c r="F61" s="169">
        <f t="shared" ca="1" si="20"/>
        <v>0.70131539106369023</v>
      </c>
      <c r="G61" s="169">
        <f t="shared" ca="1" si="20"/>
        <v>1.0787555575370791</v>
      </c>
      <c r="H61" s="169">
        <f t="shared" ca="1" si="20"/>
        <v>0.8280052304267882</v>
      </c>
      <c r="I61" s="169">
        <f t="shared" ca="1" si="20"/>
        <v>0.59170518517494208</v>
      </c>
      <c r="K61" s="131" t="s">
        <v>240</v>
      </c>
    </row>
    <row r="62" spans="2:11">
      <c r="C62" s="148"/>
      <c r="D62" s="148"/>
      <c r="E62" s="148"/>
      <c r="F62" s="148"/>
      <c r="G62" s="148"/>
      <c r="H62" s="148"/>
      <c r="I62" s="148"/>
    </row>
    <row r="63" spans="2:11">
      <c r="C63" s="148"/>
      <c r="D63" s="160"/>
      <c r="E63" s="160"/>
      <c r="F63" s="160"/>
      <c r="G63" s="160"/>
      <c r="H63" s="160"/>
      <c r="I63" s="160"/>
    </row>
    <row r="64" spans="2:11">
      <c r="B64" s="127" t="s">
        <v>222</v>
      </c>
      <c r="C64" s="148"/>
      <c r="D64" s="160"/>
      <c r="E64" s="160"/>
      <c r="F64" s="160"/>
      <c r="G64" s="160"/>
      <c r="H64" s="160"/>
      <c r="I64" s="160"/>
    </row>
    <row r="65" spans="2:11">
      <c r="B65" s="132" t="s">
        <v>226</v>
      </c>
      <c r="C65" s="148"/>
      <c r="D65" s="160"/>
      <c r="E65" s="160"/>
      <c r="F65" s="160"/>
      <c r="G65" s="160"/>
      <c r="H65" s="160"/>
      <c r="I65" s="160"/>
    </row>
    <row r="66" spans="2:11">
      <c r="B66" s="132" t="s">
        <v>227</v>
      </c>
      <c r="C66" s="148"/>
      <c r="D66" s="160"/>
      <c r="E66" s="160"/>
      <c r="F66" s="160"/>
      <c r="G66" s="160"/>
      <c r="H66" s="160"/>
      <c r="I66" s="160"/>
    </row>
    <row r="67" spans="2:11">
      <c r="B67" s="127"/>
      <c r="C67" s="148"/>
      <c r="D67" s="160"/>
      <c r="E67" s="160"/>
      <c r="F67" s="160"/>
      <c r="G67" s="160"/>
      <c r="H67" s="160"/>
      <c r="I67" s="160"/>
    </row>
    <row r="68" spans="2:11">
      <c r="B68" s="130" t="s">
        <v>220</v>
      </c>
      <c r="C68" s="148"/>
      <c r="D68" s="170" t="str">
        <f t="shared" ref="D68:I68" si="21">D6</f>
        <v>Seed</v>
      </c>
      <c r="E68" s="170" t="str">
        <f t="shared" si="21"/>
        <v>A</v>
      </c>
      <c r="F68" s="170" t="str">
        <f t="shared" si="21"/>
        <v>B</v>
      </c>
      <c r="G68" s="170" t="str">
        <f t="shared" si="21"/>
        <v>C</v>
      </c>
      <c r="H68" s="170" t="str">
        <f t="shared" si="21"/>
        <v>D</v>
      </c>
      <c r="I68" s="170" t="str">
        <f t="shared" si="21"/>
        <v>E</v>
      </c>
      <c r="K68" s="131" t="s">
        <v>241</v>
      </c>
    </row>
    <row r="69" spans="2:11">
      <c r="B69" s="161" t="str">
        <f>D$6</f>
        <v>Seed</v>
      </c>
      <c r="C69" s="148" t="str">
        <f t="shared" ref="C69:C74" si="22">$C$15</f>
        <v>$</v>
      </c>
      <c r="D69" s="160">
        <f t="shared" ref="D69:I69" si="23">IF(INDEX($D$54:$I$54,0,MATCH($B$69,$D$6:$I$6,0))=0,0,IF(INDEX($D$14:$I$14,0,MATCH($B69,$D$6:$I$6,0))&gt;INDEX($D$14:$I$14,0,MATCH(D$68,$D$6:$I$6,0)),0,SUM($D$54:$D$54)*D$36))</f>
        <v>239999.99999999994</v>
      </c>
      <c r="E69" s="160">
        <f t="shared" si="23"/>
        <v>3360000</v>
      </c>
      <c r="F69" s="160">
        <f t="shared" si="23"/>
        <v>22464000.000000004</v>
      </c>
      <c r="G69" s="160">
        <f t="shared" si="23"/>
        <v>113785518.98734176</v>
      </c>
      <c r="H69" s="160">
        <f t="shared" si="23"/>
        <v>211229038.3034687</v>
      </c>
      <c r="I69" s="160">
        <f t="shared" si="23"/>
        <v>285432342.70748901</v>
      </c>
    </row>
    <row r="70" spans="2:11">
      <c r="B70" s="161" t="str">
        <f>E$6</f>
        <v>A</v>
      </c>
      <c r="C70" s="148" t="str">
        <f t="shared" si="22"/>
        <v>$</v>
      </c>
      <c r="D70" s="160">
        <f t="shared" ref="D70:I70" si="24">IF(INDEX($D$54:$I$54,0,MATCH($B$70,$D$6:$I$6,0))=0,0,IF(INDEX($D$14:$I$14,0,MATCH($B70,$D$6:$I$6,0))&gt;INDEX($D$14:$I$14,0,MATCH(D$68,$D$6:$I$6,0)),0,SUM($D$54:$E$54)*D$36))</f>
        <v>0</v>
      </c>
      <c r="E70" s="160">
        <f t="shared" si="24"/>
        <v>6160000</v>
      </c>
      <c r="F70" s="160">
        <f t="shared" si="24"/>
        <v>41184000</v>
      </c>
      <c r="G70" s="160">
        <f t="shared" si="24"/>
        <v>208606784.81012654</v>
      </c>
      <c r="H70" s="160">
        <f t="shared" si="24"/>
        <v>387253236.8896926</v>
      </c>
      <c r="I70" s="160">
        <f t="shared" si="24"/>
        <v>523292628.29706311</v>
      </c>
    </row>
    <row r="71" spans="2:11">
      <c r="B71" s="161" t="str">
        <f>F$6</f>
        <v>B</v>
      </c>
      <c r="C71" s="148" t="str">
        <f t="shared" si="22"/>
        <v>$</v>
      </c>
      <c r="D71" s="160">
        <f t="shared" ref="D71:I71" si="25">IF(INDEX($D$54:$I$54,0,MATCH($B$71,$D$6:$I$6,0))=0,0,IF(INDEX($D$14:$I$14,0,MATCH($B71,$D$6:$I$6,0))&gt;INDEX($D$14:$I$14,0,MATCH(D$68,$D$6:$I$6,0)),0,SUM($D$54:$F$54)*D$36))</f>
        <v>0</v>
      </c>
      <c r="E71" s="160">
        <f t="shared" si="25"/>
        <v>0</v>
      </c>
      <c r="F71" s="160">
        <f t="shared" si="25"/>
        <v>57109000</v>
      </c>
      <c r="G71" s="160">
        <f t="shared" si="25"/>
        <v>289270708.86075944</v>
      </c>
      <c r="H71" s="160">
        <f t="shared" si="25"/>
        <v>536996044.7147789</v>
      </c>
      <c r="I71" s="160">
        <f t="shared" si="25"/>
        <v>725639051.80208278</v>
      </c>
    </row>
    <row r="72" spans="2:11">
      <c r="B72" s="161" t="str">
        <f>G$6</f>
        <v>C</v>
      </c>
      <c r="C72" s="148" t="str">
        <f t="shared" si="22"/>
        <v>$</v>
      </c>
      <c r="D72" s="160">
        <f t="shared" ref="D72:I72" si="26">IF(INDEX($D$54:$I$54,0,MATCH($B$72,$D$6:$I$6,0))=0,0,IF(INDEX($D$14:$I$14,0,MATCH($B72,$D$6:$I$6,0))&gt;INDEX($D$14:$I$14,0,MATCH(D$68,$D$6:$I$6,0)),0,SUM($D$54:$G$54)*D$36))</f>
        <v>0</v>
      </c>
      <c r="E72" s="160">
        <f t="shared" si="26"/>
        <v>0</v>
      </c>
      <c r="F72" s="160">
        <f t="shared" si="26"/>
        <v>0</v>
      </c>
      <c r="G72" s="160">
        <f t="shared" si="26"/>
        <v>330920708.86075944</v>
      </c>
      <c r="H72" s="160">
        <f t="shared" si="26"/>
        <v>614314226.53296077</v>
      </c>
      <c r="I72" s="160">
        <f t="shared" si="26"/>
        <v>830118577.66415179</v>
      </c>
    </row>
    <row r="73" spans="2:11">
      <c r="B73" s="161" t="str">
        <f>H$6</f>
        <v>D</v>
      </c>
      <c r="C73" s="148" t="str">
        <f t="shared" si="22"/>
        <v>$</v>
      </c>
      <c r="D73" s="160">
        <f t="shared" ref="D73:I73" si="27">IF(INDEX($D$54:$I$54,0,MATCH($B$73,$D$6:$I$6,0))=0,0,IF(INDEX($D$14:$I$14,0,MATCH($B73,$D$6:$I$6,0))&gt;INDEX($D$14:$I$14,0,MATCH(D$68,$D$6:$I$6,0)),0,SUM($D$54:$H$54)*D$36))</f>
        <v>0</v>
      </c>
      <c r="E73" s="160">
        <f t="shared" si="27"/>
        <v>0</v>
      </c>
      <c r="F73" s="160">
        <f t="shared" si="27"/>
        <v>0</v>
      </c>
      <c r="G73" s="160">
        <f t="shared" si="27"/>
        <v>0</v>
      </c>
      <c r="H73" s="160">
        <f t="shared" si="27"/>
        <v>689914226.53296077</v>
      </c>
      <c r="I73" s="160">
        <f t="shared" si="27"/>
        <v>932276336.28484154</v>
      </c>
    </row>
    <row r="74" spans="2:11">
      <c r="B74" s="161" t="str">
        <f>I$6</f>
        <v>E</v>
      </c>
      <c r="C74" s="148" t="str">
        <f t="shared" si="22"/>
        <v>$</v>
      </c>
      <c r="D74" s="160">
        <f t="shared" ref="D74:I74" si="28">IF(INDEX($D$54:$I$54,0,MATCH($B$74,$D$6:$I$6,0))=0,0,IF(INDEX($D$14:$I$14,0,MATCH($B74,$D$6:$I$6,0))&gt;INDEX($D$14:$I$14,0,MATCH(D$68,$D$6:$I$6,0)),0,SUM($D$54:$I$54)*D$36))</f>
        <v>0</v>
      </c>
      <c r="E74" s="160">
        <f t="shared" si="28"/>
        <v>0</v>
      </c>
      <c r="F74" s="160">
        <f t="shared" si="28"/>
        <v>0</v>
      </c>
      <c r="G74" s="160">
        <f t="shared" si="28"/>
        <v>0</v>
      </c>
      <c r="H74" s="160">
        <f t="shared" si="28"/>
        <v>0</v>
      </c>
      <c r="I74" s="160">
        <f t="shared" si="28"/>
        <v>1078576336.2848415</v>
      </c>
    </row>
    <row r="75" spans="2:11">
      <c r="C75" s="148"/>
      <c r="D75" s="160"/>
      <c r="E75" s="160"/>
      <c r="F75" s="160"/>
      <c r="G75" s="160"/>
      <c r="H75" s="160"/>
      <c r="I75" s="160"/>
    </row>
    <row r="76" spans="2:11">
      <c r="B76" s="130" t="s">
        <v>224</v>
      </c>
      <c r="C76" s="148"/>
      <c r="D76" s="170" t="str">
        <f t="shared" ref="D76:I76" si="29">D6</f>
        <v>Seed</v>
      </c>
      <c r="E76" s="170" t="str">
        <f t="shared" si="29"/>
        <v>A</v>
      </c>
      <c r="F76" s="170" t="str">
        <f t="shared" si="29"/>
        <v>B</v>
      </c>
      <c r="G76" s="170" t="str">
        <f t="shared" si="29"/>
        <v>C</v>
      </c>
      <c r="H76" s="170" t="str">
        <f t="shared" si="29"/>
        <v>D</v>
      </c>
      <c r="I76" s="170" t="str">
        <f t="shared" si="29"/>
        <v>E</v>
      </c>
    </row>
    <row r="77" spans="2:11">
      <c r="B77" s="161" t="str">
        <f>D$6</f>
        <v>Seed</v>
      </c>
      <c r="C77" s="148" t="s">
        <v>130</v>
      </c>
      <c r="D77" s="171">
        <f t="shared" ref="D77:I77" si="30">IFERROR(D69/(SUM($D$53:$D$53)),0)</f>
        <v>0.23999999999999994</v>
      </c>
      <c r="E77" s="171">
        <f t="shared" si="30"/>
        <v>3.36</v>
      </c>
      <c r="F77" s="171">
        <f t="shared" si="30"/>
        <v>22.464000000000002</v>
      </c>
      <c r="G77" s="171">
        <f t="shared" si="30"/>
        <v>113.78551898734176</v>
      </c>
      <c r="H77" s="171">
        <f t="shared" si="30"/>
        <v>211.22903830346871</v>
      </c>
      <c r="I77" s="171">
        <f t="shared" si="30"/>
        <v>285.432342707489</v>
      </c>
    </row>
    <row r="78" spans="2:11">
      <c r="B78" s="161" t="str">
        <f>E$6</f>
        <v>A</v>
      </c>
      <c r="C78" s="148" t="s">
        <v>130</v>
      </c>
      <c r="D78" s="171">
        <f>IFERROR(D70/(SUM($D$53:$D$53)),0)</f>
        <v>0</v>
      </c>
      <c r="E78" s="171">
        <f>IFERROR(E70/(SUM($D$53:$E$53)),0)</f>
        <v>1.0266666666666666</v>
      </c>
      <c r="F78" s="171">
        <f>IFERROR(F70/(SUM($D$53:$E$53)),0)</f>
        <v>6.8639999999999999</v>
      </c>
      <c r="G78" s="171">
        <f>IFERROR(G70/(SUM($D$53:$E$53)),0)</f>
        <v>34.767797468354424</v>
      </c>
      <c r="H78" s="171">
        <f>IFERROR(H70/(SUM($D$53:$E$53)),0)</f>
        <v>64.542206148282105</v>
      </c>
      <c r="I78" s="171">
        <f>IFERROR(I70/(SUM($D$53:$E$53)),0)</f>
        <v>87.215438049510524</v>
      </c>
    </row>
    <row r="79" spans="2:11">
      <c r="B79" s="161" t="str">
        <f>F$6</f>
        <v>B</v>
      </c>
      <c r="C79" s="148" t="s">
        <v>130</v>
      </c>
      <c r="D79" s="171">
        <f>IFERROR(D71/(SUM($D$53:$D$53)),0)</f>
        <v>0</v>
      </c>
      <c r="E79" s="171">
        <f>IFERROR(E71/(SUM($D$53:$E$53)),0)</f>
        <v>0</v>
      </c>
      <c r="F79" s="171">
        <f>IFERROR(F71/(SUM($D$53:$F$53)),0)</f>
        <v>2.4301702127659572</v>
      </c>
      <c r="G79" s="171">
        <f>IFERROR(G71/(SUM($D$53:$F$53)),0)</f>
        <v>12.309391866415295</v>
      </c>
      <c r="H79" s="171">
        <f>IFERROR(H71/(SUM($D$53:$F$53)),0)</f>
        <v>22.850895519777826</v>
      </c>
      <c r="I79" s="171">
        <f>IFERROR(I71/(SUM($D$53:$F$53)),0)</f>
        <v>30.878257523492884</v>
      </c>
    </row>
    <row r="80" spans="2:11">
      <c r="B80" s="161" t="str">
        <f>G$6</f>
        <v>C</v>
      </c>
      <c r="C80" s="148" t="s">
        <v>130</v>
      </c>
      <c r="D80" s="171">
        <f>IFERROR(D72/(SUM($D$53:$D$53)),0)</f>
        <v>0</v>
      </c>
      <c r="E80" s="171">
        <f>IFERROR(E72/(SUM($D$53:$E$53)),0)</f>
        <v>0</v>
      </c>
      <c r="F80" s="171">
        <f>IFERROR(F72/(SUM($D$53:$F$53)),0)</f>
        <v>0</v>
      </c>
      <c r="G80" s="171">
        <f>IFERROR(G72/(SUM($D$53:$G$53)),0)</f>
        <v>5.656764254030076</v>
      </c>
      <c r="H80" s="171">
        <f>IFERROR(H72/(SUM($D$53:$G$53)),0)</f>
        <v>10.501097889452321</v>
      </c>
      <c r="I80" s="171">
        <f>IFERROR(I72/(SUM($D$53:$G$53)),0)</f>
        <v>14.190061156652167</v>
      </c>
    </row>
    <row r="81" spans="2:11">
      <c r="B81" s="161" t="str">
        <f>H$6</f>
        <v>D</v>
      </c>
      <c r="C81" s="148" t="s">
        <v>130</v>
      </c>
      <c r="D81" s="171">
        <f>IFERROR(D73/(SUM($D$53:$D$53)),0)</f>
        <v>0</v>
      </c>
      <c r="E81" s="171">
        <f>IFERROR(E73/(SUM($D$53:$E$53)),0)</f>
        <v>0</v>
      </c>
      <c r="F81" s="171">
        <f>IFERROR(F73/(SUM($D$53:$F$53)),0)</f>
        <v>0</v>
      </c>
      <c r="G81" s="171">
        <f>IFERROR(G73/(SUM($D$53:$G$53)),0)</f>
        <v>0</v>
      </c>
      <c r="H81" s="171">
        <f>IFERROR(H73/(SUM($D$53:$H$53)),0)</f>
        <v>5.3689823076495005</v>
      </c>
      <c r="I81" s="171">
        <f>IFERROR(I73/(SUM($D$53:$H$53)),0)</f>
        <v>7.25506876486258</v>
      </c>
    </row>
    <row r="82" spans="2:11">
      <c r="B82" s="161" t="str">
        <f>I$6</f>
        <v>E</v>
      </c>
      <c r="C82" s="148" t="s">
        <v>130</v>
      </c>
      <c r="D82" s="171">
        <f>IFERROR(D74/(SUM($D$53:$D$53)),0)</f>
        <v>0</v>
      </c>
      <c r="E82" s="171">
        <f>IFERROR(E74/(SUM($D$53:$E$53)),0)</f>
        <v>0</v>
      </c>
      <c r="F82" s="171">
        <f>IFERROR(F74/(SUM($D$53:$F$53)),0)</f>
        <v>0</v>
      </c>
      <c r="G82" s="171">
        <f>IFERROR(G74/(SUM($D$53:$G$53)),0)</f>
        <v>0</v>
      </c>
      <c r="H82" s="171">
        <f>IFERROR(H74/(SUM($D$53:$H$53)),0)</f>
        <v>0</v>
      </c>
      <c r="I82" s="171">
        <f>IFERROR(I74/(SUM($D$53:$I$53)),0)</f>
        <v>4.0170440829975478</v>
      </c>
    </row>
    <row r="83" spans="2:11">
      <c r="C83" s="148"/>
      <c r="D83" s="160"/>
      <c r="E83" s="160"/>
      <c r="F83" s="160"/>
      <c r="G83" s="160"/>
      <c r="H83" s="160"/>
      <c r="I83" s="160"/>
    </row>
    <row r="84" spans="2:11">
      <c r="B84" s="130" t="s">
        <v>218</v>
      </c>
      <c r="C84" s="148"/>
      <c r="D84" s="170" t="str">
        <f t="shared" ref="D84:I84" si="31">D6</f>
        <v>Seed</v>
      </c>
      <c r="E84" s="170" t="str">
        <f t="shared" si="31"/>
        <v>A</v>
      </c>
      <c r="F84" s="170" t="str">
        <f t="shared" si="31"/>
        <v>B</v>
      </c>
      <c r="G84" s="170" t="str">
        <f t="shared" si="31"/>
        <v>C</v>
      </c>
      <c r="H84" s="170" t="str">
        <f t="shared" si="31"/>
        <v>D</v>
      </c>
      <c r="I84" s="170" t="str">
        <f t="shared" si="31"/>
        <v>E</v>
      </c>
      <c r="K84" s="131" t="s">
        <v>242</v>
      </c>
    </row>
    <row r="85" spans="2:11">
      <c r="B85" s="161" t="str">
        <f>D$6</f>
        <v>Seed</v>
      </c>
      <c r="C85" s="148" t="s">
        <v>22</v>
      </c>
      <c r="D85" s="172">
        <f t="shared" ref="D85:I85" ca="1" si="32">INDEX($P109:$P114,MATCH(D$34,$J$108:$O$108,0))</f>
        <v>-0.75999999754130854</v>
      </c>
      <c r="E85" s="172">
        <f t="shared" ca="1" si="32"/>
        <v>0.62424349188804629</v>
      </c>
      <c r="F85" s="172">
        <f t="shared" ca="1" si="32"/>
        <v>1.1759079098701479</v>
      </c>
      <c r="G85" s="172">
        <f t="shared" ca="1" si="32"/>
        <v>1.3655227541923527</v>
      </c>
      <c r="H85" s="172">
        <f t="shared" ca="1" si="32"/>
        <v>1.147078359127045</v>
      </c>
      <c r="I85" s="172">
        <f t="shared" ca="1" si="32"/>
        <v>0.94462641477584852</v>
      </c>
    </row>
    <row r="86" spans="2:11">
      <c r="B86" s="161" t="str">
        <f>E$6</f>
        <v>A</v>
      </c>
      <c r="C86" s="148" t="s">
        <v>22</v>
      </c>
      <c r="D86" s="172" t="str">
        <f t="shared" ref="D86:I86" ca="1" si="33">INDEX($P116:$P121,MATCH(D$34,$J$108:$O$108,0))</f>
        <v>na</v>
      </c>
      <c r="E86" s="172">
        <f t="shared" ca="1" si="33"/>
        <v>2.1185663342475892E-2</v>
      </c>
      <c r="F86" s="172">
        <f t="shared" ca="1" si="33"/>
        <v>0.95042604207992554</v>
      </c>
      <c r="G86" s="172">
        <f t="shared" ca="1" si="33"/>
        <v>1.2356731772422793</v>
      </c>
      <c r="H86" s="172">
        <f t="shared" ca="1" si="33"/>
        <v>1.0277454257011416</v>
      </c>
      <c r="I86" s="172">
        <f t="shared" ca="1" si="33"/>
        <v>0.83385850191116329</v>
      </c>
    </row>
    <row r="87" spans="2:11">
      <c r="B87" s="161" t="str">
        <f>F$6</f>
        <v>B</v>
      </c>
      <c r="C87" s="148" t="s">
        <v>22</v>
      </c>
      <c r="D87" s="172" t="str">
        <f t="shared" ref="D87:I87" ca="1" si="34">INDEX($P123:$P128,MATCH(D$34,$J$108:$O$108,0))</f>
        <v>na</v>
      </c>
      <c r="E87" s="172" t="str">
        <f t="shared" ca="1" si="34"/>
        <v>na</v>
      </c>
      <c r="F87" s="172">
        <f t="shared" ca="1" si="34"/>
        <v>0.70131539106369023</v>
      </c>
      <c r="G87" s="172">
        <f t="shared" ca="1" si="34"/>
        <v>1.1434364914894104</v>
      </c>
      <c r="H87" s="172">
        <f t="shared" ca="1" si="34"/>
        <v>0.93457933664321913</v>
      </c>
      <c r="I87" s="172">
        <f t="shared" ca="1" si="34"/>
        <v>0.74172877073287968</v>
      </c>
    </row>
    <row r="88" spans="2:11">
      <c r="B88" s="161" t="str">
        <f>G$6</f>
        <v>C</v>
      </c>
      <c r="C88" s="148" t="s">
        <v>22</v>
      </c>
      <c r="D88" s="172" t="str">
        <f t="shared" ref="D88:I88" ca="1" si="35">INDEX($P130:$P135,MATCH(D$34,$J$108:$O$108,0))</f>
        <v>na</v>
      </c>
      <c r="E88" s="172" t="str">
        <f t="shared" ca="1" si="35"/>
        <v>na</v>
      </c>
      <c r="F88" s="172" t="str">
        <f t="shared" ca="1" si="35"/>
        <v>na</v>
      </c>
      <c r="G88" s="172">
        <f t="shared" ca="1" si="35"/>
        <v>1.0787555575370791</v>
      </c>
      <c r="H88" s="172">
        <f t="shared" ca="1" si="35"/>
        <v>0.86607216596603398</v>
      </c>
      <c r="I88" s="172">
        <f t="shared" ca="1" si="35"/>
        <v>0.67146843075752261</v>
      </c>
    </row>
    <row r="89" spans="2:11">
      <c r="B89" s="161" t="str">
        <f>H$6</f>
        <v>D</v>
      </c>
      <c r="C89" s="148" t="s">
        <v>22</v>
      </c>
      <c r="D89" s="172" t="str">
        <f t="shared" ref="D89:I89" ca="1" si="36">INDEX($P137:$P142,MATCH(D$34,$J$108:$O$108,0))</f>
        <v>na</v>
      </c>
      <c r="E89" s="172" t="str">
        <f t="shared" ca="1" si="36"/>
        <v>na</v>
      </c>
      <c r="F89" s="172" t="str">
        <f t="shared" ca="1" si="36"/>
        <v>na</v>
      </c>
      <c r="G89" s="172" t="str">
        <f t="shared" ca="1" si="36"/>
        <v>na</v>
      </c>
      <c r="H89" s="172">
        <f t="shared" ca="1" si="36"/>
        <v>0.8280052304267882</v>
      </c>
      <c r="I89" s="172">
        <f t="shared" ca="1" si="36"/>
        <v>0.53287493586540235</v>
      </c>
    </row>
    <row r="90" spans="2:11">
      <c r="B90" s="161" t="str">
        <f>I$6</f>
        <v>E</v>
      </c>
      <c r="C90" s="148" t="s">
        <v>22</v>
      </c>
      <c r="D90" s="172" t="str">
        <f t="shared" ref="D90:I90" ca="1" si="37">INDEX($P144:$P149,MATCH(D$34,$J$108:$O$108,0))</f>
        <v>na</v>
      </c>
      <c r="E90" s="172" t="str">
        <f t="shared" ca="1" si="37"/>
        <v>na</v>
      </c>
      <c r="F90" s="172" t="str">
        <f t="shared" ca="1" si="37"/>
        <v>na</v>
      </c>
      <c r="G90" s="172" t="str">
        <f t="shared" ca="1" si="37"/>
        <v>na</v>
      </c>
      <c r="H90" s="172" t="str">
        <f t="shared" ca="1" si="37"/>
        <v>na</v>
      </c>
      <c r="I90" s="172">
        <f t="shared" ca="1" si="37"/>
        <v>0.59170518517494208</v>
      </c>
    </row>
    <row r="91" spans="2:11">
      <c r="C91" s="148"/>
      <c r="D91" s="160"/>
      <c r="E91" s="160"/>
      <c r="F91" s="160"/>
      <c r="G91" s="160"/>
      <c r="H91" s="160"/>
      <c r="I91" s="160"/>
    </row>
    <row r="92" spans="2:11">
      <c r="C92" s="148"/>
      <c r="D92" s="160"/>
      <c r="E92" s="160"/>
      <c r="F92" s="160"/>
      <c r="G92" s="160"/>
      <c r="H92" s="160"/>
      <c r="I92" s="160"/>
    </row>
    <row r="93" spans="2:11">
      <c r="B93" s="127" t="s">
        <v>223</v>
      </c>
      <c r="D93" s="147"/>
      <c r="E93" s="147"/>
      <c r="F93" s="147"/>
      <c r="G93" s="147"/>
      <c r="H93" s="147"/>
      <c r="I93" s="147"/>
    </row>
    <row r="94" spans="2:11">
      <c r="B94" s="132" t="s">
        <v>225</v>
      </c>
      <c r="D94" s="147"/>
      <c r="E94" s="147"/>
      <c r="F94" s="147"/>
      <c r="G94" s="147"/>
      <c r="H94" s="147"/>
      <c r="I94" s="147"/>
    </row>
    <row r="95" spans="2:11">
      <c r="B95" s="127"/>
      <c r="D95" s="147"/>
      <c r="E95" s="147"/>
      <c r="F95" s="147"/>
      <c r="G95" s="147"/>
      <c r="H95" s="147"/>
      <c r="I95" s="147"/>
    </row>
    <row r="96" spans="2:11">
      <c r="B96" s="130" t="s">
        <v>214</v>
      </c>
      <c r="C96" s="148" t="s">
        <v>130</v>
      </c>
      <c r="D96" s="173">
        <f>IFERROR(SUMPRODUCT($D59:D59,$D$30:D$30)/SUM($D$30:D$30),0)</f>
        <v>0.23999999999999994</v>
      </c>
      <c r="E96" s="173">
        <f>IFERROR(SUMPRODUCT($D59:E59,$D$30:E$30)/SUM($D$30:E$30),0)</f>
        <v>0.57714285714285718</v>
      </c>
      <c r="F96" s="173">
        <f>IFERROR(SUMPRODUCT($D59:F59,$D$30:F$30)/SUM($D$30:F$30),0)</f>
        <v>0.75646808510638297</v>
      </c>
      <c r="G96" s="173">
        <f>IFERROR(SUMPRODUCT($D59:G59,$D$30:G$30)/SUM($D$30:G$30),0)</f>
        <v>0.87222311271875363</v>
      </c>
      <c r="H96" s="173">
        <f>IFERROR(SUMPRODUCT($D59:H59,$D$30:H$30)/SUM($D$30:H$30),0)</f>
        <v>0.89862287315866018</v>
      </c>
      <c r="I96" s="173">
        <f>IFERROR(SUMPRODUCT($D59:I59,$D$30:I$30)/SUM($D$30:I$30),0)</f>
        <v>0.9047135395841267</v>
      </c>
    </row>
    <row r="97" spans="2:16">
      <c r="B97" s="130" t="s">
        <v>215</v>
      </c>
      <c r="C97" s="148" t="s">
        <v>22</v>
      </c>
      <c r="D97" s="151">
        <f>IFERROR(SUMPRODUCT($D60:D60,$D$30:D$30)/SUM($D$30:D$30),0)</f>
        <v>-0.76</v>
      </c>
      <c r="E97" s="151">
        <f>IFERROR(SUMPRODUCT($D60:E60,$D$30:E$30)/SUM($D$30:E$30),0)</f>
        <v>-0.42285714285714288</v>
      </c>
      <c r="F97" s="151">
        <f>IFERROR(SUMPRODUCT($D60:F60,$D$30:F$30)/SUM($D$30:F$30),0)</f>
        <v>-0.243531914893617</v>
      </c>
      <c r="G97" s="151">
        <f>IFERROR(SUMPRODUCT($D60:G60,$D$30:G$30)/SUM($D$30:G$30),0)</f>
        <v>-0.12777688728124631</v>
      </c>
      <c r="H97" s="151">
        <f>IFERROR(SUMPRODUCT($D60:H60,$D$30:H$30)/SUM($D$30:H$30),0)</f>
        <v>-0.10137712684133977</v>
      </c>
      <c r="I97" s="151">
        <f>IFERROR(SUMPRODUCT($D60:I60,$D$30:I$30)/SUM($D$30:I$30),0)</f>
        <v>-9.5286460415873186E-2</v>
      </c>
      <c r="K97" s="131" t="s">
        <v>243</v>
      </c>
    </row>
    <row r="98" spans="2:16">
      <c r="B98" s="130" t="s">
        <v>217</v>
      </c>
      <c r="C98" s="148" t="s">
        <v>22</v>
      </c>
      <c r="D98" s="151">
        <f ca="1">IFERROR(SUMPRODUCT($D61:D61,$D$30:D$30)/SUM($D$30:D$30),0)</f>
        <v>-0.75999999754130854</v>
      </c>
      <c r="E98" s="151">
        <f ca="1">IFERROR(SUMPRODUCT($D61:E61,$D$30:E$30)/SUM($D$30:E$30),0)</f>
        <v>-0.42520614287682951</v>
      </c>
      <c r="F98" s="151">
        <f ca="1">IFERROR(SUMPRODUCT($D61:F61,$D$30:F$30)/SUM($D$30:F$30),0)</f>
        <v>-0.31618792991484368</v>
      </c>
      <c r="G98" s="151">
        <f ca="1">IFERROR(SUMPRODUCT($D61:G61,$D$30:G$30)/SUM($D$30:G$30),0)</f>
        <v>-0.28323650895141245</v>
      </c>
      <c r="H98" s="151">
        <f ca="1">IFERROR(SUMPRODUCT($D61:H61,$D$30:H$30)/SUM($D$30:H$30),0)</f>
        <v>-0.2767125848454739</v>
      </c>
      <c r="I98" s="151">
        <f ca="1">IFERROR(SUMPRODUCT($D61:I61,$D$30:I$30)/SUM($D$30:I$30),0)</f>
        <v>-0.27501645638840277</v>
      </c>
      <c r="K98" s="131" t="s">
        <v>244</v>
      </c>
    </row>
    <row r="99" spans="2:16">
      <c r="D99" s="147"/>
      <c r="E99" s="147"/>
      <c r="F99" s="147"/>
      <c r="G99" s="147"/>
      <c r="H99" s="147"/>
      <c r="I99" s="147"/>
    </row>
    <row r="100" spans="2:16">
      <c r="D100" s="147"/>
      <c r="E100" s="147"/>
      <c r="F100" s="147"/>
      <c r="G100" s="147"/>
      <c r="H100" s="147"/>
      <c r="I100" s="147"/>
    </row>
    <row r="101" spans="2:16">
      <c r="B101" s="174" t="s">
        <v>24</v>
      </c>
      <c r="E101" s="130"/>
    </row>
    <row r="102" spans="2:16">
      <c r="B102" s="130" t="s">
        <v>170</v>
      </c>
    </row>
    <row r="103" spans="2:16">
      <c r="B103" s="130" t="s">
        <v>171</v>
      </c>
    </row>
    <row r="106" spans="2:16">
      <c r="B106" s="132" t="s">
        <v>221</v>
      </c>
      <c r="E106" s="159"/>
      <c r="K106" s="131" t="s">
        <v>245</v>
      </c>
    </row>
    <row r="107" spans="2:16" outlineLevel="1">
      <c r="E107" s="130"/>
      <c r="J107" s="175" t="str">
        <f t="shared" ref="J107:O107" si="38">D68</f>
        <v>Seed</v>
      </c>
      <c r="K107" s="175" t="str">
        <f t="shared" si="38"/>
        <v>A</v>
      </c>
      <c r="L107" s="175" t="str">
        <f t="shared" si="38"/>
        <v>B</v>
      </c>
      <c r="M107" s="175" t="str">
        <f t="shared" si="38"/>
        <v>C</v>
      </c>
      <c r="N107" s="175" t="str">
        <f t="shared" si="38"/>
        <v>D</v>
      </c>
      <c r="O107" s="175" t="str">
        <f t="shared" si="38"/>
        <v>E</v>
      </c>
    </row>
    <row r="108" spans="2:16" outlineLevel="1">
      <c r="B108" s="130" t="s">
        <v>216</v>
      </c>
      <c r="C108" s="126" t="s">
        <v>156</v>
      </c>
      <c r="D108" s="159">
        <f t="shared" ref="D108:I108" si="39">D14</f>
        <v>43101</v>
      </c>
      <c r="E108" s="159">
        <f t="shared" si="39"/>
        <v>43647</v>
      </c>
      <c r="F108" s="159">
        <f t="shared" si="39"/>
        <v>44197</v>
      </c>
      <c r="G108" s="159">
        <f t="shared" si="39"/>
        <v>44743</v>
      </c>
      <c r="H108" s="159">
        <f t="shared" si="39"/>
        <v>45292</v>
      </c>
      <c r="I108" s="159">
        <f t="shared" si="39"/>
        <v>45839</v>
      </c>
      <c r="J108" s="159">
        <f t="shared" ref="J108:O108" si="40">D34</f>
        <v>43466</v>
      </c>
      <c r="K108" s="159">
        <f t="shared" si="40"/>
        <v>44013</v>
      </c>
      <c r="L108" s="159">
        <f t="shared" si="40"/>
        <v>44562</v>
      </c>
      <c r="M108" s="159">
        <f t="shared" si="40"/>
        <v>45108</v>
      </c>
      <c r="N108" s="159">
        <f t="shared" si="40"/>
        <v>45658</v>
      </c>
      <c r="O108" s="159">
        <f t="shared" si="40"/>
        <v>46204</v>
      </c>
      <c r="P108" s="133" t="s">
        <v>213</v>
      </c>
    </row>
    <row r="109" spans="2:16" outlineLevel="1">
      <c r="B109" s="161" t="str">
        <f>D$6</f>
        <v>Seed</v>
      </c>
      <c r="C109" s="148" t="str">
        <f>$C$15</f>
        <v>$</v>
      </c>
      <c r="D109" s="176">
        <f t="shared" ref="D109:I114" si="41">IF(D$108&lt;=INDEX($D$14:$I$14,0,MATCH($B109,$D$6:$I$6,0)),-1*INDEX($D$53:$I$53,0,MATCH(D$108,$D$14:$I$14,0)),0)</f>
        <v>-1000000</v>
      </c>
      <c r="E109" s="176">
        <f t="shared" si="41"/>
        <v>0</v>
      </c>
      <c r="F109" s="176">
        <f t="shared" si="41"/>
        <v>0</v>
      </c>
      <c r="G109" s="176">
        <f t="shared" si="41"/>
        <v>0</v>
      </c>
      <c r="H109" s="176">
        <f t="shared" si="41"/>
        <v>0</v>
      </c>
      <c r="I109" s="176">
        <f t="shared" si="41"/>
        <v>0</v>
      </c>
      <c r="J109" s="176">
        <f>INDEX($D$69:$I$69,0,MATCH(J$107,$D$68:$I$68,0))</f>
        <v>239999.99999999994</v>
      </c>
      <c r="K109" s="176">
        <v>0</v>
      </c>
      <c r="L109" s="176">
        <v>0</v>
      </c>
      <c r="M109" s="176">
        <v>0</v>
      </c>
      <c r="N109" s="176">
        <v>0</v>
      </c>
      <c r="O109" s="176">
        <v>0</v>
      </c>
      <c r="P109" s="167">
        <f ca="1">IFERROR(XIRR(INDIRECT(ADDRESS(ROW(D109),COLUMN(D109)+MATCH(INDEX(D109:O109,MATCH(TRUE,INDEX(D109:O109&lt;&gt;0,),0)),D109:O109,0)-1,4)&amp;":"&amp;ADDRESS(ROW(D109),COLUMN(C109)+MATCH(O$108,D$108:O$108,1),4)),INDIRECT(ADDRESS(ROW(D$108),COLUMN(D$108)+MATCH(INDEX(D109:O109,MATCH(TRUE,INDEX(D109:O109&lt;&gt;0,),0)),D109:O109,0)-1,4)&amp;":"&amp;ADDRESS(ROW(D$108),COLUMN(C$108)+MATCH(O$108,D$108:O$108,1),4))),"na")</f>
        <v>-0.75999999754130854</v>
      </c>
    </row>
    <row r="110" spans="2:16" outlineLevel="1">
      <c r="B110" s="161" t="str">
        <f t="shared" ref="B110:B114" si="42">D$6</f>
        <v>Seed</v>
      </c>
      <c r="C110" s="148" t="str">
        <f t="shared" ref="C110:C114" si="43">$C$15</f>
        <v>$</v>
      </c>
      <c r="D110" s="176">
        <f t="shared" si="41"/>
        <v>-1000000</v>
      </c>
      <c r="E110" s="176">
        <f t="shared" si="41"/>
        <v>0</v>
      </c>
      <c r="F110" s="176">
        <f t="shared" si="41"/>
        <v>0</v>
      </c>
      <c r="G110" s="176">
        <f t="shared" si="41"/>
        <v>0</v>
      </c>
      <c r="H110" s="176">
        <f t="shared" si="41"/>
        <v>0</v>
      </c>
      <c r="I110" s="176">
        <f t="shared" si="41"/>
        <v>0</v>
      </c>
      <c r="J110" s="176">
        <v>0</v>
      </c>
      <c r="K110" s="176">
        <f>INDEX($D$69:$I$69,0,MATCH(K$107,$D$68:$I$68,0))</f>
        <v>3360000</v>
      </c>
      <c r="L110" s="176">
        <v>0</v>
      </c>
      <c r="M110" s="176">
        <v>0</v>
      </c>
      <c r="N110" s="176">
        <v>0</v>
      </c>
      <c r="O110" s="176">
        <v>0</v>
      </c>
      <c r="P110" s="167">
        <f t="shared" ref="P110:P114" ca="1" si="44">IFERROR(XIRR(INDIRECT(ADDRESS(ROW(D110),COLUMN(D110)+MATCH(INDEX(D110:O110,MATCH(TRUE,INDEX(D110:O110&lt;&gt;0,),0)),D110:O110,0)-1,4)&amp;":"&amp;ADDRESS(ROW(D110),COLUMN(C110)+MATCH(O$108,D$108:O$108,1),4)),INDIRECT(ADDRESS(ROW(D$108),COLUMN(D$108)+MATCH(INDEX(D110:O110,MATCH(TRUE,INDEX(D110:O110&lt;&gt;0,),0)),D110:O110,0)-1,4)&amp;":"&amp;ADDRESS(ROW(D$108),COLUMN(C$108)+MATCH(O$108,D$108:O$108,1),4))),"na")</f>
        <v>0.62424349188804629</v>
      </c>
    </row>
    <row r="111" spans="2:16" outlineLevel="1">
      <c r="B111" s="161" t="str">
        <f t="shared" si="42"/>
        <v>Seed</v>
      </c>
      <c r="C111" s="148" t="str">
        <f t="shared" si="43"/>
        <v>$</v>
      </c>
      <c r="D111" s="176">
        <f t="shared" si="41"/>
        <v>-1000000</v>
      </c>
      <c r="E111" s="176">
        <f t="shared" si="41"/>
        <v>0</v>
      </c>
      <c r="F111" s="176">
        <f t="shared" si="41"/>
        <v>0</v>
      </c>
      <c r="G111" s="176">
        <f t="shared" si="41"/>
        <v>0</v>
      </c>
      <c r="H111" s="176">
        <f t="shared" si="41"/>
        <v>0</v>
      </c>
      <c r="I111" s="176">
        <f t="shared" si="41"/>
        <v>0</v>
      </c>
      <c r="J111" s="176">
        <v>0</v>
      </c>
      <c r="K111" s="176">
        <v>0</v>
      </c>
      <c r="L111" s="176">
        <f>INDEX($D$69:$I$69,0,MATCH(L$107,$D$68:$I$68,0))</f>
        <v>22464000.000000004</v>
      </c>
      <c r="M111" s="176">
        <v>0</v>
      </c>
      <c r="N111" s="176">
        <v>0</v>
      </c>
      <c r="O111" s="176">
        <v>0</v>
      </c>
      <c r="P111" s="167">
        <f t="shared" ca="1" si="44"/>
        <v>1.1759079098701479</v>
      </c>
    </row>
    <row r="112" spans="2:16" outlineLevel="1">
      <c r="B112" s="161" t="str">
        <f t="shared" si="42"/>
        <v>Seed</v>
      </c>
      <c r="C112" s="148" t="str">
        <f t="shared" si="43"/>
        <v>$</v>
      </c>
      <c r="D112" s="176">
        <f t="shared" si="41"/>
        <v>-1000000</v>
      </c>
      <c r="E112" s="176">
        <f t="shared" si="41"/>
        <v>0</v>
      </c>
      <c r="F112" s="176">
        <f t="shared" si="41"/>
        <v>0</v>
      </c>
      <c r="G112" s="176">
        <f t="shared" si="41"/>
        <v>0</v>
      </c>
      <c r="H112" s="176">
        <f t="shared" si="41"/>
        <v>0</v>
      </c>
      <c r="I112" s="176">
        <f t="shared" si="41"/>
        <v>0</v>
      </c>
      <c r="J112" s="176">
        <v>0</v>
      </c>
      <c r="K112" s="176">
        <v>0</v>
      </c>
      <c r="L112" s="176">
        <v>0</v>
      </c>
      <c r="M112" s="176">
        <f>INDEX($D$69:$I$69,0,MATCH(M$107,$D$68:$I$68,0))</f>
        <v>113785518.98734176</v>
      </c>
      <c r="N112" s="176">
        <v>0</v>
      </c>
      <c r="O112" s="176">
        <v>0</v>
      </c>
      <c r="P112" s="167">
        <f t="shared" ca="1" si="44"/>
        <v>1.3655227541923527</v>
      </c>
    </row>
    <row r="113" spans="2:16" outlineLevel="1">
      <c r="B113" s="161" t="str">
        <f t="shared" si="42"/>
        <v>Seed</v>
      </c>
      <c r="C113" s="148" t="str">
        <f t="shared" si="43"/>
        <v>$</v>
      </c>
      <c r="D113" s="176">
        <f t="shared" si="41"/>
        <v>-1000000</v>
      </c>
      <c r="E113" s="176">
        <f t="shared" si="41"/>
        <v>0</v>
      </c>
      <c r="F113" s="176">
        <f t="shared" si="41"/>
        <v>0</v>
      </c>
      <c r="G113" s="176">
        <f t="shared" si="41"/>
        <v>0</v>
      </c>
      <c r="H113" s="176">
        <f t="shared" si="41"/>
        <v>0</v>
      </c>
      <c r="I113" s="176">
        <f t="shared" si="41"/>
        <v>0</v>
      </c>
      <c r="J113" s="176">
        <v>0</v>
      </c>
      <c r="K113" s="176">
        <v>0</v>
      </c>
      <c r="L113" s="176">
        <v>0</v>
      </c>
      <c r="M113" s="176">
        <v>0</v>
      </c>
      <c r="N113" s="176">
        <f>INDEX($D$69:$I$69,0,MATCH(N$107,$D$68:$I$68,0))</f>
        <v>211229038.3034687</v>
      </c>
      <c r="O113" s="176">
        <v>0</v>
      </c>
      <c r="P113" s="167">
        <f t="shared" ca="1" si="44"/>
        <v>1.147078359127045</v>
      </c>
    </row>
    <row r="114" spans="2:16" outlineLevel="1">
      <c r="B114" s="161" t="str">
        <f t="shared" si="42"/>
        <v>Seed</v>
      </c>
      <c r="C114" s="148" t="str">
        <f t="shared" si="43"/>
        <v>$</v>
      </c>
      <c r="D114" s="176">
        <f t="shared" si="41"/>
        <v>-1000000</v>
      </c>
      <c r="E114" s="176">
        <f t="shared" si="41"/>
        <v>0</v>
      </c>
      <c r="F114" s="176">
        <f t="shared" si="41"/>
        <v>0</v>
      </c>
      <c r="G114" s="176">
        <f t="shared" si="41"/>
        <v>0</v>
      </c>
      <c r="H114" s="176">
        <f t="shared" si="41"/>
        <v>0</v>
      </c>
      <c r="I114" s="176">
        <f t="shared" si="41"/>
        <v>0</v>
      </c>
      <c r="J114" s="176">
        <v>0</v>
      </c>
      <c r="K114" s="176">
        <v>0</v>
      </c>
      <c r="L114" s="176">
        <v>0</v>
      </c>
      <c r="M114" s="176">
        <v>0</v>
      </c>
      <c r="N114" s="176">
        <v>0</v>
      </c>
      <c r="O114" s="176">
        <f>INDEX($D$69:$I$69,0,MATCH(O$107,$D$68:$I$68,0))</f>
        <v>285432342.70748901</v>
      </c>
      <c r="P114" s="167">
        <f t="shared" ca="1" si="44"/>
        <v>0.94462641477584852</v>
      </c>
    </row>
    <row r="115" spans="2:16" outlineLevel="1">
      <c r="P115" s="151"/>
    </row>
    <row r="116" spans="2:16" outlineLevel="1">
      <c r="B116" s="161" t="str">
        <f>E$6</f>
        <v>A</v>
      </c>
      <c r="C116" s="148" t="str">
        <f>$C$15</f>
        <v>$</v>
      </c>
      <c r="D116" s="176">
        <f t="shared" ref="D116:I121" si="45">IF(D$108&lt;=INDEX($D$14:$I$14,0,MATCH($B116,$D$6:$I$6,0)),-1*INDEX($D$53:$I$53,0,MATCH(D$108,$D$14:$I$14,0)),0)</f>
        <v>-1000000</v>
      </c>
      <c r="E116" s="176">
        <f t="shared" si="45"/>
        <v>-5000000</v>
      </c>
      <c r="F116" s="176">
        <f t="shared" si="45"/>
        <v>0</v>
      </c>
      <c r="G116" s="176">
        <f t="shared" si="45"/>
        <v>0</v>
      </c>
      <c r="H116" s="176">
        <f t="shared" si="45"/>
        <v>0</v>
      </c>
      <c r="I116" s="176">
        <f t="shared" si="45"/>
        <v>0</v>
      </c>
      <c r="J116" s="176">
        <v>0</v>
      </c>
      <c r="K116" s="176">
        <v>0</v>
      </c>
      <c r="L116" s="176">
        <v>0</v>
      </c>
      <c r="M116" s="176">
        <v>0</v>
      </c>
      <c r="N116" s="176">
        <v>0</v>
      </c>
      <c r="O116" s="176">
        <v>0</v>
      </c>
      <c r="P116" s="167" t="str">
        <f t="shared" ref="P116:P121" ca="1" si="46">IFERROR(XIRR(INDIRECT(ADDRESS(ROW(D116),COLUMN(D116)+MATCH(INDEX(D116:O116,MATCH(TRUE,INDEX(D116:O116&lt;&gt;0,),0)),D116:O116,0)-1,4)&amp;":"&amp;ADDRESS(ROW(D116),COLUMN(C116)+MATCH(O$108,D$108:O$108,1),4)),INDIRECT(ADDRESS(ROW(D$108),COLUMN(D$108)+MATCH(INDEX(D116:O116,MATCH(TRUE,INDEX(D116:O116&lt;&gt;0,),0)),D116:O116,0)-1,4)&amp;":"&amp;ADDRESS(ROW(D$108),COLUMN(C$108)+MATCH(O$108,D$108:O$108,1),4))),"na")</f>
        <v>na</v>
      </c>
    </row>
    <row r="117" spans="2:16" outlineLevel="1">
      <c r="B117" s="161" t="str">
        <f t="shared" ref="B117:B121" si="47">E$6</f>
        <v>A</v>
      </c>
      <c r="C117" s="148" t="str">
        <f t="shared" ref="C117:C121" si="48">$C$15</f>
        <v>$</v>
      </c>
      <c r="D117" s="176">
        <f t="shared" si="45"/>
        <v>-1000000</v>
      </c>
      <c r="E117" s="176">
        <f t="shared" si="45"/>
        <v>-5000000</v>
      </c>
      <c r="F117" s="176">
        <f t="shared" si="45"/>
        <v>0</v>
      </c>
      <c r="G117" s="176">
        <f t="shared" si="45"/>
        <v>0</v>
      </c>
      <c r="H117" s="176">
        <f t="shared" si="45"/>
        <v>0</v>
      </c>
      <c r="I117" s="176">
        <f t="shared" si="45"/>
        <v>0</v>
      </c>
      <c r="J117" s="176">
        <v>0</v>
      </c>
      <c r="K117" s="176">
        <f>INDEX($D$70:$I$70,0,MATCH(K$107,$D$68:$I$68,0))</f>
        <v>6160000</v>
      </c>
      <c r="L117" s="176">
        <v>0</v>
      </c>
      <c r="M117" s="176">
        <v>0</v>
      </c>
      <c r="N117" s="176">
        <v>0</v>
      </c>
      <c r="O117" s="176">
        <v>0</v>
      </c>
      <c r="P117" s="167">
        <f t="shared" ca="1" si="46"/>
        <v>2.1185663342475892E-2</v>
      </c>
    </row>
    <row r="118" spans="2:16" outlineLevel="1">
      <c r="B118" s="161" t="str">
        <f t="shared" si="47"/>
        <v>A</v>
      </c>
      <c r="C118" s="148" t="str">
        <f t="shared" si="48"/>
        <v>$</v>
      </c>
      <c r="D118" s="176">
        <f t="shared" si="45"/>
        <v>-1000000</v>
      </c>
      <c r="E118" s="176">
        <f t="shared" si="45"/>
        <v>-5000000</v>
      </c>
      <c r="F118" s="176">
        <f t="shared" si="45"/>
        <v>0</v>
      </c>
      <c r="G118" s="176">
        <f t="shared" si="45"/>
        <v>0</v>
      </c>
      <c r="H118" s="176">
        <f t="shared" si="45"/>
        <v>0</v>
      </c>
      <c r="I118" s="176">
        <f t="shared" si="45"/>
        <v>0</v>
      </c>
      <c r="J118" s="176">
        <v>0</v>
      </c>
      <c r="K118" s="176">
        <v>0</v>
      </c>
      <c r="L118" s="176">
        <f>INDEX($D$70:$I$70,0,MATCH(L$107,$D$68:$I$68,0))</f>
        <v>41184000</v>
      </c>
      <c r="M118" s="176">
        <v>0</v>
      </c>
      <c r="N118" s="176">
        <v>0</v>
      </c>
      <c r="O118" s="176">
        <v>0</v>
      </c>
      <c r="P118" s="167">
        <f t="shared" ca="1" si="46"/>
        <v>0.95042604207992554</v>
      </c>
    </row>
    <row r="119" spans="2:16" outlineLevel="1">
      <c r="B119" s="161" t="str">
        <f t="shared" si="47"/>
        <v>A</v>
      </c>
      <c r="C119" s="148" t="str">
        <f t="shared" si="48"/>
        <v>$</v>
      </c>
      <c r="D119" s="176">
        <f t="shared" si="45"/>
        <v>-1000000</v>
      </c>
      <c r="E119" s="176">
        <f t="shared" si="45"/>
        <v>-5000000</v>
      </c>
      <c r="F119" s="176">
        <f t="shared" si="45"/>
        <v>0</v>
      </c>
      <c r="G119" s="176">
        <f t="shared" si="45"/>
        <v>0</v>
      </c>
      <c r="H119" s="176">
        <f t="shared" si="45"/>
        <v>0</v>
      </c>
      <c r="I119" s="176">
        <f t="shared" si="45"/>
        <v>0</v>
      </c>
      <c r="J119" s="176">
        <v>0</v>
      </c>
      <c r="K119" s="176">
        <v>0</v>
      </c>
      <c r="L119" s="176">
        <v>0</v>
      </c>
      <c r="M119" s="176">
        <f>INDEX($D$70:$I$70,0,MATCH(M$107,$D$68:$I$68,0))</f>
        <v>208606784.81012654</v>
      </c>
      <c r="N119" s="176">
        <v>0</v>
      </c>
      <c r="O119" s="176">
        <v>0</v>
      </c>
      <c r="P119" s="167">
        <f t="shared" ca="1" si="46"/>
        <v>1.2356731772422793</v>
      </c>
    </row>
    <row r="120" spans="2:16" outlineLevel="1">
      <c r="B120" s="161" t="str">
        <f t="shared" si="47"/>
        <v>A</v>
      </c>
      <c r="C120" s="148" t="str">
        <f t="shared" si="48"/>
        <v>$</v>
      </c>
      <c r="D120" s="176">
        <f t="shared" si="45"/>
        <v>-1000000</v>
      </c>
      <c r="E120" s="176">
        <f t="shared" si="45"/>
        <v>-5000000</v>
      </c>
      <c r="F120" s="176">
        <f t="shared" si="45"/>
        <v>0</v>
      </c>
      <c r="G120" s="176">
        <f t="shared" si="45"/>
        <v>0</v>
      </c>
      <c r="H120" s="176">
        <f t="shared" si="45"/>
        <v>0</v>
      </c>
      <c r="I120" s="176">
        <f t="shared" si="45"/>
        <v>0</v>
      </c>
      <c r="J120" s="176">
        <v>0</v>
      </c>
      <c r="K120" s="176">
        <v>0</v>
      </c>
      <c r="L120" s="176">
        <v>0</v>
      </c>
      <c r="M120" s="176">
        <v>0</v>
      </c>
      <c r="N120" s="176">
        <f>INDEX($D$70:$I$70,0,MATCH(N$107,$D$68:$I$68,0))</f>
        <v>387253236.8896926</v>
      </c>
      <c r="O120" s="176">
        <v>0</v>
      </c>
      <c r="P120" s="167">
        <f t="shared" ca="1" si="46"/>
        <v>1.0277454257011416</v>
      </c>
    </row>
    <row r="121" spans="2:16" outlineLevel="1">
      <c r="B121" s="161" t="str">
        <f t="shared" si="47"/>
        <v>A</v>
      </c>
      <c r="C121" s="148" t="str">
        <f t="shared" si="48"/>
        <v>$</v>
      </c>
      <c r="D121" s="176">
        <f t="shared" si="45"/>
        <v>-1000000</v>
      </c>
      <c r="E121" s="176">
        <f t="shared" si="45"/>
        <v>-5000000</v>
      </c>
      <c r="F121" s="176">
        <f t="shared" si="45"/>
        <v>0</v>
      </c>
      <c r="G121" s="176">
        <f t="shared" si="45"/>
        <v>0</v>
      </c>
      <c r="H121" s="176">
        <f t="shared" si="45"/>
        <v>0</v>
      </c>
      <c r="I121" s="176">
        <f t="shared" si="45"/>
        <v>0</v>
      </c>
      <c r="J121" s="176">
        <v>0</v>
      </c>
      <c r="K121" s="176">
        <v>0</v>
      </c>
      <c r="L121" s="176">
        <v>0</v>
      </c>
      <c r="M121" s="176">
        <v>0</v>
      </c>
      <c r="N121" s="176">
        <v>0</v>
      </c>
      <c r="O121" s="176">
        <f>INDEX($D$70:$I$70,0,MATCH(O$107,$D$68:$I$68,0))</f>
        <v>523292628.29706311</v>
      </c>
      <c r="P121" s="167">
        <f t="shared" ca="1" si="46"/>
        <v>0.83385850191116329</v>
      </c>
    </row>
    <row r="122" spans="2:16" outlineLevel="1"/>
    <row r="123" spans="2:16" outlineLevel="1">
      <c r="B123" s="161" t="str">
        <f>F$6</f>
        <v>B</v>
      </c>
      <c r="C123" s="148" t="str">
        <f>$C$15</f>
        <v>$</v>
      </c>
      <c r="D123" s="176">
        <f t="shared" ref="D123:I128" si="49">IF(D$108&lt;=INDEX($D$14:$I$14,0,MATCH($B123,$D$6:$I$6,0)),-1*INDEX($D$53:$I$53,0,MATCH(D$108,$D$14:$I$14,0)),0)</f>
        <v>-1000000</v>
      </c>
      <c r="E123" s="176">
        <f t="shared" si="49"/>
        <v>-5000000</v>
      </c>
      <c r="F123" s="176">
        <f t="shared" si="49"/>
        <v>-17500000</v>
      </c>
      <c r="G123" s="176">
        <f t="shared" si="49"/>
        <v>0</v>
      </c>
      <c r="H123" s="176">
        <f t="shared" si="49"/>
        <v>0</v>
      </c>
      <c r="I123" s="176">
        <f t="shared" si="49"/>
        <v>0</v>
      </c>
      <c r="J123" s="176">
        <v>0</v>
      </c>
      <c r="K123" s="176">
        <v>0</v>
      </c>
      <c r="L123" s="176">
        <v>0</v>
      </c>
      <c r="M123" s="176">
        <v>0</v>
      </c>
      <c r="N123" s="176">
        <v>0</v>
      </c>
      <c r="O123" s="176">
        <v>0</v>
      </c>
      <c r="P123" s="167" t="str">
        <f t="shared" ref="P123:P135" ca="1" si="50">IFERROR(XIRR(INDIRECT(ADDRESS(ROW(D123),COLUMN(D123)+MATCH(INDEX(D123:O123,MATCH(TRUE,INDEX(D123:O123&lt;&gt;0,),0)),D123:O123,0)-1,4)&amp;":"&amp;ADDRESS(ROW(D123),COLUMN(C123)+MATCH(O$108,D$108:O$108,1),4)),INDIRECT(ADDRESS(ROW(D$108),COLUMN(D$108)+MATCH(INDEX(D123:O123,MATCH(TRUE,INDEX(D123:O123&lt;&gt;0,),0)),D123:O123,0)-1,4)&amp;":"&amp;ADDRESS(ROW(D$108),COLUMN(C$108)+MATCH(O$108,D$108:O$108,1),4))),"na")</f>
        <v>na</v>
      </c>
    </row>
    <row r="124" spans="2:16" outlineLevel="1">
      <c r="B124" s="161" t="str">
        <f>F$6</f>
        <v>B</v>
      </c>
      <c r="C124" s="148" t="str">
        <f t="shared" ref="C124:C128" si="51">$C$15</f>
        <v>$</v>
      </c>
      <c r="D124" s="176">
        <f t="shared" si="49"/>
        <v>-1000000</v>
      </c>
      <c r="E124" s="176">
        <f t="shared" si="49"/>
        <v>-5000000</v>
      </c>
      <c r="F124" s="176">
        <f t="shared" si="49"/>
        <v>-17500000</v>
      </c>
      <c r="G124" s="176">
        <f t="shared" si="49"/>
        <v>0</v>
      </c>
      <c r="H124" s="176">
        <f t="shared" si="49"/>
        <v>0</v>
      </c>
      <c r="I124" s="176">
        <f t="shared" si="49"/>
        <v>0</v>
      </c>
      <c r="J124" s="176">
        <v>0</v>
      </c>
      <c r="K124" s="176">
        <v>0</v>
      </c>
      <c r="L124" s="176">
        <v>0</v>
      </c>
      <c r="M124" s="176">
        <v>0</v>
      </c>
      <c r="N124" s="176">
        <v>0</v>
      </c>
      <c r="O124" s="176">
        <v>0</v>
      </c>
      <c r="P124" s="167" t="str">
        <f t="shared" ca="1" si="50"/>
        <v>na</v>
      </c>
    </row>
    <row r="125" spans="2:16" outlineLevel="1">
      <c r="B125" s="161" t="str">
        <f>F$6</f>
        <v>B</v>
      </c>
      <c r="C125" s="148" t="str">
        <f t="shared" si="51"/>
        <v>$</v>
      </c>
      <c r="D125" s="176">
        <f t="shared" si="49"/>
        <v>-1000000</v>
      </c>
      <c r="E125" s="176">
        <f t="shared" si="49"/>
        <v>-5000000</v>
      </c>
      <c r="F125" s="176">
        <f t="shared" si="49"/>
        <v>-17500000</v>
      </c>
      <c r="G125" s="176">
        <f t="shared" si="49"/>
        <v>0</v>
      </c>
      <c r="H125" s="176">
        <f t="shared" si="49"/>
        <v>0</v>
      </c>
      <c r="I125" s="176">
        <f t="shared" si="49"/>
        <v>0</v>
      </c>
      <c r="J125" s="176">
        <v>0</v>
      </c>
      <c r="K125" s="176">
        <v>0</v>
      </c>
      <c r="L125" s="176">
        <f>INDEX($D$71:$I$71,0,MATCH(L$107,$D$68:$I$68,0))</f>
        <v>57109000</v>
      </c>
      <c r="M125" s="176">
        <v>0</v>
      </c>
      <c r="N125" s="176">
        <v>0</v>
      </c>
      <c r="O125" s="176">
        <v>0</v>
      </c>
      <c r="P125" s="167">
        <f t="shared" ca="1" si="50"/>
        <v>0.70131539106369023</v>
      </c>
    </row>
    <row r="126" spans="2:16" outlineLevel="1">
      <c r="B126" s="161" t="str">
        <f t="shared" ref="B126:B128" si="52">F$6</f>
        <v>B</v>
      </c>
      <c r="C126" s="148" t="str">
        <f t="shared" si="51"/>
        <v>$</v>
      </c>
      <c r="D126" s="176">
        <f t="shared" si="49"/>
        <v>-1000000</v>
      </c>
      <c r="E126" s="176">
        <f t="shared" si="49"/>
        <v>-5000000</v>
      </c>
      <c r="F126" s="176">
        <f t="shared" si="49"/>
        <v>-17500000</v>
      </c>
      <c r="G126" s="176">
        <f t="shared" si="49"/>
        <v>0</v>
      </c>
      <c r="H126" s="176">
        <f t="shared" si="49"/>
        <v>0</v>
      </c>
      <c r="I126" s="176">
        <f t="shared" si="49"/>
        <v>0</v>
      </c>
      <c r="J126" s="176">
        <v>0</v>
      </c>
      <c r="K126" s="176">
        <v>0</v>
      </c>
      <c r="L126" s="176">
        <v>0</v>
      </c>
      <c r="M126" s="176">
        <f>INDEX($D$71:$I$71,0,MATCH(M$107,$D$68:$I$68,0))</f>
        <v>289270708.86075944</v>
      </c>
      <c r="N126" s="176">
        <v>0</v>
      </c>
      <c r="O126" s="176">
        <v>0</v>
      </c>
      <c r="P126" s="167">
        <f t="shared" ca="1" si="50"/>
        <v>1.1434364914894104</v>
      </c>
    </row>
    <row r="127" spans="2:16" outlineLevel="1">
      <c r="B127" s="161" t="str">
        <f t="shared" si="52"/>
        <v>B</v>
      </c>
      <c r="C127" s="148" t="str">
        <f t="shared" si="51"/>
        <v>$</v>
      </c>
      <c r="D127" s="176">
        <f t="shared" si="49"/>
        <v>-1000000</v>
      </c>
      <c r="E127" s="176">
        <f t="shared" si="49"/>
        <v>-5000000</v>
      </c>
      <c r="F127" s="176">
        <f t="shared" si="49"/>
        <v>-17500000</v>
      </c>
      <c r="G127" s="176">
        <f t="shared" si="49"/>
        <v>0</v>
      </c>
      <c r="H127" s="176">
        <f t="shared" si="49"/>
        <v>0</v>
      </c>
      <c r="I127" s="176">
        <f t="shared" si="49"/>
        <v>0</v>
      </c>
      <c r="J127" s="176">
        <v>0</v>
      </c>
      <c r="K127" s="176">
        <v>0</v>
      </c>
      <c r="L127" s="176">
        <v>0</v>
      </c>
      <c r="M127" s="176">
        <v>0</v>
      </c>
      <c r="N127" s="176">
        <f>INDEX($D$71:$I$71,0,MATCH(N$107,$D$68:$I$68,0))</f>
        <v>536996044.7147789</v>
      </c>
      <c r="O127" s="176">
        <v>0</v>
      </c>
      <c r="P127" s="167">
        <f t="shared" ca="1" si="50"/>
        <v>0.93457933664321913</v>
      </c>
    </row>
    <row r="128" spans="2:16" outlineLevel="1">
      <c r="B128" s="161" t="str">
        <f t="shared" si="52"/>
        <v>B</v>
      </c>
      <c r="C128" s="148" t="str">
        <f t="shared" si="51"/>
        <v>$</v>
      </c>
      <c r="D128" s="176">
        <f t="shared" si="49"/>
        <v>-1000000</v>
      </c>
      <c r="E128" s="176">
        <f t="shared" si="49"/>
        <v>-5000000</v>
      </c>
      <c r="F128" s="176">
        <f t="shared" si="49"/>
        <v>-17500000</v>
      </c>
      <c r="G128" s="176">
        <f t="shared" si="49"/>
        <v>0</v>
      </c>
      <c r="H128" s="176">
        <f t="shared" si="49"/>
        <v>0</v>
      </c>
      <c r="I128" s="176">
        <f t="shared" si="49"/>
        <v>0</v>
      </c>
      <c r="J128" s="176">
        <v>0</v>
      </c>
      <c r="K128" s="176">
        <v>0</v>
      </c>
      <c r="L128" s="176">
        <v>0</v>
      </c>
      <c r="M128" s="176">
        <v>0</v>
      </c>
      <c r="N128" s="176">
        <v>0</v>
      </c>
      <c r="O128" s="176">
        <f>INDEX($D$71:$I$71,0,MATCH(O$107,$D$68:$I$68,0))</f>
        <v>725639051.80208278</v>
      </c>
      <c r="P128" s="167">
        <f t="shared" ca="1" si="50"/>
        <v>0.74172877073287968</v>
      </c>
    </row>
    <row r="129" spans="2:16" outlineLevel="1"/>
    <row r="130" spans="2:16" outlineLevel="1">
      <c r="B130" s="161" t="str">
        <f t="shared" ref="B130:B135" si="53">G$6</f>
        <v>C</v>
      </c>
      <c r="C130" s="148" t="str">
        <f>$C$15</f>
        <v>$</v>
      </c>
      <c r="D130" s="176">
        <f t="shared" ref="D130:I135" si="54">IF(D$108&lt;=INDEX($D$14:$I$14,0,MATCH($B130,$D$6:$I$6,0)),-1*INDEX($D$53:$I$53,0,MATCH(D$108,$D$14:$I$14,0)),0)</f>
        <v>-1000000</v>
      </c>
      <c r="E130" s="176">
        <f t="shared" si="54"/>
        <v>-5000000</v>
      </c>
      <c r="F130" s="176">
        <f t="shared" si="54"/>
        <v>-17500000</v>
      </c>
      <c r="G130" s="176">
        <f t="shared" si="54"/>
        <v>-35000000</v>
      </c>
      <c r="H130" s="176">
        <f t="shared" si="54"/>
        <v>0</v>
      </c>
      <c r="I130" s="176">
        <f t="shared" si="54"/>
        <v>0</v>
      </c>
      <c r="J130" s="176">
        <v>0</v>
      </c>
      <c r="K130" s="176">
        <v>0</v>
      </c>
      <c r="L130" s="176">
        <v>0</v>
      </c>
      <c r="M130" s="176">
        <v>0</v>
      </c>
      <c r="N130" s="176">
        <v>0</v>
      </c>
      <c r="O130" s="176">
        <v>0</v>
      </c>
      <c r="P130" s="167" t="str">
        <f t="shared" ca="1" si="50"/>
        <v>na</v>
      </c>
    </row>
    <row r="131" spans="2:16" outlineLevel="1">
      <c r="B131" s="161" t="str">
        <f t="shared" si="53"/>
        <v>C</v>
      </c>
      <c r="C131" s="148" t="str">
        <f t="shared" ref="C131:C135" si="55">$C$15</f>
        <v>$</v>
      </c>
      <c r="D131" s="176">
        <f t="shared" si="54"/>
        <v>-1000000</v>
      </c>
      <c r="E131" s="176">
        <f t="shared" si="54"/>
        <v>-5000000</v>
      </c>
      <c r="F131" s="176">
        <f t="shared" si="54"/>
        <v>-17500000</v>
      </c>
      <c r="G131" s="176">
        <f t="shared" si="54"/>
        <v>-35000000</v>
      </c>
      <c r="H131" s="176">
        <f t="shared" si="54"/>
        <v>0</v>
      </c>
      <c r="I131" s="176">
        <f t="shared" si="54"/>
        <v>0</v>
      </c>
      <c r="J131" s="176">
        <v>0</v>
      </c>
      <c r="K131" s="176">
        <v>0</v>
      </c>
      <c r="L131" s="176">
        <v>0</v>
      </c>
      <c r="M131" s="176">
        <v>0</v>
      </c>
      <c r="N131" s="176">
        <v>0</v>
      </c>
      <c r="O131" s="176">
        <v>0</v>
      </c>
      <c r="P131" s="167" t="str">
        <f t="shared" ca="1" si="50"/>
        <v>na</v>
      </c>
    </row>
    <row r="132" spans="2:16" outlineLevel="1">
      <c r="B132" s="161" t="str">
        <f t="shared" si="53"/>
        <v>C</v>
      </c>
      <c r="C132" s="148" t="str">
        <f t="shared" si="55"/>
        <v>$</v>
      </c>
      <c r="D132" s="176">
        <f t="shared" si="54"/>
        <v>-1000000</v>
      </c>
      <c r="E132" s="176">
        <f t="shared" si="54"/>
        <v>-5000000</v>
      </c>
      <c r="F132" s="176">
        <f t="shared" si="54"/>
        <v>-17500000</v>
      </c>
      <c r="G132" s="176">
        <f t="shared" si="54"/>
        <v>-35000000</v>
      </c>
      <c r="H132" s="176">
        <f t="shared" si="54"/>
        <v>0</v>
      </c>
      <c r="I132" s="176">
        <f t="shared" si="54"/>
        <v>0</v>
      </c>
      <c r="J132" s="176">
        <v>0</v>
      </c>
      <c r="K132" s="176">
        <v>0</v>
      </c>
      <c r="L132" s="176">
        <v>0</v>
      </c>
      <c r="M132" s="176">
        <v>0</v>
      </c>
      <c r="N132" s="176">
        <v>0</v>
      </c>
      <c r="O132" s="176">
        <v>0</v>
      </c>
      <c r="P132" s="167" t="str">
        <f t="shared" ca="1" si="50"/>
        <v>na</v>
      </c>
    </row>
    <row r="133" spans="2:16" outlineLevel="1">
      <c r="B133" s="161" t="str">
        <f t="shared" si="53"/>
        <v>C</v>
      </c>
      <c r="C133" s="148" t="str">
        <f t="shared" si="55"/>
        <v>$</v>
      </c>
      <c r="D133" s="176">
        <f t="shared" si="54"/>
        <v>-1000000</v>
      </c>
      <c r="E133" s="176">
        <f t="shared" si="54"/>
        <v>-5000000</v>
      </c>
      <c r="F133" s="176">
        <f t="shared" si="54"/>
        <v>-17500000</v>
      </c>
      <c r="G133" s="176">
        <f t="shared" si="54"/>
        <v>-35000000</v>
      </c>
      <c r="H133" s="176">
        <f t="shared" si="54"/>
        <v>0</v>
      </c>
      <c r="I133" s="176">
        <f t="shared" si="54"/>
        <v>0</v>
      </c>
      <c r="J133" s="176">
        <v>0</v>
      </c>
      <c r="K133" s="176">
        <v>0</v>
      </c>
      <c r="L133" s="176">
        <v>0</v>
      </c>
      <c r="M133" s="176">
        <f>INDEX($D$72:$I$72,0,MATCH(M$107,$D$68:$I$68,0))</f>
        <v>330920708.86075944</v>
      </c>
      <c r="N133" s="176">
        <v>0</v>
      </c>
      <c r="O133" s="176">
        <v>0</v>
      </c>
      <c r="P133" s="167">
        <f t="shared" ca="1" si="50"/>
        <v>1.0787555575370791</v>
      </c>
    </row>
    <row r="134" spans="2:16" outlineLevel="1">
      <c r="B134" s="161" t="str">
        <f t="shared" si="53"/>
        <v>C</v>
      </c>
      <c r="C134" s="148" t="str">
        <f t="shared" si="55"/>
        <v>$</v>
      </c>
      <c r="D134" s="176">
        <f t="shared" si="54"/>
        <v>-1000000</v>
      </c>
      <c r="E134" s="176">
        <f t="shared" si="54"/>
        <v>-5000000</v>
      </c>
      <c r="F134" s="176">
        <f t="shared" si="54"/>
        <v>-17500000</v>
      </c>
      <c r="G134" s="176">
        <f t="shared" si="54"/>
        <v>-35000000</v>
      </c>
      <c r="H134" s="176">
        <f t="shared" si="54"/>
        <v>0</v>
      </c>
      <c r="I134" s="176">
        <f t="shared" si="54"/>
        <v>0</v>
      </c>
      <c r="J134" s="176">
        <v>0</v>
      </c>
      <c r="K134" s="176">
        <v>0</v>
      </c>
      <c r="L134" s="176">
        <v>0</v>
      </c>
      <c r="M134" s="176">
        <v>0</v>
      </c>
      <c r="N134" s="176">
        <f>INDEX($D$72:$I$72,0,MATCH(N$107,$D$68:$I$68,0))</f>
        <v>614314226.53296077</v>
      </c>
      <c r="O134" s="176">
        <v>0</v>
      </c>
      <c r="P134" s="167">
        <f t="shared" ca="1" si="50"/>
        <v>0.86607216596603398</v>
      </c>
    </row>
    <row r="135" spans="2:16" outlineLevel="1">
      <c r="B135" s="161" t="str">
        <f t="shared" si="53"/>
        <v>C</v>
      </c>
      <c r="C135" s="148" t="str">
        <f t="shared" si="55"/>
        <v>$</v>
      </c>
      <c r="D135" s="176">
        <f t="shared" si="54"/>
        <v>-1000000</v>
      </c>
      <c r="E135" s="176">
        <f t="shared" si="54"/>
        <v>-5000000</v>
      </c>
      <c r="F135" s="176">
        <f t="shared" si="54"/>
        <v>-17500000</v>
      </c>
      <c r="G135" s="176">
        <f t="shared" si="54"/>
        <v>-35000000</v>
      </c>
      <c r="H135" s="176">
        <f t="shared" si="54"/>
        <v>0</v>
      </c>
      <c r="I135" s="176">
        <f t="shared" si="54"/>
        <v>0</v>
      </c>
      <c r="J135" s="176">
        <v>0</v>
      </c>
      <c r="K135" s="176">
        <v>0</v>
      </c>
      <c r="L135" s="176">
        <v>0</v>
      </c>
      <c r="M135" s="176">
        <v>0</v>
      </c>
      <c r="N135" s="176">
        <v>0</v>
      </c>
      <c r="O135" s="176">
        <f>INDEX($D$72:$I$72,0,MATCH(O$107,$D$68:$I$68,0))</f>
        <v>830118577.66415179</v>
      </c>
      <c r="P135" s="167">
        <f t="shared" ca="1" si="50"/>
        <v>0.67146843075752261</v>
      </c>
    </row>
    <row r="136" spans="2:16" outlineLevel="1"/>
    <row r="137" spans="2:16" outlineLevel="1">
      <c r="B137" s="161" t="str">
        <f t="shared" ref="B137:B140" si="56">H$6</f>
        <v>D</v>
      </c>
      <c r="C137" s="148" t="str">
        <f>$C$15</f>
        <v>$</v>
      </c>
      <c r="D137" s="176">
        <f t="shared" ref="D137:I142" si="57">IF(D$108&lt;=INDEX($D$14:$I$14,0,MATCH($B137,$D$6:$I$6,0)),-1*INDEX($D$53:$I$53,0,MATCH(D$108,$D$14:$I$14,0)),0)</f>
        <v>-1000000</v>
      </c>
      <c r="E137" s="176">
        <f t="shared" si="57"/>
        <v>-5000000</v>
      </c>
      <c r="F137" s="176">
        <f t="shared" si="57"/>
        <v>-17500000</v>
      </c>
      <c r="G137" s="176">
        <f t="shared" si="57"/>
        <v>-35000000</v>
      </c>
      <c r="H137" s="176">
        <f t="shared" si="57"/>
        <v>-70000000</v>
      </c>
      <c r="I137" s="176">
        <f t="shared" si="57"/>
        <v>0</v>
      </c>
      <c r="J137" s="176">
        <v>0</v>
      </c>
      <c r="K137" s="176">
        <v>0</v>
      </c>
      <c r="L137" s="176">
        <v>0</v>
      </c>
      <c r="M137" s="176">
        <v>0</v>
      </c>
      <c r="N137" s="176">
        <v>0</v>
      </c>
      <c r="O137" s="176">
        <v>0</v>
      </c>
      <c r="P137" s="167" t="str">
        <f t="shared" ref="P137:P142" ca="1" si="58">IFERROR(XIRR(INDIRECT(ADDRESS(ROW(D137),COLUMN(D137)+MATCH(INDEX(D137:O137,MATCH(TRUE,INDEX(D137:O137&lt;&gt;0,),0)),D137:O137,0)-1,4)&amp;":"&amp;ADDRESS(ROW(D137),COLUMN(C137)+MATCH(O$108,D$108:O$108,1),4)),INDIRECT(ADDRESS(ROW(D$108),COLUMN(D$108)+MATCH(INDEX(D137:O137,MATCH(TRUE,INDEX(D137:O137&lt;&gt;0,),0)),D137:O137,0)-1,4)&amp;":"&amp;ADDRESS(ROW(D$108),COLUMN(C$108)+MATCH(O$108,D$108:O$108,1),4))),"na")</f>
        <v>na</v>
      </c>
    </row>
    <row r="138" spans="2:16" outlineLevel="1">
      <c r="B138" s="161" t="str">
        <f t="shared" si="56"/>
        <v>D</v>
      </c>
      <c r="C138" s="148" t="str">
        <f t="shared" ref="C138:C142" si="59">$C$15</f>
        <v>$</v>
      </c>
      <c r="D138" s="176">
        <f t="shared" si="57"/>
        <v>-1000000</v>
      </c>
      <c r="E138" s="176">
        <f t="shared" si="57"/>
        <v>-5000000</v>
      </c>
      <c r="F138" s="176">
        <f t="shared" si="57"/>
        <v>-17500000</v>
      </c>
      <c r="G138" s="176">
        <f t="shared" si="57"/>
        <v>-35000000</v>
      </c>
      <c r="H138" s="176">
        <f t="shared" si="57"/>
        <v>-70000000</v>
      </c>
      <c r="I138" s="176">
        <f t="shared" si="57"/>
        <v>0</v>
      </c>
      <c r="J138" s="176">
        <v>0</v>
      </c>
      <c r="K138" s="176">
        <v>0</v>
      </c>
      <c r="L138" s="176">
        <v>0</v>
      </c>
      <c r="M138" s="176">
        <v>0</v>
      </c>
      <c r="N138" s="176">
        <v>0</v>
      </c>
      <c r="O138" s="176">
        <v>0</v>
      </c>
      <c r="P138" s="167" t="str">
        <f t="shared" ca="1" si="58"/>
        <v>na</v>
      </c>
    </row>
    <row r="139" spans="2:16" outlineLevel="1">
      <c r="B139" s="161" t="str">
        <f t="shared" si="56"/>
        <v>D</v>
      </c>
      <c r="C139" s="148" t="str">
        <f t="shared" si="59"/>
        <v>$</v>
      </c>
      <c r="D139" s="176">
        <f t="shared" si="57"/>
        <v>-1000000</v>
      </c>
      <c r="E139" s="176">
        <f t="shared" si="57"/>
        <v>-5000000</v>
      </c>
      <c r="F139" s="176">
        <f t="shared" si="57"/>
        <v>-17500000</v>
      </c>
      <c r="G139" s="176">
        <f t="shared" si="57"/>
        <v>-35000000</v>
      </c>
      <c r="H139" s="176">
        <f t="shared" si="57"/>
        <v>-70000000</v>
      </c>
      <c r="I139" s="176">
        <f t="shared" si="57"/>
        <v>0</v>
      </c>
      <c r="J139" s="176">
        <v>0</v>
      </c>
      <c r="K139" s="176">
        <v>0</v>
      </c>
      <c r="L139" s="176">
        <v>0</v>
      </c>
      <c r="M139" s="176">
        <v>0</v>
      </c>
      <c r="N139" s="176">
        <v>0</v>
      </c>
      <c r="O139" s="176">
        <v>0</v>
      </c>
      <c r="P139" s="167" t="str">
        <f t="shared" ca="1" si="58"/>
        <v>na</v>
      </c>
    </row>
    <row r="140" spans="2:16" outlineLevel="1">
      <c r="B140" s="161" t="str">
        <f t="shared" si="56"/>
        <v>D</v>
      </c>
      <c r="C140" s="148" t="str">
        <f t="shared" si="59"/>
        <v>$</v>
      </c>
      <c r="D140" s="176">
        <f t="shared" si="57"/>
        <v>-1000000</v>
      </c>
      <c r="E140" s="176">
        <f t="shared" si="57"/>
        <v>-5000000</v>
      </c>
      <c r="F140" s="176">
        <f t="shared" si="57"/>
        <v>-17500000</v>
      </c>
      <c r="G140" s="176">
        <f t="shared" si="57"/>
        <v>-35000000</v>
      </c>
      <c r="H140" s="176">
        <f t="shared" si="57"/>
        <v>-70000000</v>
      </c>
      <c r="I140" s="176">
        <f t="shared" si="57"/>
        <v>0</v>
      </c>
      <c r="J140" s="176">
        <v>0</v>
      </c>
      <c r="K140" s="176">
        <v>0</v>
      </c>
      <c r="L140" s="176">
        <v>0</v>
      </c>
      <c r="M140" s="176">
        <v>0</v>
      </c>
      <c r="N140" s="176">
        <v>0</v>
      </c>
      <c r="O140" s="176">
        <v>0</v>
      </c>
      <c r="P140" s="167" t="str">
        <f t="shared" ca="1" si="58"/>
        <v>na</v>
      </c>
    </row>
    <row r="141" spans="2:16" outlineLevel="1">
      <c r="B141" s="161" t="str">
        <f>H$6</f>
        <v>D</v>
      </c>
      <c r="C141" s="148" t="str">
        <f t="shared" si="59"/>
        <v>$</v>
      </c>
      <c r="D141" s="176">
        <f t="shared" si="57"/>
        <v>-1000000</v>
      </c>
      <c r="E141" s="176">
        <f t="shared" si="57"/>
        <v>-5000000</v>
      </c>
      <c r="F141" s="176">
        <f t="shared" si="57"/>
        <v>-17500000</v>
      </c>
      <c r="G141" s="176">
        <f t="shared" si="57"/>
        <v>-35000000</v>
      </c>
      <c r="H141" s="176">
        <f t="shared" si="57"/>
        <v>-70000000</v>
      </c>
      <c r="I141" s="176">
        <f t="shared" si="57"/>
        <v>0</v>
      </c>
      <c r="J141" s="176">
        <v>0</v>
      </c>
      <c r="K141" s="176">
        <v>0</v>
      </c>
      <c r="L141" s="176">
        <v>0</v>
      </c>
      <c r="M141" s="176">
        <v>0</v>
      </c>
      <c r="N141" s="176">
        <f>INDEX($D$73:$I$73,0,MATCH(N$107,$D$68:$I$68,0))</f>
        <v>689914226.53296077</v>
      </c>
      <c r="O141" s="176">
        <v>0</v>
      </c>
      <c r="P141" s="167">
        <f t="shared" ca="1" si="58"/>
        <v>0.8280052304267882</v>
      </c>
    </row>
    <row r="142" spans="2:16" outlineLevel="1">
      <c r="B142" s="161" t="str">
        <f>I$6</f>
        <v>E</v>
      </c>
      <c r="C142" s="148" t="str">
        <f t="shared" si="59"/>
        <v>$</v>
      </c>
      <c r="D142" s="176">
        <f t="shared" si="57"/>
        <v>-1000000</v>
      </c>
      <c r="E142" s="176">
        <f t="shared" si="57"/>
        <v>-5000000</v>
      </c>
      <c r="F142" s="176">
        <f t="shared" si="57"/>
        <v>-17500000</v>
      </c>
      <c r="G142" s="176">
        <f t="shared" si="57"/>
        <v>-35000000</v>
      </c>
      <c r="H142" s="176">
        <f t="shared" si="57"/>
        <v>-70000000</v>
      </c>
      <c r="I142" s="176">
        <f t="shared" si="57"/>
        <v>-140000000</v>
      </c>
      <c r="J142" s="176">
        <v>0</v>
      </c>
      <c r="K142" s="176">
        <v>0</v>
      </c>
      <c r="L142" s="176">
        <v>0</v>
      </c>
      <c r="M142" s="176">
        <v>0</v>
      </c>
      <c r="N142" s="176">
        <v>0</v>
      </c>
      <c r="O142" s="176">
        <f>INDEX($D$73:$I$73,0,MATCH(O$107,$D$68:$I$68,0))</f>
        <v>932276336.28484154</v>
      </c>
      <c r="P142" s="167">
        <f t="shared" ca="1" si="58"/>
        <v>0.53287493586540235</v>
      </c>
    </row>
    <row r="143" spans="2:16" outlineLevel="1"/>
    <row r="144" spans="2:16" outlineLevel="1">
      <c r="B144" s="161" t="str">
        <f>I$6</f>
        <v>E</v>
      </c>
      <c r="C144" s="148" t="str">
        <f>$C$15</f>
        <v>$</v>
      </c>
      <c r="D144" s="176">
        <f t="shared" ref="D144:I149" si="60">IF(D$108&lt;=INDEX($D$14:$I$14,0,MATCH($B144,$D$6:$I$6,0)),-1*INDEX($D$53:$I$53,0,MATCH(D$108,$D$14:$I$14,0)),0)</f>
        <v>-1000000</v>
      </c>
      <c r="E144" s="176">
        <f t="shared" si="60"/>
        <v>-5000000</v>
      </c>
      <c r="F144" s="176">
        <f t="shared" si="60"/>
        <v>-17500000</v>
      </c>
      <c r="G144" s="176">
        <f t="shared" si="60"/>
        <v>-35000000</v>
      </c>
      <c r="H144" s="176">
        <f t="shared" si="60"/>
        <v>-70000000</v>
      </c>
      <c r="I144" s="176">
        <f t="shared" si="60"/>
        <v>-140000000</v>
      </c>
      <c r="J144" s="176">
        <v>0</v>
      </c>
      <c r="K144" s="176">
        <v>0</v>
      </c>
      <c r="L144" s="176">
        <v>0</v>
      </c>
      <c r="M144" s="176">
        <v>0</v>
      </c>
      <c r="N144" s="176">
        <v>0</v>
      </c>
      <c r="O144" s="176">
        <v>0</v>
      </c>
      <c r="P144" s="167" t="str">
        <f t="shared" ref="P144:P149" ca="1" si="61">IFERROR(XIRR(INDIRECT(ADDRESS(ROW(D144),COLUMN(D144)+MATCH(INDEX(D144:O144,MATCH(TRUE,INDEX(D144:O144&lt;&gt;0,),0)),D144:O144,0)-1,4)&amp;":"&amp;ADDRESS(ROW(D144),COLUMN(C144)+MATCH(O$108,D$108:O$108,1),4)),INDIRECT(ADDRESS(ROW(D$108),COLUMN(D$108)+MATCH(INDEX(D144:O144,MATCH(TRUE,INDEX(D144:O144&lt;&gt;0,),0)),D144:O144,0)-1,4)&amp;":"&amp;ADDRESS(ROW(D$108),COLUMN(C$108)+MATCH(O$108,D$108:O$108,1),4))),"na")</f>
        <v>na</v>
      </c>
    </row>
    <row r="145" spans="2:16" outlineLevel="1">
      <c r="B145" s="161" t="str">
        <f t="shared" ref="B145:B149" si="62">I$6</f>
        <v>E</v>
      </c>
      <c r="C145" s="148" t="str">
        <f t="shared" ref="C145:C149" si="63">$C$15</f>
        <v>$</v>
      </c>
      <c r="D145" s="176">
        <f t="shared" si="60"/>
        <v>-1000000</v>
      </c>
      <c r="E145" s="176">
        <f t="shared" si="60"/>
        <v>-5000000</v>
      </c>
      <c r="F145" s="176">
        <f t="shared" si="60"/>
        <v>-17500000</v>
      </c>
      <c r="G145" s="176">
        <f t="shared" si="60"/>
        <v>-35000000</v>
      </c>
      <c r="H145" s="176">
        <f t="shared" si="60"/>
        <v>-70000000</v>
      </c>
      <c r="I145" s="176">
        <f t="shared" si="60"/>
        <v>-140000000</v>
      </c>
      <c r="J145" s="176">
        <v>0</v>
      </c>
      <c r="K145" s="176">
        <v>0</v>
      </c>
      <c r="L145" s="176">
        <v>0</v>
      </c>
      <c r="M145" s="176">
        <v>0</v>
      </c>
      <c r="N145" s="176">
        <v>0</v>
      </c>
      <c r="O145" s="176">
        <v>0</v>
      </c>
      <c r="P145" s="167" t="str">
        <f t="shared" ca="1" si="61"/>
        <v>na</v>
      </c>
    </row>
    <row r="146" spans="2:16" outlineLevel="1">
      <c r="B146" s="161" t="str">
        <f t="shared" si="62"/>
        <v>E</v>
      </c>
      <c r="C146" s="148" t="str">
        <f t="shared" si="63"/>
        <v>$</v>
      </c>
      <c r="D146" s="176">
        <f t="shared" si="60"/>
        <v>-1000000</v>
      </c>
      <c r="E146" s="176">
        <f t="shared" si="60"/>
        <v>-5000000</v>
      </c>
      <c r="F146" s="176">
        <f t="shared" si="60"/>
        <v>-17500000</v>
      </c>
      <c r="G146" s="176">
        <f t="shared" si="60"/>
        <v>-35000000</v>
      </c>
      <c r="H146" s="176">
        <f t="shared" si="60"/>
        <v>-70000000</v>
      </c>
      <c r="I146" s="176">
        <f t="shared" si="60"/>
        <v>-140000000</v>
      </c>
      <c r="J146" s="176">
        <v>0</v>
      </c>
      <c r="K146" s="176">
        <v>0</v>
      </c>
      <c r="L146" s="176">
        <v>0</v>
      </c>
      <c r="M146" s="176">
        <v>0</v>
      </c>
      <c r="N146" s="176">
        <v>0</v>
      </c>
      <c r="O146" s="176">
        <v>0</v>
      </c>
      <c r="P146" s="167" t="str">
        <f t="shared" ca="1" si="61"/>
        <v>na</v>
      </c>
    </row>
    <row r="147" spans="2:16" outlineLevel="1">
      <c r="B147" s="161" t="str">
        <f t="shared" si="62"/>
        <v>E</v>
      </c>
      <c r="C147" s="148" t="str">
        <f t="shared" si="63"/>
        <v>$</v>
      </c>
      <c r="D147" s="176">
        <f t="shared" si="60"/>
        <v>-1000000</v>
      </c>
      <c r="E147" s="176">
        <f t="shared" si="60"/>
        <v>-5000000</v>
      </c>
      <c r="F147" s="176">
        <f t="shared" si="60"/>
        <v>-17500000</v>
      </c>
      <c r="G147" s="176">
        <f t="shared" si="60"/>
        <v>-35000000</v>
      </c>
      <c r="H147" s="176">
        <f t="shared" si="60"/>
        <v>-70000000</v>
      </c>
      <c r="I147" s="176">
        <f t="shared" si="60"/>
        <v>-140000000</v>
      </c>
      <c r="J147" s="176">
        <v>0</v>
      </c>
      <c r="K147" s="176">
        <v>0</v>
      </c>
      <c r="L147" s="176">
        <v>0</v>
      </c>
      <c r="M147" s="176">
        <v>0</v>
      </c>
      <c r="N147" s="176">
        <v>0</v>
      </c>
      <c r="O147" s="176">
        <v>0</v>
      </c>
      <c r="P147" s="167" t="str">
        <f t="shared" ca="1" si="61"/>
        <v>na</v>
      </c>
    </row>
    <row r="148" spans="2:16" outlineLevel="1">
      <c r="B148" s="161" t="str">
        <f t="shared" si="62"/>
        <v>E</v>
      </c>
      <c r="C148" s="148" t="str">
        <f t="shared" si="63"/>
        <v>$</v>
      </c>
      <c r="D148" s="176">
        <f t="shared" si="60"/>
        <v>-1000000</v>
      </c>
      <c r="E148" s="176">
        <f t="shared" si="60"/>
        <v>-5000000</v>
      </c>
      <c r="F148" s="176">
        <f t="shared" si="60"/>
        <v>-17500000</v>
      </c>
      <c r="G148" s="176">
        <f t="shared" si="60"/>
        <v>-35000000</v>
      </c>
      <c r="H148" s="176">
        <f t="shared" si="60"/>
        <v>-70000000</v>
      </c>
      <c r="I148" s="176">
        <f t="shared" si="60"/>
        <v>-140000000</v>
      </c>
      <c r="J148" s="176">
        <v>0</v>
      </c>
      <c r="K148" s="176">
        <v>0</v>
      </c>
      <c r="L148" s="176">
        <v>0</v>
      </c>
      <c r="M148" s="176">
        <v>0</v>
      </c>
      <c r="N148" s="176">
        <v>0</v>
      </c>
      <c r="O148" s="176">
        <v>0</v>
      </c>
      <c r="P148" s="167" t="str">
        <f t="shared" ca="1" si="61"/>
        <v>na</v>
      </c>
    </row>
    <row r="149" spans="2:16" outlineLevel="1">
      <c r="B149" s="161" t="str">
        <f t="shared" si="62"/>
        <v>E</v>
      </c>
      <c r="C149" s="148" t="str">
        <f t="shared" si="63"/>
        <v>$</v>
      </c>
      <c r="D149" s="176">
        <f t="shared" si="60"/>
        <v>-1000000</v>
      </c>
      <c r="E149" s="176">
        <f t="shared" si="60"/>
        <v>-5000000</v>
      </c>
      <c r="F149" s="176">
        <f t="shared" si="60"/>
        <v>-17500000</v>
      </c>
      <c r="G149" s="176">
        <f t="shared" si="60"/>
        <v>-35000000</v>
      </c>
      <c r="H149" s="176">
        <f t="shared" si="60"/>
        <v>-70000000</v>
      </c>
      <c r="I149" s="176">
        <f t="shared" si="60"/>
        <v>-140000000</v>
      </c>
      <c r="J149" s="176">
        <v>0</v>
      </c>
      <c r="K149" s="176">
        <v>0</v>
      </c>
      <c r="L149" s="176">
        <v>0</v>
      </c>
      <c r="M149" s="176">
        <v>0</v>
      </c>
      <c r="N149" s="176">
        <v>0</v>
      </c>
      <c r="O149" s="176">
        <f>INDEX($D$74:$I$74,0,MATCH(O$107,$D$68:$I$68,0))</f>
        <v>1078576336.2848415</v>
      </c>
      <c r="P149" s="167">
        <f t="shared" ca="1" si="61"/>
        <v>0.59170518517494208</v>
      </c>
    </row>
    <row r="150" spans="2:16" outlineLevel="1"/>
  </sheetData>
  <conditionalFormatting sqref="D85:I90">
    <cfRule type="colorScale" priority="3">
      <colorScale>
        <cfvo type="min"/>
        <cfvo type="percentile" val="50"/>
        <cfvo type="max"/>
        <color theme="0"/>
        <color rgb="FFFFEB84"/>
        <color rgb="FF63BE7B"/>
      </colorScale>
    </cfRule>
  </conditionalFormatting>
  <conditionalFormatting sqref="D77:I82">
    <cfRule type="colorScale" priority="2">
      <colorScale>
        <cfvo type="min"/>
        <cfvo type="percentile" val="50"/>
        <cfvo type="max"/>
        <color theme="0"/>
        <color rgb="FFFFEB84"/>
        <color rgb="FF63BE7B"/>
      </colorScale>
    </cfRule>
  </conditionalFormatting>
  <conditionalFormatting sqref="D69:I74">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2:B66"/>
  <sheetViews>
    <sheetView showGridLines="0" workbookViewId="0">
      <pane ySplit="2" topLeftCell="A3" activePane="bottomLeft" state="frozen"/>
      <selection activeCell="M74" sqref="M74"/>
      <selection pane="bottomLeft" activeCell="B7" sqref="B7"/>
    </sheetView>
  </sheetViews>
  <sheetFormatPr baseColWidth="10" defaultRowHeight="17"/>
  <cols>
    <col min="1" max="1" width="3.6640625" style="13" customWidth="1"/>
    <col min="2" max="2" width="152.83203125" style="15" customWidth="1"/>
    <col min="3" max="3" width="16.6640625" style="13" customWidth="1"/>
    <col min="4" max="8" width="16.1640625" style="13" customWidth="1"/>
    <col min="9" max="10" width="14.33203125" style="13" customWidth="1"/>
    <col min="11" max="18" width="12.6640625" style="13" customWidth="1"/>
    <col min="19" max="23" width="14.33203125" style="13" customWidth="1"/>
    <col min="24" max="26" width="12.6640625" style="13" customWidth="1"/>
    <col min="27" max="27" width="15.33203125" style="13" bestFit="1" customWidth="1"/>
    <col min="28" max="16384" width="10.83203125" style="13"/>
  </cols>
  <sheetData>
    <row r="2" spans="2:2" ht="18">
      <c r="B2" s="14" t="s">
        <v>9</v>
      </c>
    </row>
    <row r="4" spans="2:2" ht="18">
      <c r="B4" s="14" t="s">
        <v>538</v>
      </c>
    </row>
    <row r="5" spans="2:2" ht="72">
      <c r="B5" s="15" t="s">
        <v>539</v>
      </c>
    </row>
    <row r="6" spans="2:2" ht="159" customHeight="1">
      <c r="B6" s="15" t="s">
        <v>540</v>
      </c>
    </row>
    <row r="7" spans="2:2" ht="36">
      <c r="B7" s="15" t="s">
        <v>541</v>
      </c>
    </row>
    <row r="9" spans="2:2" ht="18">
      <c r="B9" s="14" t="s">
        <v>316</v>
      </c>
    </row>
    <row r="10" spans="2:2" ht="90">
      <c r="B10" s="15" t="s">
        <v>321</v>
      </c>
    </row>
    <row r="11" spans="2:2" ht="36">
      <c r="B11" s="15" t="s">
        <v>320</v>
      </c>
    </row>
    <row r="13" spans="2:2" ht="18">
      <c r="B13" s="14" t="s">
        <v>317</v>
      </c>
    </row>
    <row r="14" spans="2:2" ht="54">
      <c r="B14" s="15" t="s">
        <v>315</v>
      </c>
    </row>
    <row r="16" spans="2:2" ht="18">
      <c r="B16" s="14" t="s">
        <v>318</v>
      </c>
    </row>
    <row r="17" spans="2:2" ht="36">
      <c r="B17" s="15" t="s">
        <v>314</v>
      </c>
    </row>
    <row r="19" spans="2:2" ht="18">
      <c r="B19" s="14" t="s">
        <v>319</v>
      </c>
    </row>
    <row r="20" spans="2:2" ht="18">
      <c r="B20" s="15" t="s">
        <v>301</v>
      </c>
    </row>
    <row r="21" spans="2:2" ht="71" customHeight="1">
      <c r="B21" s="15" t="s">
        <v>304</v>
      </c>
    </row>
    <row r="22" spans="2:2" ht="36" customHeight="1">
      <c r="B22" s="15" t="s">
        <v>313</v>
      </c>
    </row>
    <row r="23" spans="2:2" ht="54">
      <c r="B23" s="15" t="s">
        <v>302</v>
      </c>
    </row>
    <row r="24" spans="2:2" ht="54">
      <c r="B24" s="15" t="s">
        <v>312</v>
      </c>
    </row>
    <row r="26" spans="2:2" ht="18">
      <c r="B26" s="14" t="s">
        <v>299</v>
      </c>
    </row>
    <row r="27" spans="2:2" ht="18">
      <c r="B27" s="15" t="s">
        <v>300</v>
      </c>
    </row>
    <row r="29" spans="2:2" ht="18">
      <c r="B29" s="14" t="s">
        <v>297</v>
      </c>
    </row>
    <row r="30" spans="2:2" ht="54">
      <c r="B30" s="15" t="s">
        <v>298</v>
      </c>
    </row>
    <row r="32" spans="2:2" ht="18">
      <c r="B32" s="14" t="s">
        <v>296</v>
      </c>
    </row>
    <row r="33" spans="2:2" ht="90">
      <c r="B33" s="15" t="s">
        <v>277</v>
      </c>
    </row>
    <row r="34" spans="2:2" ht="36">
      <c r="B34" s="15" t="s">
        <v>259</v>
      </c>
    </row>
    <row r="35" spans="2:2" ht="36">
      <c r="B35" s="15" t="s">
        <v>276</v>
      </c>
    </row>
    <row r="36" spans="2:2" ht="72">
      <c r="B36" s="15" t="s">
        <v>278</v>
      </c>
    </row>
    <row r="38" spans="2:2" ht="18">
      <c r="B38" s="14" t="s">
        <v>257</v>
      </c>
    </row>
    <row r="39" spans="2:2" ht="90">
      <c r="B39" s="15" t="s">
        <v>258</v>
      </c>
    </row>
    <row r="41" spans="2:2" ht="18">
      <c r="B41" s="14" t="s">
        <v>255</v>
      </c>
    </row>
    <row r="42" spans="2:2" ht="36">
      <c r="B42" s="15" t="s">
        <v>256</v>
      </c>
    </row>
    <row r="44" spans="2:2" ht="18">
      <c r="B44" s="14" t="s">
        <v>203</v>
      </c>
    </row>
    <row r="45" spans="2:2" ht="18">
      <c r="B45" s="15" t="s">
        <v>10</v>
      </c>
    </row>
    <row r="47" spans="2:2" ht="18">
      <c r="B47" s="14" t="s">
        <v>73</v>
      </c>
    </row>
    <row r="48" spans="2:2" ht="54">
      <c r="B48" s="15" t="s">
        <v>74</v>
      </c>
    </row>
    <row r="50" spans="2:2" ht="18">
      <c r="B50" s="14" t="s">
        <v>75</v>
      </c>
    </row>
    <row r="51" spans="2:2" ht="72">
      <c r="B51" s="15" t="s">
        <v>76</v>
      </c>
    </row>
    <row r="53" spans="2:2" ht="18">
      <c r="B53" s="14" t="s">
        <v>77</v>
      </c>
    </row>
    <row r="54" spans="2:2" ht="54">
      <c r="B54" s="15" t="s">
        <v>78</v>
      </c>
    </row>
    <row r="56" spans="2:2" ht="18">
      <c r="B56" s="14" t="s">
        <v>79</v>
      </c>
    </row>
    <row r="57" spans="2:2" ht="54">
      <c r="B57" s="15" t="s">
        <v>80</v>
      </c>
    </row>
    <row r="59" spans="2:2" ht="18">
      <c r="B59" s="14" t="s">
        <v>129</v>
      </c>
    </row>
    <row r="60" spans="2:2" ht="36">
      <c r="B60" s="15" t="s">
        <v>157</v>
      </c>
    </row>
    <row r="61" spans="2:2" s="1" customFormat="1"/>
    <row r="62" spans="2:2" ht="18">
      <c r="B62" s="14" t="s">
        <v>149</v>
      </c>
    </row>
    <row r="63" spans="2:2" ht="36">
      <c r="B63" s="15" t="s">
        <v>158</v>
      </c>
    </row>
    <row r="64" spans="2:2" ht="36">
      <c r="B64" s="15" t="s">
        <v>159</v>
      </c>
    </row>
    <row r="65" spans="2:2" ht="18">
      <c r="B65" s="15" t="s">
        <v>150</v>
      </c>
    </row>
    <row r="66" spans="2:2" ht="36">
      <c r="B66" s="15" t="s">
        <v>151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README</vt:lpstr>
      <vt:lpstr>Disclaimer</vt:lpstr>
      <vt:lpstr>License</vt:lpstr>
      <vt:lpstr>1 - Base Cap Table</vt:lpstr>
      <vt:lpstr>2 - Equity Issuance</vt:lpstr>
      <vt:lpstr>2 - Equity Issuance, 2nd Round</vt:lpstr>
      <vt:lpstr>3 - Premoney Option Pool</vt:lpstr>
      <vt:lpstr>3 - Postmoney Option Pool</vt:lpstr>
      <vt:lpstr>3 - Option Pool, 2nd Round</vt:lpstr>
      <vt:lpstr>4 - Convertible Issuance</vt:lpstr>
      <vt:lpstr>4 - Conversion, Premoney</vt:lpstr>
      <vt:lpstr>4 - Conversion, Postmoney</vt:lpstr>
      <vt:lpstr>4 - Conversion, % Ownership</vt:lpstr>
      <vt:lpstr>4 - Conversion, $ Invested</vt:lpstr>
      <vt:lpstr>5 - Exit Waterfall</vt:lpstr>
      <vt:lpstr>6 - Venture Valuation</vt:lpstr>
      <vt:lpstr>Changelog</vt:lpstr>
      <vt:lpstr>README!Print_Area</vt:lpstr>
    </vt:vector>
  </TitlesOfParts>
  <Manager/>
  <Company>Unstructured Ventures,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Cap Table</dc:title>
  <dc:subject/>
  <dc:creator>Taylor Davidson / Foresight</dc:creator>
  <cp:keywords/>
  <dc:description/>
  <cp:lastModifiedBy>Taylor Davidson</cp:lastModifiedBy>
  <cp:lastPrinted>2018-05-05T18:47:23Z</cp:lastPrinted>
  <dcterms:created xsi:type="dcterms:W3CDTF">2015-08-20T17:23:19Z</dcterms:created>
  <dcterms:modified xsi:type="dcterms:W3CDTF">2020-05-12T19:26:10Z</dcterms:modified>
  <cp:category/>
</cp:coreProperties>
</file>