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codeName="ThisWorkbook" defaultThemeVersion="166925"/>
  <mc:AlternateContent xmlns:mc="http://schemas.openxmlformats.org/markup-compatibility/2006">
    <mc:Choice Requires="x15">
      <x15ac:absPath xmlns:x15ac="http://schemas.microsoft.com/office/spreadsheetml/2010/11/ac" url="/Users/taylordavidson/Dropbox/Unstructured Ventures/1 - Template Financial Models/1 - Current Models/"/>
    </mc:Choice>
  </mc:AlternateContent>
  <xr:revisionPtr revIDLastSave="0" documentId="13_ncr:1_{1967BB75-4C73-954E-8510-B01D5A8CE8FF}" xr6:coauthVersionLast="45" xr6:coauthVersionMax="45" xr10:uidLastSave="{00000000-0000-0000-0000-000000000000}"/>
  <bookViews>
    <workbookView xWindow="30320" yWindow="3240" windowWidth="32060" windowHeight="18840" xr2:uid="{ABEDE082-6FD0-774E-BCBE-A6808D9CB0D2}"/>
  </bookViews>
  <sheets>
    <sheet name="README" sheetId="9" r:id="rId1"/>
    <sheet name="License" sheetId="6" r:id="rId2"/>
    <sheet name="Exit Waterfall" sheetId="10" r:id="rId3"/>
    <sheet name="Changelog" sheetId="7" r:id="rId4"/>
  </sheets>
  <definedNames>
    <definedName name="_xlnm.Print_Area" localSheetId="0">README!$B$2:$B$33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 i="9" l="1"/>
  <c r="L97" i="10" l="1"/>
  <c r="L96" i="10"/>
  <c r="L98" i="10" l="1"/>
  <c r="L99" i="10" s="1"/>
  <c r="D13" i="9"/>
  <c r="L337" i="10" l="1"/>
  <c r="L336" i="10"/>
  <c r="L335" i="10"/>
  <c r="L334" i="10"/>
  <c r="L332" i="10"/>
  <c r="L331" i="10"/>
  <c r="L330" i="10"/>
  <c r="L329" i="10"/>
  <c r="L326" i="10"/>
  <c r="L325" i="10"/>
  <c r="L324" i="10"/>
  <c r="L323" i="10"/>
  <c r="L322" i="10"/>
  <c r="L321" i="10"/>
  <c r="L320" i="10"/>
  <c r="L319" i="10"/>
  <c r="L318" i="10"/>
  <c r="L317" i="10"/>
  <c r="L316" i="10"/>
  <c r="L315" i="10"/>
  <c r="L314" i="10"/>
  <c r="L313" i="10"/>
  <c r="L312" i="10"/>
  <c r="L311" i="10"/>
  <c r="L310" i="10"/>
  <c r="L309" i="10"/>
  <c r="L308" i="10"/>
  <c r="L307" i="10"/>
  <c r="L306" i="10"/>
  <c r="L305" i="10"/>
  <c r="L304" i="10"/>
  <c r="L303" i="10"/>
  <c r="L302" i="10"/>
  <c r="L301" i="10"/>
  <c r="L300" i="10"/>
  <c r="L299" i="10"/>
  <c r="L298" i="10"/>
  <c r="L297" i="10"/>
  <c r="L295" i="10"/>
  <c r="L294" i="10"/>
  <c r="L293" i="10"/>
  <c r="L292" i="10"/>
  <c r="L291" i="10"/>
  <c r="L290" i="10"/>
  <c r="L289" i="10"/>
  <c r="L288" i="10"/>
  <c r="L287" i="10"/>
  <c r="L286" i="10"/>
  <c r="L285" i="10"/>
  <c r="L284" i="10"/>
  <c r="L283" i="10"/>
  <c r="L282" i="10"/>
  <c r="L281" i="10"/>
  <c r="L280" i="10"/>
  <c r="L279" i="10"/>
  <c r="L278" i="10"/>
  <c r="L277" i="10"/>
  <c r="L276" i="10"/>
  <c r="L275" i="10"/>
  <c r="L274" i="10"/>
  <c r="L273" i="10"/>
  <c r="L272" i="10"/>
  <c r="L271" i="10"/>
  <c r="L270" i="10"/>
  <c r="L269" i="10"/>
  <c r="L268" i="10"/>
  <c r="L266" i="10"/>
  <c r="L265" i="10"/>
  <c r="L264" i="10"/>
  <c r="L263" i="10"/>
  <c r="L262" i="10"/>
  <c r="B262" i="10"/>
  <c r="L261" i="10"/>
  <c r="B261" i="10"/>
  <c r="L260" i="10"/>
  <c r="B260" i="10"/>
  <c r="L259" i="10"/>
  <c r="B259" i="10"/>
  <c r="L258" i="10"/>
  <c r="B258" i="10"/>
  <c r="L257" i="10"/>
  <c r="B257" i="10"/>
  <c r="L256" i="10"/>
  <c r="B256" i="10"/>
  <c r="B255" i="10"/>
  <c r="L254" i="10"/>
  <c r="L253" i="10"/>
  <c r="L252" i="10"/>
  <c r="L251" i="10"/>
  <c r="D251" i="10"/>
  <c r="L250" i="10"/>
  <c r="D250" i="10"/>
  <c r="L249" i="10"/>
  <c r="D249" i="10"/>
  <c r="B249" i="10"/>
  <c r="L248" i="10"/>
  <c r="D248" i="10"/>
  <c r="B248" i="10"/>
  <c r="L247" i="10"/>
  <c r="D247" i="10"/>
  <c r="B247" i="10"/>
  <c r="L246" i="10"/>
  <c r="D246" i="10"/>
  <c r="B246" i="10"/>
  <c r="L245" i="10"/>
  <c r="D245" i="10"/>
  <c r="B245" i="10"/>
  <c r="L244" i="10"/>
  <c r="D244" i="10"/>
  <c r="B244" i="10"/>
  <c r="L243" i="10"/>
  <c r="D243" i="10"/>
  <c r="B243" i="10"/>
  <c r="L242" i="10"/>
  <c r="D242" i="10"/>
  <c r="B242" i="10"/>
  <c r="L239" i="10"/>
  <c r="L238" i="10"/>
  <c r="L237" i="10"/>
  <c r="K237" i="10"/>
  <c r="J237" i="10"/>
  <c r="I237" i="10"/>
  <c r="H237" i="10"/>
  <c r="H92" i="10" s="1"/>
  <c r="G237" i="10"/>
  <c r="F237" i="10"/>
  <c r="E237" i="10"/>
  <c r="D237" i="10"/>
  <c r="L236" i="10"/>
  <c r="D236" i="10"/>
  <c r="B236" i="10"/>
  <c r="L235" i="10"/>
  <c r="D235" i="10"/>
  <c r="B235" i="10"/>
  <c r="L234" i="10"/>
  <c r="D234" i="10"/>
  <c r="B234" i="10"/>
  <c r="L233" i="10"/>
  <c r="D233" i="10"/>
  <c r="B233" i="10"/>
  <c r="L232" i="10"/>
  <c r="D232" i="10"/>
  <c r="B232" i="10"/>
  <c r="L231" i="10"/>
  <c r="D231" i="10"/>
  <c r="B231" i="10"/>
  <c r="L230" i="10"/>
  <c r="D230" i="10"/>
  <c r="B230" i="10"/>
  <c r="D229" i="10"/>
  <c r="B229" i="10"/>
  <c r="L227" i="10"/>
  <c r="L226" i="10"/>
  <c r="D226" i="10"/>
  <c r="L225" i="10"/>
  <c r="D225" i="10"/>
  <c r="L224" i="10"/>
  <c r="D224" i="10"/>
  <c r="L223" i="10"/>
  <c r="D223" i="10"/>
  <c r="L222" i="10"/>
  <c r="D222" i="10"/>
  <c r="D221" i="10"/>
  <c r="L220" i="10"/>
  <c r="L219" i="10"/>
  <c r="L218" i="10"/>
  <c r="D218" i="10"/>
  <c r="L217" i="10"/>
  <c r="D217" i="10"/>
  <c r="L216" i="10"/>
  <c r="D216" i="10"/>
  <c r="L215" i="10"/>
  <c r="D215" i="10"/>
  <c r="L214" i="10"/>
  <c r="D214" i="10"/>
  <c r="L213" i="10"/>
  <c r="L212" i="10"/>
  <c r="D211" i="10"/>
  <c r="D210" i="10"/>
  <c r="L209" i="10"/>
  <c r="D209" i="10"/>
  <c r="L208" i="10"/>
  <c r="D208" i="10"/>
  <c r="L207" i="10"/>
  <c r="D207" i="10"/>
  <c r="L206" i="10"/>
  <c r="D206" i="10"/>
  <c r="L205" i="10"/>
  <c r="D205" i="10"/>
  <c r="L204" i="10"/>
  <c r="L203" i="10"/>
  <c r="D202" i="10"/>
  <c r="D201" i="10"/>
  <c r="L200" i="10"/>
  <c r="L199" i="10"/>
  <c r="D199" i="10"/>
  <c r="L198" i="10"/>
  <c r="D198" i="10"/>
  <c r="L197" i="10"/>
  <c r="D197" i="10"/>
  <c r="L196" i="10"/>
  <c r="L195" i="10"/>
  <c r="L194" i="10"/>
  <c r="L193" i="10"/>
  <c r="L192" i="10"/>
  <c r="L191" i="10"/>
  <c r="D191" i="10"/>
  <c r="L190" i="10"/>
  <c r="L189" i="10"/>
  <c r="L188" i="10"/>
  <c r="D188" i="10"/>
  <c r="L187" i="10"/>
  <c r="D187" i="10"/>
  <c r="L186" i="10"/>
  <c r="D186" i="10"/>
  <c r="L185" i="10"/>
  <c r="D185" i="10"/>
  <c r="L184" i="10"/>
  <c r="L183" i="10"/>
  <c r="L182" i="10"/>
  <c r="D182" i="10"/>
  <c r="B182" i="10"/>
  <c r="L181" i="10"/>
  <c r="D181" i="10"/>
  <c r="B181" i="10"/>
  <c r="L180" i="10"/>
  <c r="D180" i="10"/>
  <c r="B180" i="10"/>
  <c r="L179" i="10"/>
  <c r="L178" i="10"/>
  <c r="L177" i="10"/>
  <c r="D177" i="10"/>
  <c r="L176" i="10"/>
  <c r="D176" i="10"/>
  <c r="B176" i="10"/>
  <c r="L175" i="10"/>
  <c r="D175" i="10"/>
  <c r="B175" i="10"/>
  <c r="L174" i="10"/>
  <c r="D174" i="10"/>
  <c r="B174" i="10"/>
  <c r="L173" i="10"/>
  <c r="D173" i="10"/>
  <c r="L172" i="10"/>
  <c r="D172" i="10"/>
  <c r="L171" i="10"/>
  <c r="L170" i="10"/>
  <c r="L169" i="10"/>
  <c r="D169" i="10"/>
  <c r="L168" i="10"/>
  <c r="L167" i="10"/>
  <c r="L166" i="10"/>
  <c r="D166" i="10"/>
  <c r="L165" i="10"/>
  <c r="D165" i="10"/>
  <c r="L164" i="10"/>
  <c r="D164" i="10"/>
  <c r="L163" i="10"/>
  <c r="D163" i="10"/>
  <c r="L162" i="10"/>
  <c r="L161" i="10"/>
  <c r="L160" i="10"/>
  <c r="D160" i="10"/>
  <c r="B160" i="10"/>
  <c r="L159" i="10"/>
  <c r="D159" i="10"/>
  <c r="B159" i="10"/>
  <c r="L158" i="10"/>
  <c r="D158" i="10"/>
  <c r="B158" i="10"/>
  <c r="L157" i="10"/>
  <c r="L156" i="10"/>
  <c r="L155" i="10"/>
  <c r="D155" i="10"/>
  <c r="L154" i="10"/>
  <c r="D154" i="10"/>
  <c r="B154" i="10"/>
  <c r="L153" i="10"/>
  <c r="D153" i="10"/>
  <c r="B153" i="10"/>
  <c r="L152" i="10"/>
  <c r="D152" i="10"/>
  <c r="B152" i="10"/>
  <c r="L151" i="10"/>
  <c r="D151" i="10"/>
  <c r="L150" i="10"/>
  <c r="D150" i="10"/>
  <c r="L149" i="10"/>
  <c r="L148" i="10"/>
  <c r="L147" i="10"/>
  <c r="D147" i="10"/>
  <c r="L146" i="10"/>
  <c r="L145" i="10"/>
  <c r="L144" i="10"/>
  <c r="D144" i="10"/>
  <c r="L143" i="10"/>
  <c r="D143" i="10"/>
  <c r="L142" i="10"/>
  <c r="D142" i="10"/>
  <c r="L141" i="10"/>
  <c r="D141" i="10"/>
  <c r="L140" i="10"/>
  <c r="L139" i="10"/>
  <c r="L138" i="10"/>
  <c r="D138" i="10"/>
  <c r="B138" i="10"/>
  <c r="L137" i="10"/>
  <c r="D137" i="10"/>
  <c r="B137" i="10"/>
  <c r="L136" i="10"/>
  <c r="D136" i="10"/>
  <c r="B136" i="10"/>
  <c r="L135" i="10"/>
  <c r="L134" i="10"/>
  <c r="L133" i="10"/>
  <c r="D133" i="10"/>
  <c r="L132" i="10"/>
  <c r="D132" i="10"/>
  <c r="B132" i="10"/>
  <c r="L131" i="10"/>
  <c r="D131" i="10"/>
  <c r="B131" i="10"/>
  <c r="L130" i="10"/>
  <c r="D130" i="10"/>
  <c r="B130" i="10"/>
  <c r="L129" i="10"/>
  <c r="D129" i="10"/>
  <c r="L128" i="10"/>
  <c r="D128" i="10"/>
  <c r="L127" i="10"/>
  <c r="L126" i="10"/>
  <c r="L125" i="10"/>
  <c r="D125" i="10"/>
  <c r="L124" i="10"/>
  <c r="L123" i="10"/>
  <c r="D122" i="10"/>
  <c r="D121" i="10"/>
  <c r="D120" i="10"/>
  <c r="D119" i="10"/>
  <c r="D116" i="10"/>
  <c r="B116" i="10"/>
  <c r="D115" i="10"/>
  <c r="B115" i="10"/>
  <c r="D114" i="10"/>
  <c r="B114" i="10"/>
  <c r="D111" i="10"/>
  <c r="D110" i="10"/>
  <c r="B110" i="10"/>
  <c r="D109" i="10"/>
  <c r="B109" i="10"/>
  <c r="D108" i="10"/>
  <c r="B108" i="10"/>
  <c r="D107" i="10"/>
  <c r="D106" i="10"/>
  <c r="D103" i="10"/>
  <c r="L102" i="10"/>
  <c r="L101" i="10"/>
  <c r="D100" i="10"/>
  <c r="D94" i="10"/>
  <c r="F93" i="10"/>
  <c r="G93" i="10" s="1"/>
  <c r="H93" i="10" s="1"/>
  <c r="I93" i="10" s="1"/>
  <c r="J93" i="10" s="1"/>
  <c r="K93" i="10" s="1"/>
  <c r="D93" i="10"/>
  <c r="K92" i="10"/>
  <c r="J92" i="10"/>
  <c r="I92" i="10"/>
  <c r="G92" i="10"/>
  <c r="F92" i="10"/>
  <c r="E92" i="10"/>
  <c r="D92" i="10"/>
  <c r="H91" i="10"/>
  <c r="G91" i="10" s="1"/>
  <c r="D91" i="10"/>
  <c r="L90" i="10"/>
  <c r="L89" i="10"/>
  <c r="L88" i="10"/>
  <c r="L87" i="10"/>
  <c r="L86" i="10"/>
  <c r="L85" i="10"/>
  <c r="L84" i="10"/>
  <c r="L83" i="10"/>
  <c r="L82" i="10"/>
  <c r="L81" i="10"/>
  <c r="L80" i="10"/>
  <c r="L78" i="10"/>
  <c r="L77" i="10"/>
  <c r="L76" i="10"/>
  <c r="L75" i="10"/>
  <c r="L74" i="10"/>
  <c r="L73" i="10"/>
  <c r="L72" i="10"/>
  <c r="L71" i="10"/>
  <c r="L69" i="10"/>
  <c r="B66" i="10"/>
  <c r="B65" i="10"/>
  <c r="D61" i="10"/>
  <c r="D60" i="10"/>
  <c r="J56" i="10"/>
  <c r="I56" i="10"/>
  <c r="I57" i="10" s="1"/>
  <c r="H56" i="10"/>
  <c r="H57" i="10" s="1"/>
  <c r="G56" i="10"/>
  <c r="F56" i="10"/>
  <c r="F57" i="10" s="1"/>
  <c r="E56" i="10"/>
  <c r="E57" i="10" s="1"/>
  <c r="L54" i="10"/>
  <c r="L53" i="10"/>
  <c r="L52" i="10"/>
  <c r="H52" i="10"/>
  <c r="G52" i="10"/>
  <c r="F52" i="10"/>
  <c r="E52" i="10"/>
  <c r="D52" i="10"/>
  <c r="Z49" i="10"/>
  <c r="D49" i="10"/>
  <c r="L48" i="10"/>
  <c r="L46" i="10"/>
  <c r="J44" i="10"/>
  <c r="I44" i="10"/>
  <c r="H44" i="10"/>
  <c r="G44" i="10"/>
  <c r="F44" i="10"/>
  <c r="E44" i="10"/>
  <c r="L42" i="10"/>
  <c r="H41" i="10"/>
  <c r="G41" i="10"/>
  <c r="F41" i="10"/>
  <c r="E41" i="10"/>
  <c r="D40" i="10"/>
  <c r="J39" i="10"/>
  <c r="I39" i="10"/>
  <c r="D39" i="10"/>
  <c r="J38" i="10"/>
  <c r="I38" i="10"/>
  <c r="H38" i="10"/>
  <c r="G38" i="10"/>
  <c r="F38" i="10"/>
  <c r="E38" i="10"/>
  <c r="D38" i="10"/>
  <c r="L37" i="10"/>
  <c r="L36" i="10"/>
  <c r="K36" i="10"/>
  <c r="D36" i="10"/>
  <c r="B36" i="10"/>
  <c r="L35" i="10"/>
  <c r="K35" i="10"/>
  <c r="D35" i="10"/>
  <c r="B35" i="10"/>
  <c r="L34" i="10"/>
  <c r="K34" i="10"/>
  <c r="D34" i="10"/>
  <c r="B34" i="10"/>
  <c r="L33" i="10"/>
  <c r="K33" i="10"/>
  <c r="D33" i="10"/>
  <c r="B33" i="10"/>
  <c r="L32" i="10"/>
  <c r="K32" i="10"/>
  <c r="D32" i="10"/>
  <c r="B32" i="10"/>
  <c r="L31" i="10"/>
  <c r="K31" i="10"/>
  <c r="D31" i="10"/>
  <c r="B31" i="10"/>
  <c r="L30" i="10"/>
  <c r="K30" i="10"/>
  <c r="D30" i="10"/>
  <c r="B30" i="10"/>
  <c r="L29" i="10"/>
  <c r="K29" i="10"/>
  <c r="D29" i="10"/>
  <c r="B29" i="10"/>
  <c r="K28" i="10"/>
  <c r="D28" i="10"/>
  <c r="B28" i="10"/>
  <c r="L26" i="10"/>
  <c r="L25" i="10"/>
  <c r="L24" i="10"/>
  <c r="J24" i="10"/>
  <c r="I24" i="10"/>
  <c r="H24" i="10"/>
  <c r="H39" i="10" s="1"/>
  <c r="H49" i="10" s="1"/>
  <c r="G24" i="10"/>
  <c r="F24" i="10"/>
  <c r="E24" i="10"/>
  <c r="E39" i="10" s="1"/>
  <c r="L23" i="10"/>
  <c r="K22" i="10"/>
  <c r="K21" i="10"/>
  <c r="L20" i="10"/>
  <c r="K20" i="10"/>
  <c r="L19" i="10"/>
  <c r="K19" i="10"/>
  <c r="L18" i="10"/>
  <c r="K18" i="10"/>
  <c r="L17" i="10"/>
  <c r="K17" i="10"/>
  <c r="L16" i="10"/>
  <c r="K16" i="10"/>
  <c r="L15" i="10"/>
  <c r="K15" i="10"/>
  <c r="K14" i="10"/>
  <c r="L13" i="10"/>
  <c r="L12" i="10"/>
  <c r="L10" i="10"/>
  <c r="L6" i="10"/>
  <c r="L7" i="10" s="1"/>
  <c r="E6" i="10"/>
  <c r="H65" i="10" l="1" a="1"/>
  <c r="H65" i="10" s="1"/>
  <c r="G39" i="10"/>
  <c r="G60" i="10" s="1" a="1"/>
  <c r="G60" i="10" s="1"/>
  <c r="I91" i="10"/>
  <c r="J91" i="10" s="1"/>
  <c r="F39" i="10"/>
  <c r="F49" i="10" s="1"/>
  <c r="F65" i="10" a="1"/>
  <c r="F65" i="10" s="1"/>
  <c r="K38" i="10"/>
  <c r="K52" i="10"/>
  <c r="K24" i="10"/>
  <c r="H25" i="10" s="1"/>
  <c r="I65" i="10" a="1"/>
  <c r="I65" i="10" s="1"/>
  <c r="I62" i="10" a="1"/>
  <c r="I62" i="10" s="1"/>
  <c r="J57" i="10"/>
  <c r="E65" i="10" a="1"/>
  <c r="E65" i="10" s="1"/>
  <c r="E62" i="10" a="1"/>
  <c r="E62" i="10" s="1"/>
  <c r="B82" i="10"/>
  <c r="G68" i="10"/>
  <c r="B146" i="10" s="1"/>
  <c r="B73" i="10"/>
  <c r="B74" i="10"/>
  <c r="H68" i="10"/>
  <c r="B168" i="10" s="1"/>
  <c r="B83" i="10"/>
  <c r="H62" i="10" a="1"/>
  <c r="H62" i="10" s="1"/>
  <c r="F91" i="10"/>
  <c r="G94" i="10"/>
  <c r="B80" i="10"/>
  <c r="B71" i="10"/>
  <c r="E68" i="10"/>
  <c r="B102" i="10" s="1"/>
  <c r="B84" i="10"/>
  <c r="B75" i="10"/>
  <c r="I68" i="10"/>
  <c r="B190" i="10" s="1"/>
  <c r="J94" i="10"/>
  <c r="K91" i="10"/>
  <c r="K94" i="10" s="1"/>
  <c r="L8" i="10"/>
  <c r="L9" i="10" s="1"/>
  <c r="L11" i="10" s="1"/>
  <c r="E49" i="10"/>
  <c r="B72" i="10"/>
  <c r="F68" i="10"/>
  <c r="B124" i="10" s="1"/>
  <c r="B81" i="10"/>
  <c r="B76" i="10"/>
  <c r="J68" i="10"/>
  <c r="B85" i="10"/>
  <c r="G57" i="10"/>
  <c r="F62" i="10" a="1"/>
  <c r="F62" i="10" s="1"/>
  <c r="H94" i="10"/>
  <c r="I94" i="10"/>
  <c r="I25" i="10" l="1"/>
  <c r="E25" i="10"/>
  <c r="K25" i="10"/>
  <c r="K95" i="10"/>
  <c r="G95" i="10"/>
  <c r="E95" i="10"/>
  <c r="J95" i="10"/>
  <c r="F95" i="10"/>
  <c r="I95" i="10"/>
  <c r="H95" i="10"/>
  <c r="F25" i="10"/>
  <c r="I60" i="10" a="1"/>
  <c r="I60" i="10" s="1"/>
  <c r="K39" i="10"/>
  <c r="G49" i="10"/>
  <c r="K49" i="10" s="1"/>
  <c r="F60" i="10" a="1"/>
  <c r="F60" i="10" s="1"/>
  <c r="I59" i="10" a="1"/>
  <c r="I59" i="10" s="1"/>
  <c r="F59" i="10" a="1"/>
  <c r="F59" i="10" s="1"/>
  <c r="F76" i="10" s="1" a="1"/>
  <c r="F76" i="10" s="1"/>
  <c r="E59" i="10" a="1"/>
  <c r="E59" i="10" s="1"/>
  <c r="E76" i="10" s="1" a="1"/>
  <c r="E76" i="10" s="1"/>
  <c r="J60" i="10" a="1"/>
  <c r="J60" i="10" s="1"/>
  <c r="H61" i="10" a="1"/>
  <c r="H61" i="10" s="1"/>
  <c r="H85" i="10" s="1" a="1"/>
  <c r="H85" i="10" s="1"/>
  <c r="I61" i="10" a="1"/>
  <c r="I61" i="10" s="1"/>
  <c r="I85" i="10" s="1" a="1"/>
  <c r="I85" i="10" s="1"/>
  <c r="E61" i="10" a="1"/>
  <c r="E61" i="10" s="1"/>
  <c r="E106" i="10" s="1"/>
  <c r="J25" i="10"/>
  <c r="G25" i="10"/>
  <c r="L14" i="10"/>
  <c r="I76" i="10" a="1"/>
  <c r="I76" i="10" s="1"/>
  <c r="B206" i="10"/>
  <c r="B215" i="10" s="1"/>
  <c r="B222" i="10"/>
  <c r="B143" i="10"/>
  <c r="B127" i="10"/>
  <c r="J103" i="10"/>
  <c r="J99" i="10"/>
  <c r="I80" i="10" a="1"/>
  <c r="I80" i="10" s="1"/>
  <c r="J127" i="10"/>
  <c r="F127" i="10"/>
  <c r="B221" i="10"/>
  <c r="B205" i="10"/>
  <c r="B214" i="10" s="1"/>
  <c r="B121" i="10"/>
  <c r="B105" i="10"/>
  <c r="E91" i="10"/>
  <c r="E94" i="10" s="1"/>
  <c r="F94" i="10"/>
  <c r="I83" i="10" a="1"/>
  <c r="I83" i="10" s="1"/>
  <c r="I73" i="10" a="1"/>
  <c r="I73" i="10" s="1"/>
  <c r="F73" i="10" a="1"/>
  <c r="F73" i="10" s="1"/>
  <c r="F172" i="10"/>
  <c r="H172" i="10"/>
  <c r="K172" i="10"/>
  <c r="I106" i="10"/>
  <c r="G106" i="10"/>
  <c r="F64" i="10" a="1"/>
  <c r="F64" i="10" s="1"/>
  <c r="F66" i="10" a="1"/>
  <c r="F66" i="10" s="1"/>
  <c r="I99" i="10"/>
  <c r="I103" i="10"/>
  <c r="I108" i="10" s="1"/>
  <c r="I114" i="10" s="1"/>
  <c r="E60" i="10" a="1"/>
  <c r="E60" i="10" s="1"/>
  <c r="F72" i="10" a="1"/>
  <c r="F72" i="10" s="1"/>
  <c r="I72" i="10" a="1"/>
  <c r="I72" i="10" s="1"/>
  <c r="K103" i="10"/>
  <c r="K99" i="10"/>
  <c r="B225" i="10"/>
  <c r="B209" i="10"/>
  <c r="B218" i="10" s="1"/>
  <c r="B198" i="10"/>
  <c r="I71" i="10" a="1"/>
  <c r="I71" i="10" s="1"/>
  <c r="F71" i="10" a="1"/>
  <c r="F71" i="10" s="1"/>
  <c r="H60" i="10" a="1"/>
  <c r="H60" i="10" s="1"/>
  <c r="B208" i="10"/>
  <c r="B217" i="10" s="1"/>
  <c r="B224" i="10"/>
  <c r="B187" i="10"/>
  <c r="B171" i="10"/>
  <c r="G59" i="10" a="1"/>
  <c r="G59" i="10" s="1"/>
  <c r="G73" i="10" s="1" a="1"/>
  <c r="G73" i="10" s="1"/>
  <c r="B223" i="10"/>
  <c r="B165" i="10"/>
  <c r="B207" i="10"/>
  <c r="B216" i="10" s="1"/>
  <c r="B149" i="10"/>
  <c r="G61" i="10" a="1"/>
  <c r="G61" i="10" s="1"/>
  <c r="G82" i="10" s="1" a="1"/>
  <c r="G82" i="10" s="1"/>
  <c r="J61" i="10" a="1"/>
  <c r="J61" i="10" s="1"/>
  <c r="J85" i="10" s="1" a="1"/>
  <c r="J85" i="10" s="1"/>
  <c r="I63" i="10" a="1"/>
  <c r="I63" i="10" s="1"/>
  <c r="J59" i="10" a="1"/>
  <c r="J59" i="10" s="1"/>
  <c r="H103" i="10"/>
  <c r="H99" i="10"/>
  <c r="J178" i="10"/>
  <c r="J179" i="10" s="1"/>
  <c r="F178" i="10"/>
  <c r="F179" i="10" s="1"/>
  <c r="I173" i="10"/>
  <c r="E173" i="10"/>
  <c r="I178" i="10"/>
  <c r="I179" i="10" s="1"/>
  <c r="E178" i="10"/>
  <c r="E179" i="10" s="1"/>
  <c r="H173" i="10"/>
  <c r="H178" i="10"/>
  <c r="H179" i="10" s="1"/>
  <c r="K173" i="10"/>
  <c r="G173" i="10"/>
  <c r="K178" i="10"/>
  <c r="K179" i="10" s="1"/>
  <c r="G178" i="10"/>
  <c r="G179" i="10" s="1"/>
  <c r="J173" i="10"/>
  <c r="F173" i="10"/>
  <c r="F74" i="10" a="1"/>
  <c r="F74" i="10" s="1"/>
  <c r="I74" i="10" a="1"/>
  <c r="I74" i="10" s="1"/>
  <c r="G74" i="10" a="1"/>
  <c r="G74" i="10" s="1"/>
  <c r="E74" i="10" a="1"/>
  <c r="E74" i="10" s="1"/>
  <c r="I75" i="10" a="1"/>
  <c r="I75" i="10" s="1"/>
  <c r="F75" i="10" a="1"/>
  <c r="F75" i="10" s="1"/>
  <c r="K105" i="10"/>
  <c r="I105" i="10"/>
  <c r="I82" i="10" a="1"/>
  <c r="I82" i="10" s="1"/>
  <c r="E82" i="10" a="1"/>
  <c r="E82" i="10" s="1"/>
  <c r="H82" i="10" a="1"/>
  <c r="H82" i="10" s="1"/>
  <c r="J112" i="10"/>
  <c r="J113" i="10" s="1"/>
  <c r="F112" i="10"/>
  <c r="F113" i="10" s="1"/>
  <c r="I107" i="10"/>
  <c r="E107" i="10"/>
  <c r="I112" i="10"/>
  <c r="I113" i="10" s="1"/>
  <c r="E112" i="10"/>
  <c r="E113" i="10" s="1"/>
  <c r="H107" i="10"/>
  <c r="H112" i="10"/>
  <c r="H113" i="10" s="1"/>
  <c r="K112" i="10"/>
  <c r="K113" i="10" s="1"/>
  <c r="G112" i="10"/>
  <c r="G113" i="10" s="1"/>
  <c r="J107" i="10"/>
  <c r="F107" i="10"/>
  <c r="K107" i="10"/>
  <c r="G107" i="10"/>
  <c r="E64" i="10" a="1"/>
  <c r="E64" i="10" s="1"/>
  <c r="F67" i="10" a="1"/>
  <c r="F67" i="10" s="1"/>
  <c r="I67" i="10" a="1"/>
  <c r="I67" i="10" s="1"/>
  <c r="I134" i="10"/>
  <c r="I135" i="10" s="1"/>
  <c r="E134" i="10"/>
  <c r="E135" i="10" s="1"/>
  <c r="H129" i="10"/>
  <c r="H134" i="10"/>
  <c r="H135" i="10" s="1"/>
  <c r="K129" i="10"/>
  <c r="G129" i="10"/>
  <c r="K134" i="10"/>
  <c r="K135" i="10" s="1"/>
  <c r="G134" i="10"/>
  <c r="G135" i="10" s="1"/>
  <c r="J129" i="10"/>
  <c r="F129" i="10"/>
  <c r="J134" i="10"/>
  <c r="J135" i="10" s="1"/>
  <c r="F134" i="10"/>
  <c r="F135" i="10" s="1"/>
  <c r="I129" i="10"/>
  <c r="E129" i="10"/>
  <c r="G65" i="10" a="1"/>
  <c r="G65" i="10" s="1"/>
  <c r="G62" i="10" a="1"/>
  <c r="G62" i="10" s="1"/>
  <c r="H81" i="10" a="1"/>
  <c r="H81" i="10" s="1"/>
  <c r="I81" i="10" a="1"/>
  <c r="I81" i="10" s="1"/>
  <c r="G81" i="10" a="1"/>
  <c r="G81" i="10" s="1"/>
  <c r="H59" i="10" a="1"/>
  <c r="H59" i="10" s="1"/>
  <c r="H63" i="10" s="1" a="1"/>
  <c r="H63" i="10" s="1"/>
  <c r="I84" i="10" a="1"/>
  <c r="I84" i="10" s="1"/>
  <c r="G84" i="10" a="1"/>
  <c r="G84" i="10" s="1"/>
  <c r="H84" i="10" a="1"/>
  <c r="H84" i="10" s="1"/>
  <c r="G103" i="10"/>
  <c r="G99" i="10"/>
  <c r="L21" i="10"/>
  <c r="F61" i="10" a="1"/>
  <c r="F61" i="10" s="1"/>
  <c r="F85" i="10" s="1" a="1"/>
  <c r="F85" i="10" s="1"/>
  <c r="F63" i="10" a="1"/>
  <c r="F63" i="10" s="1"/>
  <c r="I64" i="10" a="1"/>
  <c r="I64" i="10" s="1"/>
  <c r="E63" i="10" a="1"/>
  <c r="E63" i="10" s="1"/>
  <c r="H67" i="10" a="1"/>
  <c r="H67" i="10" s="1"/>
  <c r="I66" i="10" a="1"/>
  <c r="I66" i="10" s="1"/>
  <c r="J62" i="10" a="1"/>
  <c r="J62" i="10" s="1"/>
  <c r="J63" i="10" s="1" a="1"/>
  <c r="J63" i="10" s="1"/>
  <c r="J65" i="10" a="1"/>
  <c r="J65" i="10" s="1"/>
  <c r="J172" i="10" l="1"/>
  <c r="H83" i="10" a="1"/>
  <c r="H83" i="10" s="1"/>
  <c r="E172" i="10"/>
  <c r="H80" i="10" a="1"/>
  <c r="H80" i="10" s="1"/>
  <c r="G172" i="10"/>
  <c r="I172" i="10"/>
  <c r="K127" i="10"/>
  <c r="H127" i="10"/>
  <c r="E127" i="10"/>
  <c r="G127" i="10"/>
  <c r="I127" i="10"/>
  <c r="F105" i="10"/>
  <c r="H106" i="10"/>
  <c r="F106" i="10"/>
  <c r="E83" i="10" a="1"/>
  <c r="E83" i="10" s="1"/>
  <c r="E85" i="10" a="1"/>
  <c r="E85" i="10" s="1"/>
  <c r="E80" i="10" a="1"/>
  <c r="E80" i="10" s="1"/>
  <c r="E84" i="10" a="1"/>
  <c r="E84" i="10" s="1"/>
  <c r="E81" i="10" a="1"/>
  <c r="E81" i="10" s="1"/>
  <c r="H105" i="10"/>
  <c r="J105" i="10"/>
  <c r="E75" i="10" a="1"/>
  <c r="E75" i="10" s="1"/>
  <c r="E71" i="10" a="1"/>
  <c r="E71" i="10" s="1"/>
  <c r="K106" i="10"/>
  <c r="J106" i="10"/>
  <c r="E67" i="10" a="1"/>
  <c r="E67" i="10" s="1"/>
  <c r="E105" i="10"/>
  <c r="G105" i="10"/>
  <c r="E66" i="10" a="1"/>
  <c r="E66" i="10" s="1"/>
  <c r="E72" i="10" a="1"/>
  <c r="E72" i="10" s="1"/>
  <c r="E77" i="10" s="1"/>
  <c r="E73" i="10" a="1"/>
  <c r="E73" i="10" s="1"/>
  <c r="G108" i="10"/>
  <c r="G114" i="10" s="1"/>
  <c r="J82" i="10" a="1"/>
  <c r="J82" i="10" s="1"/>
  <c r="J81" i="10" a="1"/>
  <c r="J81" i="10" s="1"/>
  <c r="J84" i="10" a="1"/>
  <c r="J84" i="10" s="1"/>
  <c r="H108" i="10"/>
  <c r="H114" i="10" s="1"/>
  <c r="J74" i="10" a="1"/>
  <c r="J74" i="10" s="1"/>
  <c r="J75" i="10" a="1"/>
  <c r="J75" i="10" s="1"/>
  <c r="K108" i="10"/>
  <c r="K114" i="10" s="1"/>
  <c r="G75" i="10" a="1"/>
  <c r="G75" i="10" s="1"/>
  <c r="G64" i="10" a="1"/>
  <c r="G64" i="10" s="1"/>
  <c r="G67" i="10" a="1"/>
  <c r="G67" i="10" s="1"/>
  <c r="J71" i="10" a="1"/>
  <c r="J71" i="10" s="1"/>
  <c r="H75" i="10" a="1"/>
  <c r="H75" i="10" s="1"/>
  <c r="H150" i="10"/>
  <c r="K150" i="10"/>
  <c r="G150" i="10"/>
  <c r="J150" i="10"/>
  <c r="F150" i="10"/>
  <c r="I150" i="10"/>
  <c r="E150" i="10"/>
  <c r="F77" i="10"/>
  <c r="G71" i="10" a="1"/>
  <c r="G71" i="10" s="1"/>
  <c r="G72" i="10" a="1"/>
  <c r="G72" i="10" s="1"/>
  <c r="J72" i="10" a="1"/>
  <c r="J72" i="10" s="1"/>
  <c r="K61" i="10"/>
  <c r="F103" i="10"/>
  <c r="F99" i="10"/>
  <c r="F80" i="10" a="1"/>
  <c r="F80" i="10" s="1"/>
  <c r="G80" i="10" a="1"/>
  <c r="G80" i="10" s="1"/>
  <c r="J108" i="10"/>
  <c r="K171" i="10"/>
  <c r="G171" i="10"/>
  <c r="J171" i="10"/>
  <c r="F171" i="10"/>
  <c r="I171" i="10"/>
  <c r="E171" i="10"/>
  <c r="H171" i="10"/>
  <c r="F82" i="10" a="1"/>
  <c r="F82" i="10" s="1"/>
  <c r="J66" i="10" a="1"/>
  <c r="J66" i="10" s="1"/>
  <c r="J64" i="10" a="1"/>
  <c r="J64" i="10" s="1"/>
  <c r="H66" i="10" a="1"/>
  <c r="H66" i="10" s="1"/>
  <c r="H71" i="10" a="1"/>
  <c r="H71" i="10" s="1"/>
  <c r="I77" i="10"/>
  <c r="K60" i="10"/>
  <c r="H73" i="10" a="1"/>
  <c r="H73" i="10" s="1"/>
  <c r="F83" i="10" a="1"/>
  <c r="F83" i="10" s="1"/>
  <c r="E99" i="10"/>
  <c r="E103" i="10"/>
  <c r="E108" i="10" s="1"/>
  <c r="H86" i="10"/>
  <c r="I86" i="10"/>
  <c r="I128" i="10"/>
  <c r="E128" i="10"/>
  <c r="H128" i="10"/>
  <c r="K128" i="10"/>
  <c r="G128" i="10"/>
  <c r="J128" i="10"/>
  <c r="F128" i="10"/>
  <c r="K156" i="10"/>
  <c r="K157" i="10" s="1"/>
  <c r="K194" i="10" s="1"/>
  <c r="G156" i="10"/>
  <c r="G157" i="10" s="1"/>
  <c r="G194" i="10" s="1"/>
  <c r="J156" i="10"/>
  <c r="J157" i="10" s="1"/>
  <c r="J194" i="10" s="1"/>
  <c r="F156" i="10"/>
  <c r="F157" i="10" s="1"/>
  <c r="F194" i="10" s="1"/>
  <c r="I156" i="10"/>
  <c r="I157" i="10" s="1"/>
  <c r="I194" i="10" s="1"/>
  <c r="E156" i="10"/>
  <c r="E157" i="10" s="1"/>
  <c r="E194" i="10" s="1"/>
  <c r="H156" i="10"/>
  <c r="H157" i="10" s="1"/>
  <c r="H194" i="10" s="1"/>
  <c r="K151" i="10"/>
  <c r="G151" i="10"/>
  <c r="J151" i="10"/>
  <c r="F151" i="10"/>
  <c r="I151" i="10"/>
  <c r="E151" i="10"/>
  <c r="H151" i="10"/>
  <c r="G63" i="10" a="1"/>
  <c r="G63" i="10" s="1"/>
  <c r="H74" i="10" a="1"/>
  <c r="H74" i="10" s="1"/>
  <c r="H64" i="10" a="1"/>
  <c r="H64" i="10" s="1"/>
  <c r="I149" i="10"/>
  <c r="E149" i="10"/>
  <c r="H149" i="10"/>
  <c r="K149" i="10"/>
  <c r="G149" i="10"/>
  <c r="J149" i="10"/>
  <c r="F149" i="10"/>
  <c r="G66" i="10" a="1"/>
  <c r="G66" i="10" s="1"/>
  <c r="L22" i="10"/>
  <c r="L27" i="10" s="1"/>
  <c r="J73" i="10" a="1"/>
  <c r="J73" i="10" s="1"/>
  <c r="J80" i="10" a="1"/>
  <c r="J80" i="10" s="1"/>
  <c r="H76" i="10" a="1"/>
  <c r="H76" i="10" s="1"/>
  <c r="F84" i="10" a="1"/>
  <c r="F84" i="10" s="1"/>
  <c r="F81" i="10" a="1"/>
  <c r="F81" i="10" s="1"/>
  <c r="K59" i="10"/>
  <c r="H72" i="10" a="1"/>
  <c r="H72" i="10" s="1"/>
  <c r="G83" i="10" a="1"/>
  <c r="G83" i="10" s="1"/>
  <c r="J83" i="10" a="1"/>
  <c r="J83" i="10" s="1"/>
  <c r="G85" i="10" a="1"/>
  <c r="G85" i="10" s="1"/>
  <c r="J67" i="10" a="1"/>
  <c r="J67" i="10" s="1"/>
  <c r="G76" i="10" a="1"/>
  <c r="G76" i="10" s="1"/>
  <c r="J76" i="10" a="1"/>
  <c r="J76" i="10" s="1"/>
  <c r="E86" i="10" l="1"/>
  <c r="F108" i="10"/>
  <c r="F114" i="10" s="1"/>
  <c r="J77" i="10"/>
  <c r="J86" i="10"/>
  <c r="E114" i="10"/>
  <c r="H77" i="10"/>
  <c r="J114" i="10"/>
  <c r="G77" i="10"/>
  <c r="G86" i="10"/>
  <c r="L28" i="10"/>
  <c r="F86" i="10"/>
  <c r="L38" i="10" l="1"/>
  <c r="L39" i="10" l="1"/>
  <c r="L40" i="10" l="1"/>
  <c r="L41" i="10" s="1"/>
  <c r="L43" i="10" s="1"/>
  <c r="L44" i="10" s="1"/>
  <c r="L45" i="10" l="1"/>
  <c r="L47" i="10" s="1"/>
  <c r="L49" i="10" s="1"/>
  <c r="L50" i="10" s="1"/>
  <c r="L51" i="10" s="1"/>
  <c r="L55" i="10" s="1"/>
  <c r="L56" i="10" s="1"/>
  <c r="L57" i="10" s="1"/>
  <c r="L59" i="10" s="1"/>
  <c r="L60" i="10" s="1"/>
  <c r="L61" i="10" s="1"/>
  <c r="L62" i="10" s="1"/>
  <c r="L63" i="10" s="1"/>
  <c r="L64" i="10" s="1"/>
  <c r="L65" i="10" s="1"/>
  <c r="L66" i="10" s="1"/>
  <c r="L67" i="10" s="1"/>
  <c r="L68" i="10" s="1"/>
  <c r="L70" i="10" s="1"/>
  <c r="L79" i="10" s="1"/>
  <c r="L91" i="10" s="1"/>
  <c r="L92" i="10" s="1"/>
  <c r="L93" i="10" s="1"/>
  <c r="L94" i="10" s="1"/>
  <c r="L95" i="10" s="1"/>
  <c r="L100" i="10" s="1"/>
  <c r="L103" i="10" s="1"/>
  <c r="L104" i="10" s="1"/>
  <c r="L105" i="10" s="1"/>
  <c r="L106" i="10" s="1"/>
  <c r="L107" i="10" s="1"/>
  <c r="L108" i="10" s="1"/>
  <c r="L109" i="10" s="1"/>
  <c r="L110" i="10" s="1"/>
  <c r="L111" i="10" s="1"/>
  <c r="L112" i="10" s="1"/>
  <c r="L113" i="10" s="1"/>
  <c r="L114" i="10" s="1"/>
  <c r="L115" i="10" s="1"/>
  <c r="L116" i="10" s="1"/>
  <c r="L117" i="10" s="1"/>
  <c r="L118" i="10" s="1"/>
  <c r="L119" i="10" s="1"/>
  <c r="L120" i="10" s="1"/>
  <c r="L121" i="10" s="1"/>
  <c r="L122" i="10" s="1"/>
  <c r="L201" i="10" s="1"/>
  <c r="L202" i="10" s="1"/>
  <c r="L210" i="10" s="1"/>
  <c r="L211" i="10" s="1"/>
  <c r="L221" i="10" s="1"/>
  <c r="L228" i="10" s="1"/>
  <c r="L229" i="10" s="1"/>
  <c r="L240" i="10" s="1"/>
  <c r="L241" i="10" s="1"/>
  <c r="L255" i="10" s="1"/>
  <c r="L267" i="10" s="1"/>
  <c r="L296" i="10" s="1"/>
  <c r="L327" i="10" s="1"/>
  <c r="L328" i="10" s="1"/>
  <c r="L333" i="10" s="1"/>
  <c r="D20" i="9" l="1"/>
  <c r="B12" i="9"/>
  <c r="B7" i="9"/>
  <c r="B6" i="9"/>
  <c r="B5" i="9"/>
  <c r="E96" i="10" a="1"/>
  <c r="E96" i="10" s="1"/>
  <c r="E97" i="10" s="1"/>
  <c r="E98" i="10" s="1"/>
  <c r="E175" i="10" s="1"/>
  <c r="E181" i="10" s="1"/>
  <c r="F96" i="10" a="1"/>
  <c r="F96" i="10" s="1"/>
  <c r="F97" i="10" s="1"/>
  <c r="F98" i="10" s="1"/>
  <c r="G96" i="10" a="1"/>
  <c r="G96" i="10" s="1"/>
  <c r="G97" i="10" s="1"/>
  <c r="G98" i="10" s="1"/>
  <c r="H96" i="10" a="1"/>
  <c r="H96" i="10" s="1"/>
  <c r="H97" i="10" s="1"/>
  <c r="H98" i="10" s="1"/>
  <c r="I96" i="10" a="1"/>
  <c r="I96" i="10" s="1"/>
  <c r="I97" i="10" s="1"/>
  <c r="I98" i="10" s="1"/>
  <c r="I175" i="10" s="1"/>
  <c r="I181" i="10" s="1"/>
  <c r="J96" i="10" a="1"/>
  <c r="J96" i="10" s="1"/>
  <c r="J97" i="10" s="1"/>
  <c r="J98" i="10" s="1"/>
  <c r="K96" i="10" a="1"/>
  <c r="K96" i="10" s="1"/>
  <c r="K97" i="10" s="1"/>
  <c r="K98" i="10" s="1"/>
  <c r="G175" i="10"/>
  <c r="G181" i="10" s="1"/>
  <c r="H175" i="10"/>
  <c r="H181" i="10" s="1"/>
  <c r="K175" i="10"/>
  <c r="F177" i="10"/>
  <c r="G177" i="10"/>
  <c r="H177" i="10"/>
  <c r="J177" i="10"/>
  <c r="K177" i="10"/>
  <c r="K181" i="10"/>
  <c r="E193" i="10"/>
  <c r="F193" i="10"/>
  <c r="G193" i="10"/>
  <c r="H193" i="10"/>
  <c r="I193" i="10"/>
  <c r="J193" i="10"/>
  <c r="K193" i="10"/>
  <c r="J100" i="10" l="1"/>
  <c r="J111" i="10"/>
  <c r="J131" i="10"/>
  <c r="J137" i="10" s="1"/>
  <c r="J153" i="10"/>
  <c r="J159" i="10" s="1"/>
  <c r="J109" i="10"/>
  <c r="J115" i="10" s="1"/>
  <c r="J133" i="10"/>
  <c r="J104" i="10"/>
  <c r="J155" i="10"/>
  <c r="F100" i="10"/>
  <c r="F111" i="10"/>
  <c r="F131" i="10"/>
  <c r="F137" i="10" s="1"/>
  <c r="F153" i="10"/>
  <c r="F159" i="10" s="1"/>
  <c r="F109" i="10"/>
  <c r="F115" i="10" s="1"/>
  <c r="F133" i="10"/>
  <c r="F104" i="10"/>
  <c r="F155" i="10"/>
  <c r="I153" i="10"/>
  <c r="I159" i="10" s="1"/>
  <c r="I109" i="10"/>
  <c r="I115" i="10" s="1"/>
  <c r="I133" i="10"/>
  <c r="I104" i="10"/>
  <c r="I155" i="10"/>
  <c r="I100" i="10"/>
  <c r="I111" i="10"/>
  <c r="I131" i="10"/>
  <c r="I137" i="10" s="1"/>
  <c r="E153" i="10"/>
  <c r="E159" i="10" s="1"/>
  <c r="E109" i="10"/>
  <c r="E115" i="10" s="1"/>
  <c r="E133" i="10"/>
  <c r="E104" i="10"/>
  <c r="E155" i="10"/>
  <c r="E100" i="10"/>
  <c r="E111" i="10"/>
  <c r="E131" i="10"/>
  <c r="E137" i="10" s="1"/>
  <c r="I177" i="10"/>
  <c r="E177" i="10"/>
  <c r="H109" i="10"/>
  <c r="H115" i="10" s="1"/>
  <c r="H133" i="10"/>
  <c r="H104" i="10"/>
  <c r="H155" i="10"/>
  <c r="H100" i="10"/>
  <c r="H111" i="10"/>
  <c r="H131" i="10"/>
  <c r="H137" i="10" s="1"/>
  <c r="H153" i="10"/>
  <c r="H159" i="10" s="1"/>
  <c r="J175" i="10"/>
  <c r="J181" i="10" s="1"/>
  <c r="F175" i="10"/>
  <c r="F181" i="10" s="1"/>
  <c r="K104" i="10"/>
  <c r="K155" i="10"/>
  <c r="K100" i="10"/>
  <c r="K111" i="10"/>
  <c r="K131" i="10"/>
  <c r="K137" i="10" s="1"/>
  <c r="K153" i="10"/>
  <c r="K159" i="10" s="1"/>
  <c r="K109" i="10"/>
  <c r="K115" i="10" s="1"/>
  <c r="K133" i="10"/>
  <c r="G104" i="10"/>
  <c r="G155" i="10"/>
  <c r="G100" i="10"/>
  <c r="G111" i="10"/>
  <c r="G131" i="10"/>
  <c r="G137" i="10" s="1"/>
  <c r="G153" i="10"/>
  <c r="G159" i="10" s="1"/>
  <c r="G109" i="10"/>
  <c r="G115" i="10" s="1"/>
  <c r="G133" i="10"/>
  <c r="G117" i="10" l="1"/>
  <c r="G221" i="10"/>
  <c r="K117" i="10"/>
  <c r="K221" i="10"/>
  <c r="H117" i="10"/>
  <c r="H221" i="10"/>
  <c r="E117" i="10"/>
  <c r="E221" i="10"/>
  <c r="I117" i="10"/>
  <c r="I221" i="10"/>
  <c r="F117" i="10"/>
  <c r="F221" i="10"/>
  <c r="J117" i="10"/>
  <c r="J221" i="10"/>
  <c r="I120" i="10" l="1"/>
  <c r="I118" i="10"/>
  <c r="K118" i="10"/>
  <c r="K120" i="10"/>
  <c r="F118" i="10"/>
  <c r="F120" i="10"/>
  <c r="J118" i="10"/>
  <c r="J120" i="10"/>
  <c r="H120" i="10"/>
  <c r="H118" i="10"/>
  <c r="E120" i="10"/>
  <c r="E118" i="10"/>
  <c r="G118" i="10"/>
  <c r="G120" i="10"/>
  <c r="E119" i="10" l="1"/>
  <c r="E125" i="10" s="1"/>
  <c r="E126" i="10"/>
  <c r="I119" i="10"/>
  <c r="I125" i="10" s="1"/>
  <c r="I126" i="10"/>
  <c r="H119" i="10"/>
  <c r="H125" i="10" s="1"/>
  <c r="H126" i="10"/>
  <c r="G119" i="10"/>
  <c r="G125" i="10" s="1"/>
  <c r="G126" i="10"/>
  <c r="J121" i="10"/>
  <c r="I121" i="10"/>
  <c r="E121" i="10"/>
  <c r="K119" i="10"/>
  <c r="K125" i="10" s="1"/>
  <c r="K126" i="10"/>
  <c r="H121" i="10"/>
  <c r="J119" i="10"/>
  <c r="J125" i="10" s="1"/>
  <c r="J126" i="10"/>
  <c r="F119" i="10"/>
  <c r="F125" i="10" s="1"/>
  <c r="F126" i="10"/>
  <c r="G130" i="10" l="1"/>
  <c r="G222" i="10"/>
  <c r="J122" i="10"/>
  <c r="K121" i="10"/>
  <c r="I122" i="10"/>
  <c r="J130" i="10"/>
  <c r="J222" i="10"/>
  <c r="K130" i="10"/>
  <c r="K222" i="10"/>
  <c r="E130" i="10"/>
  <c r="E222" i="10"/>
  <c r="F130" i="10"/>
  <c r="F222" i="10"/>
  <c r="H122" i="10"/>
  <c r="E122" i="10"/>
  <c r="I130" i="10"/>
  <c r="I222" i="10"/>
  <c r="G121" i="10"/>
  <c r="H130" i="10"/>
  <c r="H222" i="10"/>
  <c r="F121" i="10"/>
  <c r="F122" i="10" l="1"/>
  <c r="I136" i="10"/>
  <c r="I139" i="10"/>
  <c r="E136" i="10"/>
  <c r="E139" i="10"/>
  <c r="K136" i="10"/>
  <c r="K139" i="10"/>
  <c r="G122" i="10"/>
  <c r="F136" i="10"/>
  <c r="F139" i="10"/>
  <c r="J136" i="10"/>
  <c r="J139" i="10"/>
  <c r="H139" i="10"/>
  <c r="H136" i="10"/>
  <c r="K122" i="10"/>
  <c r="G136" i="10"/>
  <c r="G139" i="10"/>
  <c r="E140" i="10" l="1"/>
  <c r="E142" i="10"/>
  <c r="J140" i="10"/>
  <c r="J142" i="10"/>
  <c r="G142" i="10"/>
  <c r="G140" i="10"/>
  <c r="I140" i="10"/>
  <c r="I142" i="10"/>
  <c r="K142" i="10"/>
  <c r="K140" i="10"/>
  <c r="H142" i="10"/>
  <c r="H140" i="10"/>
  <c r="F140" i="10"/>
  <c r="F142" i="10"/>
  <c r="K141" i="10" l="1"/>
  <c r="K147" i="10" s="1"/>
  <c r="K148" i="10"/>
  <c r="F141" i="10"/>
  <c r="F147" i="10" s="1"/>
  <c r="F148" i="10"/>
  <c r="I143" i="10"/>
  <c r="I141" i="10"/>
  <c r="I147" i="10" s="1"/>
  <c r="I148" i="10"/>
  <c r="H141" i="10"/>
  <c r="H147" i="10" s="1"/>
  <c r="H148" i="10"/>
  <c r="F143" i="10"/>
  <c r="K143" i="10"/>
  <c r="G141" i="10"/>
  <c r="G147" i="10" s="1"/>
  <c r="G148" i="10"/>
  <c r="J141" i="10"/>
  <c r="J147" i="10" s="1"/>
  <c r="J148" i="10"/>
  <c r="E141" i="10"/>
  <c r="E147" i="10" s="1"/>
  <c r="E148" i="10"/>
  <c r="G143" i="10" l="1"/>
  <c r="E143" i="10"/>
  <c r="E144" i="10" s="1"/>
  <c r="H143" i="10"/>
  <c r="E152" i="10"/>
  <c r="E223" i="10"/>
  <c r="G152" i="10"/>
  <c r="G223" i="10"/>
  <c r="H152" i="10"/>
  <c r="H223" i="10"/>
  <c r="I152" i="10"/>
  <c r="I223" i="10"/>
  <c r="G144" i="10"/>
  <c r="F152" i="10"/>
  <c r="F223" i="10"/>
  <c r="K144" i="10"/>
  <c r="J152" i="10"/>
  <c r="J223" i="10"/>
  <c r="F144" i="10"/>
  <c r="J143" i="10"/>
  <c r="I144" i="10"/>
  <c r="H144" i="10"/>
  <c r="K152" i="10"/>
  <c r="K223" i="10"/>
  <c r="K161" i="10" l="1"/>
  <c r="K158" i="10"/>
  <c r="J144" i="10"/>
  <c r="J158" i="10"/>
  <c r="J161" i="10"/>
  <c r="F158" i="10"/>
  <c r="F161" i="10"/>
  <c r="I158" i="10"/>
  <c r="I161" i="10"/>
  <c r="G161" i="10"/>
  <c r="G158" i="10"/>
  <c r="H158" i="10"/>
  <c r="H161" i="10"/>
  <c r="E158" i="10"/>
  <c r="E161" i="10"/>
  <c r="F164" i="10" l="1"/>
  <c r="F162" i="10"/>
  <c r="E162" i="10"/>
  <c r="E164" i="10"/>
  <c r="G164" i="10"/>
  <c r="G162" i="10"/>
  <c r="I162" i="10"/>
  <c r="I164" i="10"/>
  <c r="J164" i="10"/>
  <c r="J162" i="10"/>
  <c r="H162" i="10"/>
  <c r="H164" i="10"/>
  <c r="K164" i="10"/>
  <c r="K162" i="10"/>
  <c r="J163" i="10" l="1"/>
  <c r="J169" i="10" s="1"/>
  <c r="J170" i="10"/>
  <c r="I163" i="10"/>
  <c r="I169" i="10" s="1"/>
  <c r="I170" i="10"/>
  <c r="F163" i="10"/>
  <c r="F169" i="10" s="1"/>
  <c r="F170" i="10"/>
  <c r="H163" i="10"/>
  <c r="H169" i="10" s="1"/>
  <c r="H170" i="10"/>
  <c r="K163" i="10"/>
  <c r="K169" i="10" s="1"/>
  <c r="K170" i="10"/>
  <c r="H165" i="10"/>
  <c r="G163" i="10"/>
  <c r="G169" i="10" s="1"/>
  <c r="G170" i="10"/>
  <c r="E163" i="10"/>
  <c r="E169" i="10" s="1"/>
  <c r="E170" i="10"/>
  <c r="J165" i="10" l="1"/>
  <c r="J166" i="10"/>
  <c r="E174" i="10"/>
  <c r="E224" i="10"/>
  <c r="E226" i="10" s="1"/>
  <c r="H166" i="10"/>
  <c r="H224" i="10"/>
  <c r="H226" i="10" s="1"/>
  <c r="H174" i="10"/>
  <c r="G165" i="10"/>
  <c r="J174" i="10"/>
  <c r="J224" i="10"/>
  <c r="J226" i="10" s="1"/>
  <c r="F174" i="10"/>
  <c r="F224" i="10"/>
  <c r="F226" i="10" s="1"/>
  <c r="E165" i="10"/>
  <c r="K165" i="10"/>
  <c r="F165" i="10"/>
  <c r="G224" i="10"/>
  <c r="G226" i="10" s="1"/>
  <c r="G174" i="10"/>
  <c r="K224" i="10"/>
  <c r="K226" i="10" s="1"/>
  <c r="K174" i="10"/>
  <c r="I174" i="10"/>
  <c r="I224" i="10"/>
  <c r="I226" i="10" s="1"/>
  <c r="I165" i="10"/>
  <c r="I180" i="10" l="1"/>
  <c r="I183" i="10"/>
  <c r="K166" i="10"/>
  <c r="E180" i="10"/>
  <c r="E183" i="10"/>
  <c r="H183" i="10"/>
  <c r="H180" i="10"/>
  <c r="I166" i="10"/>
  <c r="K180" i="10"/>
  <c r="K183" i="10"/>
  <c r="F166" i="10"/>
  <c r="J180" i="10"/>
  <c r="J183" i="10"/>
  <c r="G180" i="10"/>
  <c r="G183" i="10"/>
  <c r="F180" i="10"/>
  <c r="F183" i="10"/>
  <c r="E166" i="10"/>
  <c r="G166" i="10"/>
  <c r="H186" i="10" l="1"/>
  <c r="H184" i="10"/>
  <c r="J184" i="10"/>
  <c r="J186" i="10"/>
  <c r="E184" i="10"/>
  <c r="E186" i="10"/>
  <c r="I184" i="10"/>
  <c r="I186" i="10"/>
  <c r="F184" i="10"/>
  <c r="F186" i="10"/>
  <c r="K186" i="10"/>
  <c r="K184" i="10"/>
  <c r="G186" i="10"/>
  <c r="G184" i="10"/>
  <c r="E185" i="10" l="1"/>
  <c r="E191" i="10" s="1"/>
  <c r="E197" i="10" s="1"/>
  <c r="E199" i="10" s="1"/>
  <c r="E195" i="10"/>
  <c r="E196" i="10" s="1"/>
  <c r="E192" i="10"/>
  <c r="H185" i="10"/>
  <c r="H191" i="10" s="1"/>
  <c r="H197" i="10" s="1"/>
  <c r="H195" i="10"/>
  <c r="H196" i="10" s="1"/>
  <c r="H192" i="10"/>
  <c r="K185" i="10"/>
  <c r="K191" i="10" s="1"/>
  <c r="K197" i="10" s="1"/>
  <c r="K195" i="10"/>
  <c r="K196" i="10" s="1"/>
  <c r="K192" i="10"/>
  <c r="F185" i="10"/>
  <c r="F191" i="10" s="1"/>
  <c r="F197" i="10" s="1"/>
  <c r="F195" i="10"/>
  <c r="F196" i="10" s="1"/>
  <c r="F192" i="10"/>
  <c r="I185" i="10"/>
  <c r="I191" i="10" s="1"/>
  <c r="I197" i="10" s="1"/>
  <c r="I199" i="10" s="1"/>
  <c r="I195" i="10"/>
  <c r="I196" i="10" s="1"/>
  <c r="I192" i="10"/>
  <c r="F187" i="10"/>
  <c r="G185" i="10"/>
  <c r="G191" i="10" s="1"/>
  <c r="G197" i="10" s="1"/>
  <c r="G199" i="10" s="1"/>
  <c r="G195" i="10"/>
  <c r="G196" i="10" s="1"/>
  <c r="G192" i="10"/>
  <c r="J185" i="10"/>
  <c r="J191" i="10" s="1"/>
  <c r="J197" i="10" s="1"/>
  <c r="J195" i="10"/>
  <c r="J196" i="10" s="1"/>
  <c r="J192" i="10"/>
  <c r="H187" i="10"/>
  <c r="F199" i="10" l="1"/>
  <c r="J199" i="10"/>
  <c r="J154" i="10" s="1"/>
  <c r="J160" i="10" s="1"/>
  <c r="H199" i="10"/>
  <c r="H110" i="10" s="1"/>
  <c r="H116" i="10" s="1"/>
  <c r="K187" i="10"/>
  <c r="J110" i="10"/>
  <c r="J116" i="10" s="1"/>
  <c r="J132" i="10"/>
  <c r="J138" i="10" s="1"/>
  <c r="J198" i="10"/>
  <c r="J201" i="10" s="1"/>
  <c r="J202" i="10" s="1"/>
  <c r="J187" i="10"/>
  <c r="H132" i="10"/>
  <c r="H138" i="10" s="1"/>
  <c r="H154" i="10"/>
  <c r="H160" i="10" s="1"/>
  <c r="H198" i="10"/>
  <c r="H201" i="10" s="1"/>
  <c r="H202" i="10" s="1"/>
  <c r="H176" i="10"/>
  <c r="H182" i="10" s="1"/>
  <c r="I187" i="10"/>
  <c r="K199" i="10"/>
  <c r="G187" i="10"/>
  <c r="H188" i="10"/>
  <c r="H207" i="10"/>
  <c r="H216" i="10" s="1"/>
  <c r="H209" i="10"/>
  <c r="H218" i="10" s="1"/>
  <c r="H205" i="10"/>
  <c r="H208" i="10"/>
  <c r="H217" i="10" s="1"/>
  <c r="G132" i="10"/>
  <c r="G138" i="10" s="1"/>
  <c r="G154" i="10"/>
  <c r="G160" i="10" s="1"/>
  <c r="G110" i="10"/>
  <c r="G116" i="10" s="1"/>
  <c r="G176" i="10"/>
  <c r="G182" i="10" s="1"/>
  <c r="G198" i="10"/>
  <c r="F154" i="10"/>
  <c r="F160" i="10" s="1"/>
  <c r="F110" i="10"/>
  <c r="F116" i="10" s="1"/>
  <c r="F132" i="10"/>
  <c r="F138" i="10" s="1"/>
  <c r="F198" i="10"/>
  <c r="F201" i="10" s="1"/>
  <c r="F202" i="10" s="1"/>
  <c r="F176" i="10"/>
  <c r="F182" i="10" s="1"/>
  <c r="E187" i="10"/>
  <c r="F188" i="10"/>
  <c r="F208" i="10"/>
  <c r="F217" i="10" s="1"/>
  <c r="F205" i="10"/>
  <c r="F207" i="10"/>
  <c r="F216" i="10" s="1"/>
  <c r="F206" i="10"/>
  <c r="F215" i="10" s="1"/>
  <c r="I110" i="10"/>
  <c r="I116" i="10" s="1"/>
  <c r="I132" i="10"/>
  <c r="I138" i="10" s="1"/>
  <c r="I154" i="10"/>
  <c r="I160" i="10" s="1"/>
  <c r="I198" i="10"/>
  <c r="I176" i="10"/>
  <c r="I182" i="10" s="1"/>
  <c r="E110" i="10"/>
  <c r="E116" i="10" s="1"/>
  <c r="E132" i="10"/>
  <c r="E138" i="10" s="1"/>
  <c r="E154" i="10"/>
  <c r="E160" i="10" s="1"/>
  <c r="E198" i="10"/>
  <c r="E176" i="10"/>
  <c r="E182" i="10" s="1"/>
  <c r="K188" i="10"/>
  <c r="G201" i="10" l="1"/>
  <c r="G202" i="10" s="1"/>
  <c r="H206" i="10"/>
  <c r="H215" i="10" s="1"/>
  <c r="J176" i="10"/>
  <c r="J182" i="10" s="1"/>
  <c r="E188" i="10"/>
  <c r="E206" i="10"/>
  <c r="E215" i="10" s="1"/>
  <c r="E209" i="10"/>
  <c r="E218" i="10" s="1"/>
  <c r="E207" i="10"/>
  <c r="E216" i="10" s="1"/>
  <c r="E205" i="10"/>
  <c r="E208" i="10"/>
  <c r="E217" i="10" s="1"/>
  <c r="F214" i="10"/>
  <c r="H214" i="10"/>
  <c r="H210" i="10"/>
  <c r="H211" i="10" s="1"/>
  <c r="E201" i="10"/>
  <c r="E202" i="10" s="1"/>
  <c r="F209" i="10"/>
  <c r="F218" i="10" s="1"/>
  <c r="G188" i="10"/>
  <c r="G209" i="10"/>
  <c r="G218" i="10" s="1"/>
  <c r="G207" i="10"/>
  <c r="G216" i="10" s="1"/>
  <c r="G206" i="10"/>
  <c r="G215" i="10" s="1"/>
  <c r="G205" i="10"/>
  <c r="G208" i="10"/>
  <c r="G217" i="10" s="1"/>
  <c r="J188" i="10"/>
  <c r="J206" i="10"/>
  <c r="J215" i="10" s="1"/>
  <c r="J205" i="10"/>
  <c r="J208" i="10"/>
  <c r="J217" i="10" s="1"/>
  <c r="J209" i="10"/>
  <c r="J218" i="10" s="1"/>
  <c r="J207" i="10"/>
  <c r="J216" i="10" s="1"/>
  <c r="I188" i="10"/>
  <c r="I208" i="10"/>
  <c r="I217" i="10" s="1"/>
  <c r="I205" i="10"/>
  <c r="I206" i="10"/>
  <c r="I215" i="10" s="1"/>
  <c r="I207" i="10"/>
  <c r="I216" i="10" s="1"/>
  <c r="I209" i="10"/>
  <c r="I218" i="10" s="1"/>
  <c r="I201" i="10"/>
  <c r="I202" i="10" s="1"/>
  <c r="K132" i="10"/>
  <c r="K138" i="10" s="1"/>
  <c r="K154" i="10"/>
  <c r="K160" i="10" s="1"/>
  <c r="K110" i="10"/>
  <c r="K116" i="10" s="1"/>
  <c r="K176" i="10"/>
  <c r="K182" i="10" s="1"/>
  <c r="K198" i="10"/>
  <c r="J210" i="10" l="1"/>
  <c r="J211" i="10" s="1"/>
  <c r="J214" i="10"/>
  <c r="E210" i="10"/>
  <c r="E211" i="10" s="1"/>
  <c r="E214" i="10"/>
  <c r="K201" i="10"/>
  <c r="K202" i="10" s="1"/>
  <c r="K207" i="10"/>
  <c r="K216" i="10" s="1"/>
  <c r="K205" i="10"/>
  <c r="K209" i="10"/>
  <c r="K218" i="10" s="1"/>
  <c r="K208" i="10"/>
  <c r="K217" i="10" s="1"/>
  <c r="K206" i="10"/>
  <c r="K215" i="10" s="1"/>
  <c r="F243" i="10"/>
  <c r="F256" i="10" s="1"/>
  <c r="F247" i="10"/>
  <c r="F260" i="10" s="1"/>
  <c r="F242" i="10"/>
  <c r="F246" i="10"/>
  <c r="F259" i="10" s="1"/>
  <c r="F248" i="10"/>
  <c r="F261" i="10" s="1"/>
  <c r="F245" i="10"/>
  <c r="F258" i="10" s="1"/>
  <c r="F244" i="10"/>
  <c r="F257" i="10" s="1"/>
  <c r="F249" i="10"/>
  <c r="F262" i="10" s="1"/>
  <c r="I210" i="10"/>
  <c r="I211" i="10" s="1"/>
  <c r="I214" i="10"/>
  <c r="E9" i="10"/>
  <c r="F210" i="10"/>
  <c r="F211" i="10" s="1"/>
  <c r="G214" i="10"/>
  <c r="G210" i="10"/>
  <c r="G211" i="10" s="1"/>
  <c r="H245" i="10"/>
  <c r="H258" i="10" s="1"/>
  <c r="H249" i="10"/>
  <c r="H262" i="10" s="1"/>
  <c r="H244" i="10"/>
  <c r="H257" i="10" s="1"/>
  <c r="H248" i="10"/>
  <c r="H261" i="10" s="1"/>
  <c r="H242" i="10"/>
  <c r="H247" i="10"/>
  <c r="H260" i="10" s="1"/>
  <c r="H246" i="10"/>
  <c r="H259" i="10" s="1"/>
  <c r="H243" i="10"/>
  <c r="H256" i="10" s="1"/>
  <c r="I242" i="10" l="1"/>
  <c r="I246" i="10"/>
  <c r="I259" i="10" s="1"/>
  <c r="I245" i="10"/>
  <c r="I258" i="10" s="1"/>
  <c r="I249" i="10"/>
  <c r="I262" i="10" s="1"/>
  <c r="I243" i="10"/>
  <c r="I256" i="10" s="1"/>
  <c r="I248" i="10"/>
  <c r="I261" i="10" s="1"/>
  <c r="I247" i="10"/>
  <c r="I260" i="10" s="1"/>
  <c r="I244" i="10"/>
  <c r="I257" i="10" s="1"/>
  <c r="E242" i="10"/>
  <c r="E246" i="10"/>
  <c r="E259" i="10" s="1"/>
  <c r="E245" i="10"/>
  <c r="E258" i="10" s="1"/>
  <c r="E249" i="10"/>
  <c r="E262" i="10" s="1"/>
  <c r="E247" i="10"/>
  <c r="E260" i="10" s="1"/>
  <c r="E244" i="10"/>
  <c r="E257" i="10" s="1"/>
  <c r="E243" i="10"/>
  <c r="E256" i="10" s="1"/>
  <c r="E248" i="10"/>
  <c r="E261" i="10" s="1"/>
  <c r="G244" i="10"/>
  <c r="G257" i="10" s="1"/>
  <c r="G248" i="10"/>
  <c r="G261" i="10" s="1"/>
  <c r="G243" i="10"/>
  <c r="G256" i="10" s="1"/>
  <c r="G247" i="10"/>
  <c r="G260" i="10" s="1"/>
  <c r="G249" i="10"/>
  <c r="G262" i="10" s="1"/>
  <c r="G246" i="10"/>
  <c r="G259" i="10" s="1"/>
  <c r="G245" i="10"/>
  <c r="G258" i="10" s="1"/>
  <c r="G242" i="10"/>
  <c r="K214" i="10"/>
  <c r="K210" i="10"/>
  <c r="K211" i="10" s="1"/>
  <c r="H250" i="10"/>
  <c r="H255" i="10"/>
  <c r="J243" i="10"/>
  <c r="J256" i="10" s="1"/>
  <c r="J247" i="10"/>
  <c r="J260" i="10" s="1"/>
  <c r="J242" i="10"/>
  <c r="J246" i="10"/>
  <c r="J259" i="10" s="1"/>
  <c r="J244" i="10"/>
  <c r="J257" i="10" s="1"/>
  <c r="J249" i="10"/>
  <c r="J262" i="10" s="1"/>
  <c r="J248" i="10"/>
  <c r="J261" i="10" s="1"/>
  <c r="J245" i="10"/>
  <c r="J258" i="10" s="1"/>
  <c r="F250" i="10"/>
  <c r="F255" i="10"/>
  <c r="G250" i="10" l="1"/>
  <c r="G255" i="10"/>
  <c r="J250" i="10"/>
  <c r="J255" i="10"/>
  <c r="H263" i="10"/>
  <c r="H251" i="10"/>
  <c r="F263" i="10"/>
  <c r="F251" i="10"/>
  <c r="K244" i="10"/>
  <c r="K257" i="10" s="1"/>
  <c r="K248" i="10"/>
  <c r="K261" i="10" s="1"/>
  <c r="K243" i="10"/>
  <c r="K256" i="10" s="1"/>
  <c r="K247" i="10"/>
  <c r="K260" i="10" s="1"/>
  <c r="K245" i="10"/>
  <c r="K258" i="10" s="1"/>
  <c r="K242" i="10"/>
  <c r="K249" i="10"/>
  <c r="K262" i="10" s="1"/>
  <c r="K246" i="10"/>
  <c r="K259" i="10" s="1"/>
  <c r="E250" i="10"/>
  <c r="E255" i="10"/>
  <c r="I250" i="10"/>
  <c r="I255" i="10"/>
  <c r="I263" i="10" l="1"/>
  <c r="I251" i="10"/>
  <c r="J263" i="10"/>
  <c r="J251" i="10"/>
  <c r="K250" i="10"/>
  <c r="K255" i="10"/>
  <c r="E251" i="10"/>
  <c r="E263" i="10"/>
  <c r="G251" i="10"/>
  <c r="G263" i="10"/>
  <c r="K251" i="10" l="1"/>
  <c r="K263"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<sst xmlns="http://schemas.openxmlformats.org/spreadsheetml/2006/main" count="392" uniqueCount="228">
  <si>
    <t>This is an example waterfall distribution, primarily created to show how different preference structures impacts distribution of proceeds</t>
  </si>
  <si>
    <t>Exit Valuation</t>
  </si>
  <si>
    <t>$</t>
  </si>
  <si>
    <t>Base assumption, used to create the midpoint of the range of exit valuations below. Change as you wish. By default I calculate it at 2x the last round share price * the total fully-diluted shares, but feel free to write over the formula, I do that simply to automatically create a decent starting point.</t>
  </si>
  <si>
    <t>Distribution to equity shareholders</t>
  </si>
  <si>
    <t>#</t>
  </si>
  <si>
    <t>Price per Share</t>
  </si>
  <si>
    <t>average; distribution to shareholders may vary based on the waterfall and distributions to different classes of shareholders</t>
  </si>
  <si>
    <t>Exit Date</t>
  </si>
  <si>
    <t>-</t>
  </si>
  <si>
    <t>Assumed 2 years in future from today (which will also be two years from the last investment round on the cap table if the dates are unchanged). Change for your specific situation or expectation</t>
  </si>
  <si>
    <t>Waterfall Analysis</t>
  </si>
  <si>
    <t>%</t>
  </si>
  <si>
    <t>Increase and decrease of enterprise values examined in waterfall, per step. You can also overwrite the exit valuations directly and use whatever values you want.</t>
  </si>
  <si>
    <t>Use iterations / resolve circulars?</t>
  </si>
  <si>
    <t>y/n</t>
  </si>
  <si>
    <t>If the capital structure involves rounds with a mixture of full participating and participating preferred with a cap option, the methods necessary to calculate this accurately require iterative calculations. If you select "no", the results are an approximation. For exact calcs, it is necessary to select "yes" and turn on iterations in Excel, under Preferences &gt; Calculation&gt; Limit Iterations</t>
  </si>
  <si>
    <t>Does proceeds distributed = total proceeds?</t>
  </si>
  <si>
    <t>Do the total proceeds distributed equal the total proceeds from the exit? If this is "No", then you have to turn iterations / circulars on to resolve the differences, it's not possible to calculate accurately without circulars.</t>
  </si>
  <si>
    <t>Pre-Distribution Cap Table</t>
  </si>
  <si>
    <t>This isn't always part of an exit waterfall, but it's nice to be clear in how the different investors have ownership in different share classes.</t>
  </si>
  <si>
    <t>Investors</t>
  </si>
  <si>
    <t>C</t>
  </si>
  <si>
    <t>B</t>
  </si>
  <si>
    <t>A</t>
  </si>
  <si>
    <t>Seed</t>
  </si>
  <si>
    <t>Common</t>
  </si>
  <si>
    <t>Options</t>
  </si>
  <si>
    <t>Total</t>
  </si>
  <si>
    <t>Options Exercised</t>
  </si>
  <si>
    <t>Option Pool</t>
  </si>
  <si>
    <t>Note that the ungranted and unexercised options are cancelled, and not included in the fully-diluted shares at exit.</t>
  </si>
  <si>
    <t>Total Fully-Diluted Shares</t>
  </si>
  <si>
    <t>% of Fully-Diluted Shares</t>
  </si>
  <si>
    <t>Invested and Converted Capital</t>
  </si>
  <si>
    <t xml:space="preserve">This detail is important and gets used in defining the liquidation preferences. By default it is calculated </t>
  </si>
  <si>
    <t>Share Price per Round</t>
  </si>
  <si>
    <t>na</t>
  </si>
  <si>
    <t>This detail is important and gets used in defining the liquidation preferences</t>
  </si>
  <si>
    <t>Investment Date</t>
  </si>
  <si>
    <t>Assumes all investments in the same share class have the same date, feel free to adjust, or assume an "average" investment date</t>
  </si>
  <si>
    <t>Dividends</t>
  </si>
  <si>
    <t>Type of Dividends / Interest</t>
  </si>
  <si>
    <t>Liquidation Preferences</t>
  </si>
  <si>
    <t>The model assumes a standard 1x invested capital liquidation preference for all preferred shareholders. The lines below refer to specifics around if the preferred has participation rights.</t>
  </si>
  <si>
    <t>Liquidation Preferences, multiple of Invested Capital</t>
  </si>
  <si>
    <t>Optional: What are the participation rights of this Preferred share class?</t>
  </si>
  <si>
    <t>Non Participating Preferred</t>
  </si>
  <si>
    <t>The dropdowns here for the preferred outline three scenarios for the preferred: non participating, full participation, and participating with a cap. They refer to three different ways in which a preferred share class could have participation rights. Details, check out https://capgenius.com/2011/03/31/participatingpfd/</t>
  </si>
  <si>
    <t>Optional: If there is a cap on participation, what is the cap, as a multiple of invested capital?</t>
  </si>
  <si>
    <t>Only applies if "participating preferred with a cap" is selected in the dropdown above. See the link in the previous note to understand what this means.</t>
  </si>
  <si>
    <t>Optional: Cap on Participation</t>
  </si>
  <si>
    <t>Optional: 1 Preferred Shares converts to N Common Shares</t>
  </si>
  <si>
    <t>Exit Waterfall, showing distribution to shares</t>
  </si>
  <si>
    <t>Here I've created a range of valuations to show how the waterfall changes - how different shareholders earn more / less - based on different exits. You don't necessarily need to do a lot of different exit valuations, but it can be useful to understand.</t>
  </si>
  <si>
    <t>Equals the fully-diluted shares above</t>
  </si>
  <si>
    <t># Multiple on Invested Capital (Exit price / Invested Capital)</t>
  </si>
  <si>
    <t>Calculated the overall MOIC, not necessary, just to show.</t>
  </si>
  <si>
    <t>Residual Amount</t>
  </si>
  <si>
    <t>Meaning, the amount left over after the liquidation preferences are paid to the share class more senior to this one.</t>
  </si>
  <si>
    <t>Remaining Shares, all Investors</t>
  </si>
  <si>
    <t>Meaning, the number of shares that have not been paid - yet - before this share class is taken care of.</t>
  </si>
  <si>
    <t>Shares in this share class.</t>
  </si>
  <si>
    <t>Liquidation Preference</t>
  </si>
  <si>
    <t>What the liquidation preference would be, if it was taken. Ignores any accumulated interest and adding it to preference, assumes 1x liquidation preference</t>
  </si>
  <si>
    <t>Cap on Participation</t>
  </si>
  <si>
    <t>What the cap on the participation would be, if it applies. Assumes 1x liquidation preference, so invested capital  = liquidation preference. This tests to see if there is a cap on the participation. "na" means it's not applicable (i.e. the preferred doesn't have participation rights, "0" means there is no cap, a number means there is a cap, and it calculates the cap on participation. Note this is in addition to the liquidation preference above.</t>
  </si>
  <si>
    <t>Note: Implied Proceeds if Convert to Common</t>
  </si>
  <si>
    <t>The "implied" is important here, because the actual may be different. The formula does an odd-looking IF statement, and this is only done to try and make it easier to not use circulars in the model.</t>
  </si>
  <si>
    <t>Participate with common?</t>
  </si>
  <si>
    <t>Preferred Shares participate with Common</t>
  </si>
  <si>
    <t>why is this calculated? To catch the case for participating preferred with a cap where the proceeds are over the cap, but less than would be earned by converting to common. This is called the zone of indifference, and for exit values within this area, the proceeds to this shareholder will be static over different exit values. a note on the formula: the INDEX(MATCH) construction is merely looking to see which participation it should use for the actual participation rights of this shareholder class.</t>
  </si>
  <si>
    <t>the amount of the implied proceeds attributable to participation of the preferred with the common, if they participated.</t>
  </si>
  <si>
    <t>Convert to common?</t>
  </si>
  <si>
    <t>This tests multiple conditions to see what earns the investor more: convert to common, or take the terms of their preferred? This flag helps tell the other formulas what to do.</t>
  </si>
  <si>
    <t>Shares Convert to Common</t>
  </si>
  <si>
    <t>So, remember that it is gnerally the choice of preferred shareholders to take the distribution under the terms of the rights of their preferred shares, or convert their shares to common. We are assming a 1:1 conversion ratio, although that may not always be the case.</t>
  </si>
  <si>
    <t>Proceeds from Conversion to Common</t>
  </si>
  <si>
    <t>This is all pretty straightforward, except the participation is a little tricky. Generally this can cause issues with circular references in Excel. But essentially it's just testing to see if there is any participation.</t>
  </si>
  <si>
    <t>So, what does the shareholder get? Either convert to common * common share price, or liquidation preference (maximum the amount available to distribute to this share class), or liquidation preference + participation with the common.</t>
  </si>
  <si>
    <t>Proceeds per share</t>
  </si>
  <si>
    <t>The price per share that they receive. This may vary from the average price per share for *all* shareholders.</t>
  </si>
  <si>
    <t>Common Shares</t>
  </si>
  <si>
    <t>Preferred Participate with Common</t>
  </si>
  <si>
    <t>Preferred Converted to Common</t>
  </si>
  <si>
    <t>Total Common, Converted to Common, Participate with Common</t>
  </si>
  <si>
    <t>Amount Post Preferences</t>
  </si>
  <si>
    <t>Total Proceeds, all shareholders</t>
  </si>
  <si>
    <t>A summary, to make sure the per-share class numbers add up to the exit valuation.</t>
  </si>
  <si>
    <t>Check: Proceeds = Exit Value?</t>
  </si>
  <si>
    <t>A check to make sure total proceeds distributed = total proceeds from exit. Zero means they are equal. If this is not equal to zero, first thing to do is use the "yes/no" dropdown on D12 to choose "yes", so that the model uses the formulas that account for liquidation preferences in different rounds.</t>
  </si>
  <si>
    <t>Summary - Proceeds</t>
  </si>
  <si>
    <t>Detail - Liquidation Preferences</t>
  </si>
  <si>
    <t>This detail helps understand what preferences are used; it is also used for the estimates in the "non-circulars" calculations.</t>
  </si>
  <si>
    <t>Exit Waterfall, showing proceeds to shareholders</t>
  </si>
  <si>
    <t>Pretty simple, just showing what each shareholder gets in each scenario, taking into account the different share classes they own.</t>
  </si>
  <si>
    <t>You may need to adjust these if you change the setup of shareholders above, or insert or delete rows if you change the pre-distribution cap table</t>
  </si>
  <si>
    <t>Exit Waterfall, showing ROI to shareholders</t>
  </si>
  <si>
    <t>The formula calculates the return (proceeds - invested capital) in aggregate for all classes of shares each shareholder owns.</t>
  </si>
  <si>
    <t>Note: Participation for Preferred Shareholders</t>
  </si>
  <si>
    <t>Used in the participation calculations on this sheet. Do not delete. You can rename the what the participation types are called, but you can't change the order of the "meaning" of the different participation types.</t>
  </si>
  <si>
    <t>Participating Preferred with a Cap</t>
  </si>
  <si>
    <t>Full Participating Preferred</t>
  </si>
  <si>
    <t>Note: Dividend Options</t>
  </si>
  <si>
    <t>Used to set the dividen options. Do not delete</t>
  </si>
  <si>
    <t>Non Cumulative</t>
  </si>
  <si>
    <t>Cumulative</t>
  </si>
  <si>
    <t>Not Declared</t>
  </si>
  <si>
    <t>Investor</t>
  </si>
  <si>
    <t>This is a reference calculation that I use when calculating the participation for the full participating and participating with a cap options, if iterative calculations are turned off.</t>
  </si>
  <si>
    <t>This is used if dividends are declared to preferred shareholders and paid at exit</t>
  </si>
  <si>
    <t>Waterfall Distribution of Proceeds</t>
  </si>
  <si>
    <t>Assuming all issued and outstanding options are vested and exercised</t>
  </si>
  <si>
    <t>Investments through convertible instruments should be tracked under the share class that they own, not the round they invested in</t>
  </si>
  <si>
    <t>not including costs to purchase options in the invested capital</t>
  </si>
  <si>
    <t>this is a check of the invested capital from above matches the share price * issued and outstanding shares</t>
  </si>
  <si>
    <t>For dividends that are paid at exit, as a distribution to shareholders.</t>
  </si>
  <si>
    <t>Not declared = no dividends, non cumulative = a one-time dividend (investment amount * interest rate), cumulative is for dividends paid annually, so interest rate * investment amount * # of years from investment to exit</t>
  </si>
  <si>
    <t>Annual or One-Time Dividend or Interest Rate</t>
  </si>
  <si>
    <t>annual or one-time rate, if dividends are declared</t>
  </si>
  <si>
    <t>created from default assumption of exit valuation, and a range of alternative exit valuations</t>
  </si>
  <si>
    <t>Repayment of debt (investors on cap table)</t>
  </si>
  <si>
    <t>repayment of debt, prior to distribution to equity shareholders</t>
  </si>
  <si>
    <t>Repayment of debt (not on cap table)</t>
  </si>
  <si>
    <t>repayment of debt, to investors not on the cap table. These two lines are separated only because investors on the cap table have prebuilt structures to calculate their returns, investors on the cap table do not. The formula in the inputs assumes the debt repayment is the same across all exit ranges, but feel free to adjust if need be.</t>
  </si>
  <si>
    <t>Optional: Debt Repayments to Investors</t>
  </si>
  <si>
    <t>this is to capture debt repayments (convertible notes, etc.) that are not captured through the distribution to equity shareholders. This is a manual input section, as many debt repayments are highly specific to the situation.</t>
  </si>
  <si>
    <t>expectations is that the debt repayment would be the same across all exit ranges, but flexibility is here to allow repayment to vary</t>
  </si>
  <si>
    <t>A chart that shows the % of proceeds distributed to each shareholder class. Helpful as a quick visualization</t>
  </si>
  <si>
    <t>A chart that shows the total proceeds distributed to each shareholder class. Helpful as a quick visualization</t>
  </si>
  <si>
    <t>Seniority of Shareholder Classes</t>
  </si>
  <si>
    <t>Invested Capital (Shares * Share Price)</t>
  </si>
  <si>
    <t>Invested Capital (Sum of above)</t>
  </si>
  <si>
    <t>Shareholder Class</t>
  </si>
  <si>
    <t>this can be expanded to as many rows for as many investors as you want to model. Simply insert rows in each section that tracks each investor - this section for shares, later ones for invested capital, proceeds, % ROI, etc. - and copy the formulas down, and everything will work automatically.</t>
  </si>
  <si>
    <t>Shares per Calculation Block</t>
  </si>
  <si>
    <t>Name for Calculation Block</t>
  </si>
  <si>
    <t>from the shareholder classes above</t>
  </si>
  <si>
    <t>in case you want to rename the calculation blocks, if you move around the seniority of the shareholder classes.</t>
  </si>
  <si>
    <t>set which round is senior to, or pari-passu to, the other rounds. By default it assumes each subsequent round is senior to the previous, but this structure allows you to determine the seniority or pari-passu treatment completely flexibly</t>
  </si>
  <si>
    <t>calculated from the settings in the row above, allocates the share classes to the calculation blocks. If you assume pari-passu treatment, the calcs will assume to use the settings (liquidation preference terms, dividends, conversion settings) from the share class logged here.</t>
  </si>
  <si>
    <t>Total per Calculation Block</t>
  </si>
  <si>
    <t>Liquidation Preferences per Calculation Block</t>
  </si>
  <si>
    <t>Liquidation Preferences Allocation, % of Calculation Blocks per Shareholder Class</t>
  </si>
  <si>
    <t>Share Allocation, % of Calculation Blocks per Shareholder Class</t>
  </si>
  <si>
    <t>Invested Capital per Calculation Block</t>
  </si>
  <si>
    <t>Check: Proceeds to Calculation Blocks = Proceeds to Shareholder Classes?</t>
  </si>
  <si>
    <t>A check to make sure total proceeds to the calculation blocks = total proceeds to the shareholder classes. Should equal zero in all cells in this row</t>
  </si>
  <si>
    <t>Summary - Proceeds per share</t>
  </si>
  <si>
    <t>Check, proceeds to individual shareholders = proceeds to shareholder classes?</t>
  </si>
  <si>
    <t>Options for Dropdowns</t>
  </si>
  <si>
    <t>Do not delete</t>
  </si>
  <si>
    <t>this section allocates the shareholder classes to the calculation blocks. This is used to calculate the proceeds to shareholders after the proceeds to each calculation block has happened.</t>
  </si>
  <si>
    <t>this section allocates the liquidation preferences to the calculation blocks. This is used to calculate the proceeds to shareholders after the proceeds to each calculation block has happened. It assumes the preference terms from the relevant calculation block (i.e. it does not blend participation rights, cap on participation, etc. if they differ by share class.</t>
  </si>
  <si>
    <t>this is a helper calc to show more detailed information; if it was nonparticipating, what would the proceeds be?</t>
  </si>
  <si>
    <t>this is a helper calc to show more detailed information; if it was participating with a cap, what would the proceeds be?</t>
  </si>
  <si>
    <t>this is a helper calc to show more detailed information; if it was full participating, what would the proceeds be?</t>
  </si>
  <si>
    <t>"yes" means the shares have participation rights, "no" means they do not, or that they are not exercising those rights and are converting to common</t>
  </si>
  <si>
    <t>no</t>
  </si>
  <si>
    <t>Per Share Class above, treat as Senior or Pari-Passu to</t>
  </si>
  <si>
    <t>by default, the model assumes each shareholder class is senior to the round before it. This section allows you to break from that assumption, and create groups to treat some shareholder classes as pari-passu, or to re-order the seniority</t>
  </si>
  <si>
    <t>Average Cap on Participation</t>
  </si>
  <si>
    <t>Average Conversion Ratio, 1 Preferred Share to N Common Shares</t>
  </si>
  <si>
    <t>Participating Rights assumed per Calculation Block</t>
  </si>
  <si>
    <t>calculated per calculation block from the shares allocated to each block</t>
  </si>
  <si>
    <t>calculated using the weighted average of shares allocated to each calculation block</t>
  </si>
  <si>
    <t>by structural default, the model assumes the same participation rights for all shareholders allocated to this calculation block, regardless of the participation rights in the per round assumptions. You should structure the pari-passu allocations so that this term is the same for all calculation blocks</t>
  </si>
  <si>
    <t>by structural default, the model assumes the same dividend structure for all shareholders allocated to this calculation block, regardless of the per round assumptions. You should structure the pari-passu allocations so that this term is the same for all calculation blocks</t>
  </si>
  <si>
    <t>weighted average of conversion ratio for shares allocated to this calculation block</t>
  </si>
  <si>
    <t>weighted average for all shares allocated to this calculation block</t>
  </si>
  <si>
    <t>Average Investment Date, per Calculation Block</t>
  </si>
  <si>
    <t>License Agreement</t>
  </si>
  <si>
    <t>This license agreement is also at https://foresight.is/license</t>
  </si>
  <si>
    <t>This License Agreement (“the Agreement”) between you, the licensee, and Unstructured Ventures, LLC (the “Company”) a limited liability corporation headquartered and registered in the Commonwealth of Pennsylvania and organized under the laws of the state of Delaware. The Company owns the financial model templates (the “Product”) and any edits, additions, customizations to the financial model templates, and custom models (the "Service") delivered under this Agreement. This Agreement grants you a non-exclusive, non-transferable right to use and incorporate the Product and Service in personal and corporate projects for the organization that purchased the Product and/or Service.</t>
  </si>
  <si>
    <t>You agree as follows:</t>
  </si>
  <si>
    <t>1. Scope of use</t>
  </si>
  <si>
    <t xml:space="preserve">    * Use and incorporate the Product and/or Service in personal and commercial projects for your company including financial models, business plans, pitch decks, etc.</t>
  </si>
  <si>
    <t xml:space="preserve">    * You may modify the Product and/or Service to better serve your project.</t>
  </si>
  <si>
    <t xml:space="preserve">    * You are granted unlimited usage of the Product and/or Service purchased in your organization.</t>
  </si>
  <si>
    <t xml:space="preserve">    * If an organization is the licensee, all employees of the organization may use the same license.</t>
  </si>
  <si>
    <t>2. Limitations and non-use</t>
  </si>
  <si>
    <t xml:space="preserve">    * You may not redistribute, sublicense or resell the Product and/or Service.</t>
  </si>
  <si>
    <t xml:space="preserve">    * You may not distribute, license or sell derivative, recompiled, reverse engineered, or modified versions of the Product and/or Service.</t>
  </si>
  <si>
    <t xml:space="preserve">    * You may not use the Product and/or Service as in projects for other organizations.</t>
  </si>
  <si>
    <t xml:space="preserve">    * If your customers would like to use the Product and/or Service as a part of their own product, you must obtain a separate license for each client.</t>
  </si>
  <si>
    <t xml:space="preserve">    * The Product and/or Service is provided “as is” without a warranty of any kind, either expressed or implied.</t>
  </si>
  <si>
    <t xml:space="preserve">    * The Company owns all right, title, intellectual property, and interest in the Product and/or Service.</t>
  </si>
  <si>
    <t xml:space="preserve">    * The design, text, graphics, selection and arrangement in the Product and/or Service are the copyright © of the Company, all rights reserved.</t>
  </si>
  <si>
    <t>The Company’s liability to you for costs, damages, or other losses arising from your use of the Product and/or Service — including third-party claims against you — is limited to a refund of your license fee of the Product and the fees paid related to the Service in question. The Company may not be held liable for any consequential damages related to your use of the Product and/orService. We are not financial advisors, planners, brokers, or tax advisors, and the Company, Product, and Service are not intended to provide legal, tax, or financial advice. Your financial situation is unique, and any information and advice obtained through the Product and/or Service may not be appropriate for your situation. Accordingly, before making any final decisions or implementing any financial strategy, you should consider obtaining additional information and advice from your accountant or other financial advisers who are fully aware of your individual situation.</t>
  </si>
  <si>
    <t>TO THE FULLEST EXTENT PERMITTED BY LAW, WE AND OUR AFFILIATES, SUPPLIERS AND DISTRIBUTORS MAKE NO WARRANTIES, EITHER EXPRESS OR IMPLIED, ABOUT THE PRODUCTS AND SERVICES. THE PRODUCTS AND SERVICES ARE PROVIDED "AS IS." WE ALSO DISCLAIM ANY WARRANTIES OF MERCHANTABILITY, FITNESS FOR A PARTICULAR PURPOSE AND NON-INFRINGEMENT.  INFORMATION AND OPINIONS RECEIVED VIA THE PRODUCT, SERVICE, AND WEBSITE SHOULD NOT BE RELIED UPON FOR PERSONAL, MEDICAL, LEGAL OR FINANCIAL DECISIONS AND YOU SHOULD CONSULT AN APPROPRIATE PROFESSIONAL FOR SPECIFIC ADVICE TAILORED TO YOUR SITUATION.</t>
  </si>
  <si>
    <t>TO THE FULLEST EXTENT PERMITTED BY LAW, IN NO EVENT WILL WE, OUR AFFILIATES, SUPPLIERS OR DISTRIBUTORS BE LIABLE FOR ANY INDIRECT, SPECIAL, INCIDENTAL, PUNITIVE, EXEMPLARY OR CONSEQUENTIAL DAMAGES OR ANY LOSS OF USE, DATA, BUSINESS, OR PROFITS, REGARDLESS OF LEGAL THEORY, WHETHER OR NOT WE HAVE BEEN WARNED OF THE POSSIBILITY OF SUCH DAMAGES, AND EVEN IF A REMEDY FAILS OF ITS ESSENTIAL PURPOSE.</t>
  </si>
  <si>
    <t>This Agreement is governed by the laws of the Commonwealth of Pennsylvania and the applicable laws of the United States of America. Legal proceedings related to this Agreement may only be brought in the courts of Pennsylvania. You agree to service of process at the e-mail address on your original order. Notices may be sent to Unstructured Ventures, LLC by email to hello@unstructuredventures.com or by post to Unstructured Ventures, LLC, 6360 Broad St, #5226, Pittsburgh, PA, 15206, USA.</t>
  </si>
  <si>
    <t>CHANGELOG</t>
  </si>
  <si>
    <t>v1.0.0 - April 7, 2020</t>
  </si>
  <si>
    <t>Questions, ask hello@foresight.is anytime.</t>
  </si>
  <si>
    <t>Creating Changelog in the first version of the Exit Waterfall Tool distributed as a stand alone model.</t>
  </si>
  <si>
    <t>v1.0.1 - April 9, 2020</t>
  </si>
  <si>
    <t>Edited row 44 - dividends selection for the data validation to draw from the correct set of cells across the entire row</t>
  </si>
  <si>
    <t>Edited proceeds per share class to included dividends (not included in the default B, A, and Seed rounds)</t>
  </si>
  <si>
    <t>Edited dividends calculation for each round, to correct for the noncumulative option</t>
  </si>
  <si>
    <t>by Foresight</t>
  </si>
  <si>
    <t>Copyright 2020 Unstructured Ventures, LLC</t>
  </si>
  <si>
    <t>LICENSE</t>
  </si>
  <si>
    <t>SUPPORT</t>
  </si>
  <si>
    <t>Support independent entrepreneurs.</t>
  </si>
  <si>
    <t>Use of this model signifies acceptance of license</t>
  </si>
  <si>
    <t>GOAL</t>
  </si>
  <si>
    <t>UPDATES</t>
  </si>
  <si>
    <t>Goal of this model is to create an easy way for anyone to model a startup business. The model uses external market data where applicable and estimates by Taylor when necessary. You should adjust all metrics and inputs to fit your business.</t>
  </si>
  <si>
    <t>If you purchase this through https://foresight.is, updates are distributed automatically through my transaction provider (as long as you do not unsubscribe.) If you purchase through any other website, updates to the model require registration with Foresight; email Taylor at hello@foresight.is with your payment receipt to register.</t>
  </si>
  <si>
    <t>HOW TO USE</t>
  </si>
  <si>
    <t>DOCUMENTATION</t>
  </si>
  <si>
    <t>1) Any number in blue with grey shaded background is an input (i.e. an assumption or data point that can be changed), anything in black is the result of a formula. Change blue at will, change anything in black with caution.</t>
  </si>
  <si>
    <t>2) Notes on what's changed in versions of the template are on the "Changelog" sheet.</t>
  </si>
  <si>
    <t>3) As with all templates, feel free to create your own model from scratch, using this as a guide. The intent is for this model to be easy to plug and play and answer the major business questions, but I would expect you to need to make changes or build custom analyses for your specific business.</t>
  </si>
  <si>
    <t>SKU</t>
  </si>
  <si>
    <t>tool</t>
  </si>
  <si>
    <t>foresight.is</t>
  </si>
  <si>
    <t>hello</t>
  </si>
  <si>
    <t>exit</t>
  </si>
  <si>
    <t>waterfall</t>
  </si>
  <si>
    <t>% of Options Exercised</t>
  </si>
  <si>
    <t>v1.0.2 - April 24, 2020</t>
  </si>
  <si>
    <t>Added new option to change the fully-diluted shares used for each exit valuation level; namely, this is for modeling any options or warrants that would not be exercised at that effective share price. At the moment it's just a manual input, requiring the user to build their own logic for how many of the options or warrants would not be exercised, but it opens up for that possibility, and could be extended in future if people find this valuable.</t>
  </si>
  <si>
    <t>cap-table</t>
  </si>
  <si>
    <t>Optional: Options Strike Price</t>
  </si>
  <si>
    <t>Calculation to allow for options or warrants to not be executed based on price per share for each exit valuation. There is prebuilt logic here, but you may have to adjust for your particular situation</t>
  </si>
  <si>
    <t># of Options Not Exercised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</si>
</sst>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quot;[&quot;0&quot;]&quot;"/>
    <numFmt numFmtId="165" formatCode="_(* #,##0_);_(* \(#,##0\);_(* &quot;-&quot;??_);_(@_)"/>
    <numFmt numFmtId="166" formatCode="_(* #,##0.0000_);_(* \(#,##0.0000\);_(* &quot;-&quot;??_);_(@_)"/>
    <numFmt numFmtId="167" formatCode="_(* #,##0.0_);_(* \(#,##0.0\);_(* &quot;-&quot;??_);_(@_)"/>
    <numFmt numFmtId="168" formatCode="_(* #,##0.00000_);_(* \(#,##0.00000\);_(* &quot;-&quot;??_);_(@_)"/>
    <numFmt numFmtId="169" formatCode="_(* #,##0.000_);_(* \(#,##0.000\);_(* &quot;-&quot;??_);_(@_)"/>
    <numFmt numFmtId="170" formatCode="_-* #,##0.00_-;\-* #,##0.00_-;_-* &quot;-&quot;??_-;_-@_-"/>
    <numFmt numFmtId="171" formatCode="_-* #,##0_-;\-* #,##0_-;_-* &quot;-&quot;??_-;_-@_-"/>
  </numFmts>
  <fonts count="12">
    <font>
      <sz val="12"/>
      <color theme="1"/>
      <name val="Calibri"/>
      <family val="2"/>
      <scheme val="minor"/>
    </font>
    <font>
      <sz val="12"/>
      <color theme="1"/>
      <name val="Calibri"/>
      <family val="2"/>
      <scheme val="minor"/>
    </font>
    <font>
      <b/>
      <sz val="14"/>
      <color theme="1"/>
      <name val="Open Sans Regular"/>
    </font>
    <font>
      <sz val="14"/>
      <color theme="1"/>
      <name val="Open Sans Regular"/>
    </font>
    <font>
      <i/>
      <sz val="14"/>
      <color theme="1"/>
      <name val="Open Sans Regular"/>
    </font>
    <font>
      <sz val="14"/>
      <color rgb="FF0000FF"/>
      <name val="Open Sans Regular"/>
    </font>
    <font>
      <sz val="14"/>
      <name val="Open Sans Regular"/>
    </font>
    <font>
      <b/>
      <i/>
      <sz val="14"/>
      <color theme="1"/>
      <name val="Open Sans Regular"/>
    </font>
    <font>
      <sz val="11"/>
      <name val="Arial"/>
      <family val="1"/>
    </font>
    <font>
      <sz val="12"/>
      <color theme="1"/>
      <name val="Arial Narrow"/>
      <family val="2"/>
    </font>
    <font>
      <sz val="14"/>
      <color rgb="FF000000"/>
      <name val="Open Sans Regular"/>
    </font>
    <font>
      <b/>
      <u/>
      <sz val="14"/>
      <color theme="1"/>
      <name val="Open Sans Regular"/>
    </font>
  </fonts>
  <fills count="4">
    <fill>
      <patternFill patternType="none"/>
    </fill>
    <fill>
      <patternFill patternType="gray125"/>
    </fill>
    <fill>
      <patternFill patternType="solid">
        <fgColor theme="0" tint="-4.9989318521683403E-2"/>
        <bgColor indexed="64"/>
      </patternFill>
    </fill>
    <fill>
      <patternFill patternType="solid">
        <fgColor theme="8" tint="0.79998168889431442"/>
        <bgColor indexed="64"/>
      </patternFill>
    </fill>
  </fills>
  <borders count="3">
    <border>
      <left/>
      <right/>
      <top/>
      <bottom/>
      <diagonal/>
    </border>
    <border>
      <left/>
      <right/>
      <top/>
      <bottom style="thin">
        <color auto="1"/>
      </bottom>
      <diagonal/>
    </border>
    <border>
      <left/>
      <right/>
      <top style="thin">
        <color auto="1"/>
      </top>
      <bottom/>
      <diagonal/>
    </border>
  </borders>
  <cellStyleXfs count="12">
    <xf numFmtId="0" fontId="0"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43" fontId="8" fillId="0" borderId="0" applyFont="0" applyFill="0" applyBorder="0" applyAlignment="0" applyProtection="0"/>
    <xf numFmtId="0" fontId="9" fillId="0" borderId="0"/>
    <xf numFmtId="170" fontId="9" fillId="0" borderId="0" applyFont="0" applyFill="0" applyBorder="0" applyAlignment="0" applyProtection="0"/>
    <xf numFmtId="0" fontId="1" fillId="0" borderId="0"/>
    <xf numFmtId="0" fontId="1" fillId="0" borderId="0"/>
    <xf numFmtId="0" fontId="1" fillId="0" borderId="0"/>
    <xf numFmtId="43" fontId="8" fillId="0" borderId="0" applyFont="0" applyFill="0" applyBorder="0" applyAlignment="0" applyProtection="0"/>
    <xf numFmtId="43" fontId="1" fillId="0" borderId="0" applyFont="0" applyFill="0" applyBorder="0" applyAlignment="0" applyProtection="0"/>
  </cellStyleXfs>
  <cellXfs count="102">
    <xf numFmtId="0" fontId="0" fillId="0" borderId="0" xfId="0"/>
    <xf numFmtId="43" fontId="2" fillId="0" borderId="0" xfId="1" applyFont="1"/>
    <xf numFmtId="43" fontId="3" fillId="0" borderId="0" xfId="1" applyFont="1" applyAlignment="1">
      <alignment horizontal="center"/>
    </xf>
    <xf numFmtId="164" fontId="3" fillId="0" borderId="0" xfId="1" applyNumberFormat="1" applyFont="1" applyFill="1" applyAlignment="1">
      <alignment horizontal="center"/>
    </xf>
    <xf numFmtId="0" fontId="3" fillId="0" borderId="0" xfId="1" applyNumberFormat="1" applyFont="1" applyAlignment="1">
      <alignment horizontal="left"/>
    </xf>
    <xf numFmtId="43" fontId="3" fillId="0" borderId="0" xfId="1" applyFont="1"/>
    <xf numFmtId="43" fontId="5" fillId="2" borderId="0" xfId="1" applyFont="1" applyFill="1" applyAlignment="1">
      <alignment horizontal="center"/>
    </xf>
    <xf numFmtId="165" fontId="5" fillId="2" borderId="0" xfId="1" applyNumberFormat="1" applyFont="1" applyFill="1"/>
    <xf numFmtId="14" fontId="5" fillId="2" borderId="0" xfId="1" applyNumberFormat="1" applyFont="1" applyFill="1" applyAlignment="1">
      <alignment horizontal="right"/>
    </xf>
    <xf numFmtId="9" fontId="5" fillId="2" borderId="0" xfId="2" applyFont="1" applyFill="1"/>
    <xf numFmtId="165" fontId="5" fillId="2" borderId="0" xfId="1" applyNumberFormat="1" applyFont="1" applyFill="1" applyAlignment="1">
      <alignment horizontal="right"/>
    </xf>
    <xf numFmtId="0" fontId="3" fillId="0" borderId="0" xfId="1" applyNumberFormat="1" applyFont="1"/>
    <xf numFmtId="43" fontId="4" fillId="0" borderId="0" xfId="1" applyFont="1"/>
    <xf numFmtId="165" fontId="3" fillId="0" borderId="0" xfId="1" applyNumberFormat="1" applyFont="1" applyAlignment="1">
      <alignment horizontal="center"/>
    </xf>
    <xf numFmtId="165" fontId="3" fillId="0" borderId="2" xfId="1" applyNumberFormat="1" applyFont="1" applyBorder="1" applyAlignment="1">
      <alignment horizontal="center"/>
    </xf>
    <xf numFmtId="9" fontId="3" fillId="0" borderId="0" xfId="2" applyFont="1" applyBorder="1" applyAlignment="1">
      <alignment horizontal="right"/>
    </xf>
    <xf numFmtId="165" fontId="6" fillId="0" borderId="0" xfId="1" applyNumberFormat="1" applyFont="1" applyFill="1" applyAlignment="1">
      <alignment horizontal="center"/>
    </xf>
    <xf numFmtId="166" fontId="5" fillId="2" borderId="0" xfId="1" applyNumberFormat="1" applyFont="1" applyFill="1"/>
    <xf numFmtId="165" fontId="6" fillId="0" borderId="0" xfId="1" applyNumberFormat="1" applyFont="1" applyFill="1" applyAlignment="1">
      <alignment horizontal="right"/>
    </xf>
    <xf numFmtId="43" fontId="3" fillId="0" borderId="0" xfId="1" applyFont="1" applyAlignment="1">
      <alignment horizontal="right"/>
    </xf>
    <xf numFmtId="167" fontId="5" fillId="2" borderId="0" xfId="1" applyNumberFormat="1" applyFont="1" applyFill="1"/>
    <xf numFmtId="168" fontId="3" fillId="0" borderId="0" xfId="1" applyNumberFormat="1" applyFont="1"/>
    <xf numFmtId="43" fontId="4" fillId="0" borderId="0" xfId="1" applyFont="1" applyAlignment="1">
      <alignment horizontal="center"/>
    </xf>
    <xf numFmtId="167" fontId="5" fillId="2" borderId="0" xfId="1" applyNumberFormat="1" applyFont="1" applyFill="1" applyAlignment="1">
      <alignment horizontal="left"/>
    </xf>
    <xf numFmtId="167" fontId="6" fillId="0" borderId="0" xfId="1" applyNumberFormat="1" applyFont="1" applyFill="1"/>
    <xf numFmtId="43" fontId="3" fillId="0" borderId="0" xfId="1" applyFont="1" applyAlignment="1">
      <alignment horizontal="left"/>
    </xf>
    <xf numFmtId="43" fontId="3" fillId="0" borderId="0" xfId="1" applyFont="1" applyBorder="1" applyAlignment="1">
      <alignment horizontal="center"/>
    </xf>
    <xf numFmtId="43" fontId="3" fillId="0" borderId="0" xfId="1" applyFont="1" applyFill="1" applyAlignment="1">
      <alignment horizontal="left"/>
    </xf>
    <xf numFmtId="43" fontId="7" fillId="0" borderId="0" xfId="1" applyFont="1"/>
    <xf numFmtId="43" fontId="3" fillId="0" borderId="0" xfId="1" applyFont="1" applyFill="1" applyAlignment="1">
      <alignment horizontal="center"/>
    </xf>
    <xf numFmtId="43" fontId="3" fillId="0" borderId="0" xfId="1" applyFont="1" applyFill="1"/>
    <xf numFmtId="0" fontId="3" fillId="0" borderId="0" xfId="1" applyNumberFormat="1" applyFont="1" applyFill="1" applyAlignment="1">
      <alignment horizontal="left"/>
    </xf>
    <xf numFmtId="165" fontId="3" fillId="0" borderId="0" xfId="1" applyNumberFormat="1" applyFont="1" applyFill="1" applyAlignment="1">
      <alignment horizontal="right"/>
    </xf>
    <xf numFmtId="43" fontId="4" fillId="0" borderId="0" xfId="1" applyFont="1" applyFill="1"/>
    <xf numFmtId="165" fontId="3" fillId="0" borderId="0" xfId="1" applyNumberFormat="1" applyFont="1" applyFill="1"/>
    <xf numFmtId="168" fontId="3" fillId="0" borderId="0" xfId="1" applyNumberFormat="1" applyFont="1" applyFill="1"/>
    <xf numFmtId="43" fontId="4" fillId="0" borderId="0" xfId="1" applyFont="1" applyFill="1" applyAlignment="1">
      <alignment horizontal="center"/>
    </xf>
    <xf numFmtId="0" fontId="4" fillId="0" borderId="0" xfId="1" applyNumberFormat="1" applyFont="1" applyFill="1"/>
    <xf numFmtId="9" fontId="3" fillId="0" borderId="0" xfId="2" applyFont="1" applyFill="1" applyAlignment="1">
      <alignment horizontal="right"/>
    </xf>
    <xf numFmtId="9" fontId="3" fillId="0" borderId="2" xfId="2" applyFont="1" applyBorder="1"/>
    <xf numFmtId="165" fontId="3" fillId="0" borderId="0" xfId="1" applyNumberFormat="1" applyFont="1" applyFill="1" applyBorder="1" applyAlignment="1">
      <alignment horizontal="center"/>
    </xf>
    <xf numFmtId="165" fontId="5" fillId="2" borderId="1" xfId="1" applyNumberFormat="1" applyFont="1" applyFill="1" applyBorder="1" applyAlignment="1">
      <alignment horizontal="right"/>
    </xf>
    <xf numFmtId="43" fontId="3" fillId="0" borderId="1" xfId="1" applyFont="1" applyBorder="1" applyAlignment="1">
      <alignment horizontal="right"/>
    </xf>
    <xf numFmtId="14" fontId="6" fillId="0" borderId="0" xfId="1" applyNumberFormat="1" applyFont="1" applyFill="1" applyAlignment="1">
      <alignment horizontal="right"/>
    </xf>
    <xf numFmtId="0" fontId="2" fillId="0" borderId="0" xfId="5" applyFont="1" applyAlignment="1">
      <alignment wrapText="1"/>
    </xf>
    <xf numFmtId="0" fontId="3" fillId="0" borderId="0" xfId="5" applyFont="1"/>
    <xf numFmtId="0" fontId="4" fillId="0" borderId="0" xfId="5" applyFont="1" applyAlignment="1">
      <alignment wrapText="1"/>
    </xf>
    <xf numFmtId="0" fontId="3" fillId="0" borderId="0" xfId="5" applyFont="1" applyAlignment="1">
      <alignment wrapText="1"/>
    </xf>
    <xf numFmtId="171" fontId="3" fillId="0" borderId="0" xfId="6" applyNumberFormat="1" applyFont="1"/>
    <xf numFmtId="0" fontId="2" fillId="0" borderId="0" xfId="6" applyNumberFormat="1" applyFont="1"/>
    <xf numFmtId="0" fontId="3" fillId="0" borderId="0" xfId="6" applyNumberFormat="1" applyFont="1" applyAlignment="1">
      <alignment wrapText="1"/>
    </xf>
    <xf numFmtId="0" fontId="3" fillId="0" borderId="0" xfId="6" applyNumberFormat="1" applyFont="1"/>
    <xf numFmtId="0" fontId="3" fillId="0" borderId="0" xfId="9" applyFont="1"/>
    <xf numFmtId="0" fontId="3" fillId="0" borderId="0" xfId="9" applyFont="1" applyAlignment="1">
      <alignment horizontal="center"/>
    </xf>
    <xf numFmtId="165" fontId="3" fillId="0" borderId="0" xfId="10" applyNumberFormat="1" applyFont="1" applyAlignment="1">
      <alignment horizontal="center"/>
    </xf>
    <xf numFmtId="0" fontId="3" fillId="0" borderId="0" xfId="9" applyFont="1" applyAlignment="1">
      <alignment horizontal="left"/>
    </xf>
    <xf numFmtId="43" fontId="5" fillId="2" borderId="0" xfId="1" applyFont="1" applyFill="1" applyAlignment="1">
      <alignment horizontal="right"/>
    </xf>
    <xf numFmtId="43" fontId="5" fillId="0" borderId="0" xfId="1" applyFont="1" applyFill="1" applyAlignment="1">
      <alignment horizontal="right"/>
    </xf>
    <xf numFmtId="43" fontId="3" fillId="0" borderId="0" xfId="1" applyFont="1" applyFill="1" applyAlignment="1">
      <alignment horizontal="right"/>
    </xf>
    <xf numFmtId="165" fontId="3" fillId="0" borderId="0" xfId="9" applyNumberFormat="1" applyFont="1"/>
    <xf numFmtId="165" fontId="3" fillId="0" borderId="0" xfId="9" applyNumberFormat="1" applyFont="1" applyAlignment="1">
      <alignment horizontal="left"/>
    </xf>
    <xf numFmtId="165" fontId="3" fillId="0" borderId="0" xfId="9" applyNumberFormat="1" applyFont="1" applyAlignment="1">
      <alignment horizontal="right"/>
    </xf>
    <xf numFmtId="43" fontId="3" fillId="0" borderId="0" xfId="1" applyFont="1" applyBorder="1"/>
    <xf numFmtId="9" fontId="3" fillId="0" borderId="0" xfId="2" applyFont="1" applyBorder="1"/>
    <xf numFmtId="43" fontId="5" fillId="2" borderId="0" xfId="1" applyFont="1" applyFill="1" applyBorder="1" applyAlignment="1">
      <alignment horizontal="right"/>
    </xf>
    <xf numFmtId="0" fontId="4" fillId="0" borderId="0" xfId="9" applyFont="1"/>
    <xf numFmtId="9" fontId="3" fillId="0" borderId="0" xfId="2" applyFont="1"/>
    <xf numFmtId="165" fontId="3" fillId="0" borderId="0" xfId="10" applyNumberFormat="1" applyFont="1" applyAlignment="1">
      <alignment horizontal="left"/>
    </xf>
    <xf numFmtId="168" fontId="3" fillId="0" borderId="0" xfId="9" applyNumberFormat="1" applyFont="1"/>
    <xf numFmtId="43" fontId="3" fillId="0" borderId="0" xfId="9" applyNumberFormat="1" applyFont="1" applyAlignment="1">
      <alignment horizontal="center"/>
    </xf>
    <xf numFmtId="166" fontId="3" fillId="0" borderId="0" xfId="9" applyNumberFormat="1" applyFont="1"/>
    <xf numFmtId="43" fontId="3" fillId="0" borderId="0" xfId="9" applyNumberFormat="1" applyFont="1"/>
    <xf numFmtId="43" fontId="3" fillId="0" borderId="0" xfId="9" applyNumberFormat="1" applyFont="1" applyAlignment="1">
      <alignment horizontal="left"/>
    </xf>
    <xf numFmtId="165" fontId="3" fillId="0" borderId="2" xfId="9" applyNumberFormat="1" applyFont="1" applyBorder="1"/>
    <xf numFmtId="165" fontId="4" fillId="0" borderId="0" xfId="9" applyNumberFormat="1" applyFont="1"/>
    <xf numFmtId="169" fontId="3" fillId="0" borderId="0" xfId="1" applyNumberFormat="1" applyFont="1"/>
    <xf numFmtId="43" fontId="4" fillId="0" borderId="0" xfId="10" applyFont="1"/>
    <xf numFmtId="43" fontId="3" fillId="0" borderId="0" xfId="10" applyFont="1"/>
    <xf numFmtId="43" fontId="3" fillId="0" borderId="0" xfId="10" applyFont="1" applyFill="1"/>
    <xf numFmtId="0" fontId="7" fillId="0" borderId="0" xfId="9" applyFont="1"/>
    <xf numFmtId="43" fontId="6" fillId="0" borderId="0" xfId="1" applyFont="1" applyFill="1" applyAlignment="1">
      <alignment horizontal="left"/>
    </xf>
    <xf numFmtId="164" fontId="3" fillId="0" borderId="0" xfId="9" applyNumberFormat="1" applyFont="1"/>
    <xf numFmtId="165" fontId="3" fillId="0" borderId="0" xfId="1" applyNumberFormat="1" applyFont="1" applyBorder="1" applyAlignment="1">
      <alignment horizontal="center"/>
    </xf>
    <xf numFmtId="165" fontId="3" fillId="0" borderId="0" xfId="9" applyNumberFormat="1" applyFont="1" applyBorder="1"/>
    <xf numFmtId="43" fontId="3" fillId="0" borderId="0" xfId="1" applyFont="1" applyBorder="1" applyAlignment="1">
      <alignment horizontal="left"/>
    </xf>
    <xf numFmtId="43" fontId="5" fillId="2" borderId="0" xfId="11" applyFont="1" applyFill="1"/>
    <xf numFmtId="165" fontId="5" fillId="2" borderId="0" xfId="11" applyNumberFormat="1" applyFont="1" applyFill="1"/>
    <xf numFmtId="0" fontId="2" fillId="3" borderId="0" xfId="7" applyFont="1" applyFill="1"/>
    <xf numFmtId="0" fontId="3" fillId="3" borderId="0" xfId="8" applyFont="1" applyFill="1"/>
    <xf numFmtId="0" fontId="3" fillId="3" borderId="0" xfId="7" applyFont="1" applyFill="1"/>
    <xf numFmtId="0" fontId="3" fillId="3" borderId="0" xfId="7" applyFont="1" applyFill="1" applyAlignment="1">
      <alignment wrapText="1"/>
    </xf>
    <xf numFmtId="0" fontId="3" fillId="3" borderId="0" xfId="5" applyFont="1" applyFill="1" applyAlignment="1" applyProtection="1">
      <alignment wrapText="1"/>
      <protection hidden="1"/>
    </xf>
    <xf numFmtId="0" fontId="10" fillId="3" borderId="0" xfId="5" applyFont="1" applyFill="1" applyAlignment="1" applyProtection="1">
      <alignment wrapText="1"/>
      <protection hidden="1"/>
    </xf>
    <xf numFmtId="0" fontId="11" fillId="3" borderId="0" xfId="8" applyFont="1" applyFill="1"/>
    <xf numFmtId="0" fontId="11" fillId="3" borderId="0" xfId="8" applyFont="1" applyFill="1" applyAlignment="1">
      <alignment vertical="top" wrapText="1"/>
    </xf>
    <xf numFmtId="0" fontId="3" fillId="3" borderId="0" xfId="7" applyFont="1" applyFill="1" applyAlignment="1" applyProtection="1">
      <alignment wrapText="1"/>
      <protection hidden="1"/>
    </xf>
    <xf numFmtId="0" fontId="3" fillId="3" borderId="0" xfId="8" applyFont="1" applyFill="1" applyAlignment="1">
      <alignment vertical="top" wrapText="1"/>
    </xf>
    <xf numFmtId="0" fontId="11" fillId="3" borderId="0" xfId="8" applyFont="1" applyFill="1" applyAlignment="1">
      <alignment wrapText="1"/>
    </xf>
    <xf numFmtId="0" fontId="2" fillId="3" borderId="0" xfId="8" applyFont="1" applyFill="1" applyAlignment="1">
      <alignment wrapText="1"/>
    </xf>
    <xf numFmtId="0" fontId="3" fillId="3" borderId="0" xfId="8" applyFont="1" applyFill="1" applyAlignment="1">
      <alignment wrapText="1"/>
    </xf>
    <xf numFmtId="0" fontId="3" fillId="3" borderId="0" xfId="8" applyFont="1" applyFill="1" applyAlignment="1">
      <alignment horizontal="left" vertical="top" wrapText="1"/>
    </xf>
    <xf numFmtId="0" fontId="2" fillId="3" borderId="0" xfId="8" applyFont="1" applyFill="1"/>
  </cellXfs>
  <cellStyles count="12">
    <cellStyle name="Comma" xfId="11" builtinId="3"/>
    <cellStyle name="Comma 10 2 3" xfId="1" xr:uid="{0EFED501-CC13-C341-AE3E-E3E92CFCAF6D}"/>
    <cellStyle name="Comma 2" xfId="4" xr:uid="{30424F1B-ABEE-0A46-B457-A85571708E44}"/>
    <cellStyle name="Comma 2 2" xfId="6" xr:uid="{4FA122F3-AF6F-3F42-87F3-8A035629E1DC}"/>
    <cellStyle name="Comma 2 3" xfId="10" xr:uid="{6D15DC4D-9B1E-654F-BCF1-D951EA9A7B64}"/>
    <cellStyle name="Normal" xfId="0" builtinId="0"/>
    <cellStyle name="Normal 2" xfId="3" xr:uid="{2DC41DED-75A1-5C43-9283-82506FF9A0F1}"/>
    <cellStyle name="Normal 2 2" xfId="5" xr:uid="{40B5D5E7-8A21-424A-90DF-E3646F386BE7}"/>
    <cellStyle name="Normal 2 3" xfId="9" xr:uid="{F35C7E17-A790-884C-A4B8-B2BBA83E1571}"/>
    <cellStyle name="Normal 8 2" xfId="7" xr:uid="{9D050445-8096-1C44-BF94-52E21EF35771}"/>
    <cellStyle name="Normal 8 2 3" xfId="8" xr:uid="{7927FD7F-B303-2845-9242-52E648488FAB}"/>
    <cellStyle name="Percent 16 3" xfId="2" xr:uid="{EF94C47E-4314-6543-941B-7779A02D58CE}"/>
  </cellStyles>
  <dxfs count="1">
    <dxf>
      <font>
        <color rgb="FF9C0006"/>
      </font>
      <fill>
        <patternFill>
          <bgColor rgb="FFFFC7CE"/>
        </patternFill>
      </fill>
    </dxf>
  </dxfs>
  <tableStyles count="0" defaultTableStyle="TableStyleMedium2" defaultPivotStyle="PivotStyleLight16"/>
  <colors>
    <mruColors>
      <color rgb="FF63BE7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 of Proceeds to each Shareholder</a:t>
            </a:r>
            <a:r>
              <a:rPr lang="en-US" baseline="0"/>
              <a:t> Class</a:t>
            </a:r>
            <a:endParaRPr lang="en-US"/>
          </a:p>
        </c:rich>
      </c:tx>
      <c:overlay val="0"/>
    </c:title>
    <c:autoTitleDeleted val="0"/>
    <c:plotArea>
      <c:layout/>
      <c:areaChart>
        <c:grouping val="percentStacked"/>
        <c:varyColors val="0"/>
        <c:ser>
          <c:idx val="0"/>
          <c:order val="0"/>
          <c:tx>
            <c:strRef>
              <c:f>'Exit Waterfall'!$B$205</c:f>
              <c:strCache>
                <c:ptCount val="1"/>
                <c:pt idx="0">
                  <c:v> Preferred, C </c:v>
                </c:pt>
              </c:strCache>
            </c:strRef>
          </c:tx>
          <c:cat>
            <c:numRef>
              <c:f>'Exit Waterfall'!$E$91:$K$91</c:f>
              <c:numCache>
                <c:formatCode>_(* #,##0_);_(* \(#,##0\);_(* "-"??_);_(@_)</c:formatCode>
                <c:ptCount val="7"/>
                <c:pt idx="0">
                  <c:v>6250</c:v>
                </c:pt>
                <c:pt idx="1">
                  <c:v>12500</c:v>
                </c:pt>
                <c:pt idx="2">
                  <c:v>25000</c:v>
                </c:pt>
                <c:pt idx="3">
                  <c:v>50000</c:v>
                </c:pt>
                <c:pt idx="4">
                  <c:v>75000</c:v>
                </c:pt>
                <c:pt idx="5">
                  <c:v>112500</c:v>
                </c:pt>
                <c:pt idx="6">
                  <c:v>168750</c:v>
                </c:pt>
              </c:numCache>
            </c:numRef>
          </c:cat>
          <c:val>
            <c:numRef>
              <c:f>'Exit Waterfall'!$E$205:$K$205</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C7BF-2B4D-9A71-B606A4F03B31}"/>
            </c:ext>
          </c:extLst>
        </c:ser>
        <c:ser>
          <c:idx val="1"/>
          <c:order val="1"/>
          <c:tx>
            <c:strRef>
              <c:f>'Exit Waterfall'!$B$206</c:f>
              <c:strCache>
                <c:ptCount val="1"/>
                <c:pt idx="0">
                  <c:v> Preferred, B </c:v>
                </c:pt>
              </c:strCache>
            </c:strRef>
          </c:tx>
          <c:spPr>
            <a:ln w="25400">
              <a:noFill/>
            </a:ln>
          </c:spPr>
          <c:cat>
            <c:numRef>
              <c:f>'Exit Waterfall'!$E$91:$K$91</c:f>
              <c:numCache>
                <c:formatCode>_(* #,##0_);_(* \(#,##0\);_(* "-"??_);_(@_)</c:formatCode>
                <c:ptCount val="7"/>
                <c:pt idx="0">
                  <c:v>6250</c:v>
                </c:pt>
                <c:pt idx="1">
                  <c:v>12500</c:v>
                </c:pt>
                <c:pt idx="2">
                  <c:v>25000</c:v>
                </c:pt>
                <c:pt idx="3">
                  <c:v>50000</c:v>
                </c:pt>
                <c:pt idx="4">
                  <c:v>75000</c:v>
                </c:pt>
                <c:pt idx="5">
                  <c:v>112500</c:v>
                </c:pt>
                <c:pt idx="6">
                  <c:v>168750</c:v>
                </c:pt>
              </c:numCache>
            </c:numRef>
          </c:cat>
          <c:val>
            <c:numRef>
              <c:f>'Exit Waterfall'!$E$206:$K$206</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C7BF-2B4D-9A71-B606A4F03B31}"/>
            </c:ext>
          </c:extLst>
        </c:ser>
        <c:ser>
          <c:idx val="2"/>
          <c:order val="2"/>
          <c:tx>
            <c:strRef>
              <c:f>'Exit Waterfall'!$B$207</c:f>
              <c:strCache>
                <c:ptCount val="1"/>
                <c:pt idx="0">
                  <c:v> Preferred, A </c:v>
                </c:pt>
              </c:strCache>
            </c:strRef>
          </c:tx>
          <c:spPr>
            <a:ln w="25400">
              <a:noFill/>
            </a:ln>
          </c:spPr>
          <c:cat>
            <c:numRef>
              <c:f>'Exit Waterfall'!$E$91:$K$91</c:f>
              <c:numCache>
                <c:formatCode>_(* #,##0_);_(* \(#,##0\);_(* "-"??_);_(@_)</c:formatCode>
                <c:ptCount val="7"/>
                <c:pt idx="0">
                  <c:v>6250</c:v>
                </c:pt>
                <c:pt idx="1">
                  <c:v>12500</c:v>
                </c:pt>
                <c:pt idx="2">
                  <c:v>25000</c:v>
                </c:pt>
                <c:pt idx="3">
                  <c:v>50000</c:v>
                </c:pt>
                <c:pt idx="4">
                  <c:v>75000</c:v>
                </c:pt>
                <c:pt idx="5">
                  <c:v>112500</c:v>
                </c:pt>
                <c:pt idx="6">
                  <c:v>168750</c:v>
                </c:pt>
              </c:numCache>
            </c:numRef>
          </c:cat>
          <c:val>
            <c:numRef>
              <c:f>'Exit Waterfall'!$E$207:$K$207</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C7BF-2B4D-9A71-B606A4F03B31}"/>
            </c:ext>
          </c:extLst>
        </c:ser>
        <c:ser>
          <c:idx val="3"/>
          <c:order val="3"/>
          <c:tx>
            <c:strRef>
              <c:f>'Exit Waterfall'!$B$208</c:f>
              <c:strCache>
                <c:ptCount val="1"/>
                <c:pt idx="0">
                  <c:v> Preferred, Seed </c:v>
                </c:pt>
              </c:strCache>
            </c:strRef>
          </c:tx>
          <c:spPr>
            <a:ln w="25400">
              <a:noFill/>
            </a:ln>
          </c:spPr>
          <c:cat>
            <c:numRef>
              <c:f>'Exit Waterfall'!$E$91:$K$91</c:f>
              <c:numCache>
                <c:formatCode>_(* #,##0_);_(* \(#,##0\);_(* "-"??_);_(@_)</c:formatCode>
                <c:ptCount val="7"/>
                <c:pt idx="0">
                  <c:v>6250</c:v>
                </c:pt>
                <c:pt idx="1">
                  <c:v>12500</c:v>
                </c:pt>
                <c:pt idx="2">
                  <c:v>25000</c:v>
                </c:pt>
                <c:pt idx="3">
                  <c:v>50000</c:v>
                </c:pt>
                <c:pt idx="4">
                  <c:v>75000</c:v>
                </c:pt>
                <c:pt idx="5">
                  <c:v>112500</c:v>
                </c:pt>
                <c:pt idx="6">
                  <c:v>168750</c:v>
                </c:pt>
              </c:numCache>
            </c:numRef>
          </c:cat>
          <c:val>
            <c:numRef>
              <c:f>'Exit Waterfall'!$E$208:$K$208</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C7BF-2B4D-9A71-B606A4F03B31}"/>
            </c:ext>
          </c:extLst>
        </c:ser>
        <c:ser>
          <c:idx val="4"/>
          <c:order val="4"/>
          <c:tx>
            <c:strRef>
              <c:f>'Exit Waterfall'!$B$209</c:f>
              <c:strCache>
                <c:ptCount val="1"/>
                <c:pt idx="0">
                  <c:v> Common (including Options) </c:v>
                </c:pt>
              </c:strCache>
            </c:strRef>
          </c:tx>
          <c:spPr>
            <a:ln w="25400">
              <a:noFill/>
            </a:ln>
          </c:spPr>
          <c:cat>
            <c:numRef>
              <c:f>'Exit Waterfall'!$E$91:$K$91</c:f>
              <c:numCache>
                <c:formatCode>_(* #,##0_);_(* \(#,##0\);_(* "-"??_);_(@_)</c:formatCode>
                <c:ptCount val="7"/>
                <c:pt idx="0">
                  <c:v>6250</c:v>
                </c:pt>
                <c:pt idx="1">
                  <c:v>12500</c:v>
                </c:pt>
                <c:pt idx="2">
                  <c:v>25000</c:v>
                </c:pt>
                <c:pt idx="3">
                  <c:v>50000</c:v>
                </c:pt>
                <c:pt idx="4">
                  <c:v>75000</c:v>
                </c:pt>
                <c:pt idx="5">
                  <c:v>112500</c:v>
                </c:pt>
                <c:pt idx="6">
                  <c:v>168750</c:v>
                </c:pt>
              </c:numCache>
            </c:numRef>
          </c:cat>
          <c:val>
            <c:numRef>
              <c:f>'Exit Waterfall'!$E$209:$K$209</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C7BF-2B4D-9A71-B606A4F03B31}"/>
            </c:ext>
          </c:extLst>
        </c:ser>
        <c:dLbls>
          <c:showLegendKey val="0"/>
          <c:showVal val="0"/>
          <c:showCatName val="0"/>
          <c:showSerName val="0"/>
          <c:showPercent val="0"/>
          <c:showBubbleSize val="0"/>
        </c:dLbls>
        <c:axId val="-2086365544"/>
        <c:axId val="-2088348760"/>
      </c:areaChart>
      <c:catAx>
        <c:axId val="-2086365544"/>
        <c:scaling>
          <c:orientation val="minMax"/>
        </c:scaling>
        <c:delete val="0"/>
        <c:axPos val="b"/>
        <c:numFmt formatCode="_(* #,##0_);_(* \(#,##0\);_(* &quot;-&quot;??_);_(@_)" sourceLinked="1"/>
        <c:majorTickMark val="none"/>
        <c:minorTickMark val="none"/>
        <c:tickLblPos val="nextTo"/>
        <c:crossAx val="-2088348760"/>
        <c:crosses val="autoZero"/>
        <c:auto val="1"/>
        <c:lblAlgn val="ctr"/>
        <c:lblOffset val="100"/>
        <c:noMultiLvlLbl val="0"/>
      </c:catAx>
      <c:valAx>
        <c:axId val="-2088348760"/>
        <c:scaling>
          <c:orientation val="minMax"/>
        </c:scaling>
        <c:delete val="0"/>
        <c:axPos val="l"/>
        <c:majorGridlines/>
        <c:numFmt formatCode="0%" sourceLinked="1"/>
        <c:majorTickMark val="none"/>
        <c:minorTickMark val="none"/>
        <c:tickLblPos val="nextTo"/>
        <c:crossAx val="-2086365544"/>
        <c:crosses val="autoZero"/>
        <c:crossBetween val="midCat"/>
      </c:valAx>
    </c:plotArea>
    <c:legend>
      <c:legendPos val="b"/>
      <c:overlay val="0"/>
    </c:legend>
    <c:plotVisOnly val="1"/>
    <c:dispBlanksAs val="zero"/>
    <c:showDLblsOverMax val="0"/>
  </c:chart>
  <c:spPr>
    <a:ln>
      <a:noFill/>
    </a:ln>
  </c:spPr>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Total</a:t>
            </a:r>
            <a:r>
              <a:rPr lang="en-US" baseline="0"/>
              <a:t> Proceeds Distributed to Shareholder Class</a:t>
            </a:r>
            <a:endParaRPr lang="en-US"/>
          </a:p>
        </c:rich>
      </c:tx>
      <c:overlay val="0"/>
    </c:title>
    <c:autoTitleDeleted val="0"/>
    <c:plotArea>
      <c:layout/>
      <c:areaChart>
        <c:grouping val="stacked"/>
        <c:varyColors val="0"/>
        <c:ser>
          <c:idx val="0"/>
          <c:order val="0"/>
          <c:tx>
            <c:strRef>
              <c:f>'Exit Waterfall'!$B$205</c:f>
              <c:strCache>
                <c:ptCount val="1"/>
                <c:pt idx="0">
                  <c:v> Preferred, C </c:v>
                </c:pt>
              </c:strCache>
            </c:strRef>
          </c:tx>
          <c:cat>
            <c:numRef>
              <c:f>'Exit Waterfall'!$E$91:$K$91</c:f>
              <c:numCache>
                <c:formatCode>_(* #,##0_);_(* \(#,##0\);_(* "-"??_);_(@_)</c:formatCode>
                <c:ptCount val="7"/>
                <c:pt idx="0">
                  <c:v>6250</c:v>
                </c:pt>
                <c:pt idx="1">
                  <c:v>12500</c:v>
                </c:pt>
                <c:pt idx="2">
                  <c:v>25000</c:v>
                </c:pt>
                <c:pt idx="3">
                  <c:v>50000</c:v>
                </c:pt>
                <c:pt idx="4">
                  <c:v>75000</c:v>
                </c:pt>
                <c:pt idx="5">
                  <c:v>112500</c:v>
                </c:pt>
                <c:pt idx="6">
                  <c:v>168750</c:v>
                </c:pt>
              </c:numCache>
            </c:numRef>
          </c:cat>
          <c:val>
            <c:numRef>
              <c:f>'Exit Waterfall'!$E$205:$K$205</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A07E-F446-9977-84FA84470A34}"/>
            </c:ext>
          </c:extLst>
        </c:ser>
        <c:ser>
          <c:idx val="1"/>
          <c:order val="1"/>
          <c:tx>
            <c:strRef>
              <c:f>'Exit Waterfall'!$B$206</c:f>
              <c:strCache>
                <c:ptCount val="1"/>
                <c:pt idx="0">
                  <c:v> Preferred, B </c:v>
                </c:pt>
              </c:strCache>
            </c:strRef>
          </c:tx>
          <c:spPr>
            <a:ln w="25400">
              <a:noFill/>
            </a:ln>
          </c:spPr>
          <c:cat>
            <c:numRef>
              <c:f>'Exit Waterfall'!$E$91:$K$91</c:f>
              <c:numCache>
                <c:formatCode>_(* #,##0_);_(* \(#,##0\);_(* "-"??_);_(@_)</c:formatCode>
                <c:ptCount val="7"/>
                <c:pt idx="0">
                  <c:v>6250</c:v>
                </c:pt>
                <c:pt idx="1">
                  <c:v>12500</c:v>
                </c:pt>
                <c:pt idx="2">
                  <c:v>25000</c:v>
                </c:pt>
                <c:pt idx="3">
                  <c:v>50000</c:v>
                </c:pt>
                <c:pt idx="4">
                  <c:v>75000</c:v>
                </c:pt>
                <c:pt idx="5">
                  <c:v>112500</c:v>
                </c:pt>
                <c:pt idx="6">
                  <c:v>168750</c:v>
                </c:pt>
              </c:numCache>
            </c:numRef>
          </c:cat>
          <c:val>
            <c:numRef>
              <c:f>'Exit Waterfall'!$E$206:$K$206</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A07E-F446-9977-84FA84470A34}"/>
            </c:ext>
          </c:extLst>
        </c:ser>
        <c:ser>
          <c:idx val="2"/>
          <c:order val="2"/>
          <c:tx>
            <c:strRef>
              <c:f>'Exit Waterfall'!$B$207</c:f>
              <c:strCache>
                <c:ptCount val="1"/>
                <c:pt idx="0">
                  <c:v> Preferred, A </c:v>
                </c:pt>
              </c:strCache>
            </c:strRef>
          </c:tx>
          <c:spPr>
            <a:ln w="25400">
              <a:noFill/>
            </a:ln>
          </c:spPr>
          <c:cat>
            <c:numRef>
              <c:f>'Exit Waterfall'!$E$91:$K$91</c:f>
              <c:numCache>
                <c:formatCode>_(* #,##0_);_(* \(#,##0\);_(* "-"??_);_(@_)</c:formatCode>
                <c:ptCount val="7"/>
                <c:pt idx="0">
                  <c:v>6250</c:v>
                </c:pt>
                <c:pt idx="1">
                  <c:v>12500</c:v>
                </c:pt>
                <c:pt idx="2">
                  <c:v>25000</c:v>
                </c:pt>
                <c:pt idx="3">
                  <c:v>50000</c:v>
                </c:pt>
                <c:pt idx="4">
                  <c:v>75000</c:v>
                </c:pt>
                <c:pt idx="5">
                  <c:v>112500</c:v>
                </c:pt>
                <c:pt idx="6">
                  <c:v>168750</c:v>
                </c:pt>
              </c:numCache>
            </c:numRef>
          </c:cat>
          <c:val>
            <c:numRef>
              <c:f>'Exit Waterfall'!$E$207:$K$207</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A07E-F446-9977-84FA84470A34}"/>
            </c:ext>
          </c:extLst>
        </c:ser>
        <c:ser>
          <c:idx val="3"/>
          <c:order val="3"/>
          <c:tx>
            <c:strRef>
              <c:f>'Exit Waterfall'!$B$208</c:f>
              <c:strCache>
                <c:ptCount val="1"/>
                <c:pt idx="0">
                  <c:v> Preferred, Seed </c:v>
                </c:pt>
              </c:strCache>
            </c:strRef>
          </c:tx>
          <c:spPr>
            <a:ln w="25400">
              <a:noFill/>
            </a:ln>
          </c:spPr>
          <c:cat>
            <c:numRef>
              <c:f>'Exit Waterfall'!$E$91:$K$91</c:f>
              <c:numCache>
                <c:formatCode>_(* #,##0_);_(* \(#,##0\);_(* "-"??_);_(@_)</c:formatCode>
                <c:ptCount val="7"/>
                <c:pt idx="0">
                  <c:v>6250</c:v>
                </c:pt>
                <c:pt idx="1">
                  <c:v>12500</c:v>
                </c:pt>
                <c:pt idx="2">
                  <c:v>25000</c:v>
                </c:pt>
                <c:pt idx="3">
                  <c:v>50000</c:v>
                </c:pt>
                <c:pt idx="4">
                  <c:v>75000</c:v>
                </c:pt>
                <c:pt idx="5">
                  <c:v>112500</c:v>
                </c:pt>
                <c:pt idx="6">
                  <c:v>168750</c:v>
                </c:pt>
              </c:numCache>
            </c:numRef>
          </c:cat>
          <c:val>
            <c:numRef>
              <c:f>'Exit Waterfall'!$E$208:$K$208</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A07E-F446-9977-84FA84470A34}"/>
            </c:ext>
          </c:extLst>
        </c:ser>
        <c:ser>
          <c:idx val="4"/>
          <c:order val="4"/>
          <c:tx>
            <c:strRef>
              <c:f>'Exit Waterfall'!$B$209</c:f>
              <c:strCache>
                <c:ptCount val="1"/>
                <c:pt idx="0">
                  <c:v> Common (including Options) </c:v>
                </c:pt>
              </c:strCache>
            </c:strRef>
          </c:tx>
          <c:spPr>
            <a:ln w="25400">
              <a:noFill/>
            </a:ln>
          </c:spPr>
          <c:cat>
            <c:numRef>
              <c:f>'Exit Waterfall'!$E$91:$K$91</c:f>
              <c:numCache>
                <c:formatCode>_(* #,##0_);_(* \(#,##0\);_(* "-"??_);_(@_)</c:formatCode>
                <c:ptCount val="7"/>
                <c:pt idx="0">
                  <c:v>6250</c:v>
                </c:pt>
                <c:pt idx="1">
                  <c:v>12500</c:v>
                </c:pt>
                <c:pt idx="2">
                  <c:v>25000</c:v>
                </c:pt>
                <c:pt idx="3">
                  <c:v>50000</c:v>
                </c:pt>
                <c:pt idx="4">
                  <c:v>75000</c:v>
                </c:pt>
                <c:pt idx="5">
                  <c:v>112500</c:v>
                </c:pt>
                <c:pt idx="6">
                  <c:v>168750</c:v>
                </c:pt>
              </c:numCache>
            </c:numRef>
          </c:cat>
          <c:val>
            <c:numRef>
              <c:f>'Exit Waterfall'!$E$209:$K$209</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A07E-F446-9977-84FA84470A34}"/>
            </c:ext>
          </c:extLst>
        </c:ser>
        <c:dLbls>
          <c:showLegendKey val="0"/>
          <c:showVal val="0"/>
          <c:showCatName val="0"/>
          <c:showSerName val="0"/>
          <c:showPercent val="0"/>
          <c:showBubbleSize val="0"/>
        </c:dLbls>
        <c:axId val="-2096235080"/>
        <c:axId val="-2094854280"/>
      </c:areaChart>
      <c:catAx>
        <c:axId val="-2096235080"/>
        <c:scaling>
          <c:orientation val="minMax"/>
        </c:scaling>
        <c:delete val="0"/>
        <c:axPos val="b"/>
        <c:numFmt formatCode="_(* #,##0_);_(* \(#,##0\);_(* &quot;-&quot;??_);_(@_)" sourceLinked="1"/>
        <c:majorTickMark val="none"/>
        <c:minorTickMark val="none"/>
        <c:tickLblPos val="nextTo"/>
        <c:crossAx val="-2094854280"/>
        <c:crosses val="autoZero"/>
        <c:auto val="1"/>
        <c:lblAlgn val="ctr"/>
        <c:lblOffset val="100"/>
        <c:noMultiLvlLbl val="0"/>
      </c:catAx>
      <c:valAx>
        <c:axId val="-2094854280"/>
        <c:scaling>
          <c:orientation val="minMax"/>
        </c:scaling>
        <c:delete val="0"/>
        <c:axPos val="l"/>
        <c:majorGridlines/>
        <c:numFmt formatCode="_(* #,##0_);_(* \(#,##0\);_(* &quot;-&quot;??_);_(@_)" sourceLinked="1"/>
        <c:majorTickMark val="none"/>
        <c:minorTickMark val="none"/>
        <c:tickLblPos val="nextTo"/>
        <c:crossAx val="-2096235080"/>
        <c:crosses val="autoZero"/>
        <c:crossBetween val="midCat"/>
      </c:valAx>
    </c:plotArea>
    <c:legend>
      <c:legendPos val="b"/>
      <c:overlay val="0"/>
    </c:legend>
    <c:plotVisOnly val="1"/>
    <c:dispBlanksAs val="zero"/>
    <c:showDLblsOverMax val="0"/>
  </c:chart>
  <c:spPr>
    <a:ln>
      <a:noFill/>
    </a:ln>
  </c:spPr>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311150</xdr:colOff>
      <xdr:row>265</xdr:row>
      <xdr:rowOff>76200</xdr:rowOff>
    </xdr:from>
    <xdr:to>
      <xdr:col>10</xdr:col>
      <xdr:colOff>1206500</xdr:colOff>
      <xdr:row>291</xdr:row>
      <xdr:rowOff>127000</xdr:rowOff>
    </xdr:to>
    <xdr:graphicFrame macro="">
      <xdr:nvGraphicFramePr>
        <xdr:cNvPr id="2" name="Chart 1">
          <a:extLst>
            <a:ext uri="{FF2B5EF4-FFF2-40B4-BE49-F238E27FC236}">
              <a16:creationId xmlns:a16="http://schemas.microsoft.com/office/drawing/2014/main" id="{6A820620-5F55-F94F-9CD1-EA50BE89BD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412750</xdr:colOff>
      <xdr:row>294</xdr:row>
      <xdr:rowOff>12700</xdr:rowOff>
    </xdr:from>
    <xdr:to>
      <xdr:col>11</xdr:col>
      <xdr:colOff>0</xdr:colOff>
      <xdr:row>324</xdr:row>
      <xdr:rowOff>139700</xdr:rowOff>
    </xdr:to>
    <xdr:graphicFrame macro="">
      <xdr:nvGraphicFramePr>
        <xdr:cNvPr id="3" name="Chart 2">
          <a:extLst>
            <a:ext uri="{FF2B5EF4-FFF2-40B4-BE49-F238E27FC236}">
              <a16:creationId xmlns:a16="http://schemas.microsoft.com/office/drawing/2014/main" id="{8D0C6A4C-F502-6248-BAEA-6AF868D064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EED11-E6A2-484E-ACA1-1DD8501B5937}">
  <sheetPr codeName="Sheet5">
    <pageSetUpPr fitToPage="1"/>
  </sheetPr>
  <dimension ref="B2:D38"/>
  <sheetViews>
    <sheetView showGridLines="0" tabSelected="1" workbookViewId="0">
      <selection activeCell="D6" sqref="D6"/>
    </sheetView>
  </sheetViews>
  <sheetFormatPr baseColWidth="10" defaultColWidth="9" defaultRowHeight="21"/>
  <cols>
    <col min="1" max="1" width="6.33203125" style="88" customWidth="1"/>
    <col min="2" max="2" width="67.1640625" style="88" customWidth="1"/>
    <col min="3" max="3" width="15.5" style="88" customWidth="1"/>
    <col min="4" max="4" width="64.6640625" style="88" customWidth="1"/>
    <col min="5" max="16384" width="9" style="88"/>
  </cols>
  <sheetData>
    <row r="2" spans="2:4" s="88" customFormat="1">
      <c r="B2" s="87" t="str">
        <f>UPPER(B25)&amp;" "&amp;UPPER(B26)&amp;" "&amp;UPPER(B27)&amp;" "&amp;IF(OR(ISBLANK(B28),B28="cap-table"),"","FOR "&amp;UPPER(B28))</f>
        <v xml:space="preserve">EXIT WATERFALL TOOL </v>
      </c>
      <c r="C2" s="87"/>
    </row>
    <row r="3" spans="2:4" s="88" customFormat="1">
      <c r="B3" s="89"/>
      <c r="C3" s="89"/>
    </row>
    <row r="4" spans="2:4" s="88" customFormat="1" ht="22">
      <c r="B4" s="90" t="s">
        <v>200</v>
      </c>
      <c r="C4" s="90"/>
    </row>
    <row r="5" spans="2:4" s="88" customFormat="1" ht="22">
      <c r="B5" s="90" t="str">
        <f>"See more models at "&amp;"https://"&amp;B29</f>
        <v>See more models at https://foresight.is</v>
      </c>
      <c r="C5" s="90"/>
    </row>
    <row r="6" spans="2:4" s="88" customFormat="1" ht="22">
      <c r="B6" s="90" t="str">
        <f>B30&amp;"@"&amp;B29&amp;" - @tdavidson"</f>
        <v>hello@foresight.is - @tdavidson</v>
      </c>
      <c r="C6" s="90"/>
    </row>
    <row r="7" spans="2:4" s="88" customFormat="1" ht="22">
      <c r="B7" s="91" t="str">
        <f>"Questions, comments, ideas, email "&amp;B30&amp;"@"&amp;B29</f>
        <v>Questions, comments, ideas, email hello@foresight.is</v>
      </c>
      <c r="C7" s="91"/>
    </row>
    <row r="8" spans="2:4" s="88" customFormat="1" ht="22">
      <c r="B8" s="92" t="s">
        <v>201</v>
      </c>
      <c r="C8" s="92"/>
    </row>
    <row r="10" spans="2:4" s="88" customFormat="1" ht="22" customHeight="1"/>
    <row r="11" spans="2:4" s="88" customFormat="1" ht="22" customHeight="1">
      <c r="B11" s="93" t="s">
        <v>202</v>
      </c>
      <c r="D11" s="94" t="s">
        <v>203</v>
      </c>
    </row>
    <row r="12" spans="2:4" s="88" customFormat="1" ht="22" customHeight="1">
      <c r="B12" s="95" t="str">
        <f>"License at https://"&amp;B29&amp;"/license"</f>
        <v>License at https://foresight.is/license</v>
      </c>
      <c r="D12" s="96" t="s">
        <v>204</v>
      </c>
    </row>
    <row r="13" spans="2:4" s="88" customFormat="1" ht="22" customHeight="1">
      <c r="B13" s="91" t="s">
        <v>205</v>
      </c>
      <c r="D13" s="96" t="str">
        <f>"Get updates at https://"&amp;B29&amp;"/"&amp;IF(B28="cap-table","cap-table",B25&amp;"-"&amp;B26&amp;"-"&amp;B27)</f>
        <v>Get updates at https://foresight.is/cap-table</v>
      </c>
    </row>
    <row r="14" spans="2:4" s="88" customFormat="1">
      <c r="B14" s="90"/>
      <c r="C14" s="90"/>
    </row>
    <row r="15" spans="2:4" s="88" customFormat="1">
      <c r="B15" s="90"/>
      <c r="C15" s="90"/>
    </row>
    <row r="16" spans="2:4" s="88" customFormat="1" ht="22">
      <c r="B16" s="97" t="s">
        <v>206</v>
      </c>
      <c r="C16" s="98"/>
      <c r="D16" s="97" t="s">
        <v>207</v>
      </c>
    </row>
    <row r="17" spans="2:4" s="88" customFormat="1" ht="165" customHeight="1">
      <c r="B17" s="96" t="s">
        <v>208</v>
      </c>
      <c r="C17" s="99"/>
      <c r="D17" s="96" t="s">
        <v>209</v>
      </c>
    </row>
    <row r="18" spans="2:4" s="88" customFormat="1" ht="22" customHeight="1">
      <c r="B18" s="96"/>
      <c r="C18" s="99"/>
      <c r="D18" s="96"/>
    </row>
    <row r="19" spans="2:4" s="88" customFormat="1" ht="22">
      <c r="B19" s="97" t="s">
        <v>210</v>
      </c>
      <c r="C19" s="99"/>
      <c r="D19" s="97" t="s">
        <v>211</v>
      </c>
    </row>
    <row r="20" spans="2:4" s="88" customFormat="1" ht="89" customHeight="1">
      <c r="B20" s="96" t="s">
        <v>212</v>
      </c>
      <c r="C20" s="98"/>
      <c r="D20" s="96" t="str">
        <f>"Visit https://"&amp;B29&amp;"/start to get more instructions and videos on how to use the model, including details on each sheet and key components."</f>
        <v>Visit https://foresight.is/start to get more instructions and videos on how to use the model, including details on each sheet and key components.</v>
      </c>
    </row>
    <row r="21" spans="2:4" s="88" customFormat="1" ht="44">
      <c r="B21" s="96" t="s">
        <v>213</v>
      </c>
      <c r="C21" s="99"/>
    </row>
    <row r="22" spans="2:4" s="88" customFormat="1" ht="132">
      <c r="B22" s="96" t="s">
        <v>214</v>
      </c>
      <c r="C22" s="98"/>
      <c r="D22" s="98"/>
    </row>
    <row r="23" spans="2:4" s="88" customFormat="1" ht="64" customHeight="1">
      <c r="C23" s="99"/>
      <c r="D23" s="100"/>
    </row>
    <row r="24" spans="2:4" s="88" customFormat="1">
      <c r="B24" s="101" t="s">
        <v>215</v>
      </c>
      <c r="C24" s="99"/>
    </row>
    <row r="25" spans="2:4" s="88" customFormat="1">
      <c r="B25" s="88" t="s">
        <v>219</v>
      </c>
      <c r="C25" s="99"/>
    </row>
    <row r="26" spans="2:4" s="88" customFormat="1">
      <c r="B26" s="88" t="s">
        <v>220</v>
      </c>
      <c r="C26" s="99"/>
    </row>
    <row r="27" spans="2:4" s="88" customFormat="1">
      <c r="B27" s="88" t="s">
        <v>216</v>
      </c>
      <c r="C27" s="99"/>
    </row>
    <row r="28" spans="2:4" s="88" customFormat="1">
      <c r="B28" s="88" t="s">
        <v>224</v>
      </c>
      <c r="C28" s="99"/>
    </row>
    <row r="29" spans="2:4" s="88" customFormat="1" ht="22">
      <c r="B29" s="99" t="s">
        <v>217</v>
      </c>
      <c r="C29" s="99"/>
    </row>
    <row r="30" spans="2:4" s="88" customFormat="1" ht="22">
      <c r="B30" s="99" t="s">
        <v>218</v>
      </c>
      <c r="C30" s="99"/>
    </row>
    <row r="31" spans="2:4" s="88" customFormat="1">
      <c r="C31" s="98"/>
    </row>
    <row r="32" spans="2:4" s="88" customFormat="1">
      <c r="C32" s="99"/>
    </row>
    <row r="33" spans="2:3" s="88" customFormat="1">
      <c r="B33" s="98"/>
      <c r="C33" s="98"/>
    </row>
    <row r="35" spans="2:3" s="88" customFormat="1">
      <c r="C35" s="101"/>
    </row>
    <row r="38" spans="2:3" s="88" customFormat="1">
      <c r="C38" s="101"/>
    </row>
  </sheetData>
  <pageMargins left="0.75" right="0.75" top="1" bottom="1" header="0.5" footer="0.5"/>
  <pageSetup scale="63" orientation="landscape"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E3840-8A87-BB42-9254-EFBC0802418F}">
  <sheetPr codeName="Sheet1"/>
  <dimension ref="B2:B29"/>
  <sheetViews>
    <sheetView showGridLines="0" topLeftCell="A8" workbookViewId="0">
      <selection activeCell="B9" sqref="B9"/>
    </sheetView>
  </sheetViews>
  <sheetFormatPr baseColWidth="10" defaultRowHeight="21"/>
  <cols>
    <col min="1" max="1" width="5.1640625" style="45" customWidth="1"/>
    <col min="2" max="2" width="161.1640625" style="47" customWidth="1"/>
    <col min="3" max="16384" width="10.83203125" style="45"/>
  </cols>
  <sheetData>
    <row r="2" spans="2:2" ht="22">
      <c r="B2" s="44" t="s">
        <v>171</v>
      </c>
    </row>
    <row r="3" spans="2:2" ht="22">
      <c r="B3" s="46" t="s">
        <v>172</v>
      </c>
    </row>
    <row r="4" spans="2:2" ht="114" customHeight="1">
      <c r="B4" s="47" t="s">
        <v>173</v>
      </c>
    </row>
    <row r="6" spans="2:2" ht="22">
      <c r="B6" s="47" t="s">
        <v>174</v>
      </c>
    </row>
    <row r="8" spans="2:2" ht="22">
      <c r="B8" s="47" t="s">
        <v>175</v>
      </c>
    </row>
    <row r="9" spans="2:2" ht="44">
      <c r="B9" s="47" t="s">
        <v>176</v>
      </c>
    </row>
    <row r="10" spans="2:2" ht="22">
      <c r="B10" s="47" t="s">
        <v>177</v>
      </c>
    </row>
    <row r="11" spans="2:2" ht="22">
      <c r="B11" s="47" t="s">
        <v>178</v>
      </c>
    </row>
    <row r="12" spans="2:2" ht="22">
      <c r="B12" s="47" t="s">
        <v>179</v>
      </c>
    </row>
    <row r="14" spans="2:2" ht="22">
      <c r="B14" s="47" t="s">
        <v>180</v>
      </c>
    </row>
    <row r="15" spans="2:2" ht="22">
      <c r="B15" s="47" t="s">
        <v>181</v>
      </c>
    </row>
    <row r="16" spans="2:2" ht="22">
      <c r="B16" s="47" t="s">
        <v>182</v>
      </c>
    </row>
    <row r="17" spans="2:2" ht="22">
      <c r="B17" s="47" t="s">
        <v>183</v>
      </c>
    </row>
    <row r="18" spans="2:2" ht="44">
      <c r="B18" s="47" t="s">
        <v>184</v>
      </c>
    </row>
    <row r="19" spans="2:2" ht="22">
      <c r="B19" s="47" t="s">
        <v>185</v>
      </c>
    </row>
    <row r="20" spans="2:2" ht="22">
      <c r="B20" s="47" t="s">
        <v>186</v>
      </c>
    </row>
    <row r="21" spans="2:2" ht="44">
      <c r="B21" s="47" t="s">
        <v>187</v>
      </c>
    </row>
    <row r="23" spans="2:2" ht="150" customHeight="1">
      <c r="B23" s="47" t="s">
        <v>188</v>
      </c>
    </row>
    <row r="25" spans="2:2" ht="110">
      <c r="B25" s="47" t="s">
        <v>189</v>
      </c>
    </row>
    <row r="27" spans="2:2" ht="88">
      <c r="B27" s="47" t="s">
        <v>190</v>
      </c>
    </row>
    <row r="29" spans="2:2" ht="88">
      <c r="B29" s="47" t="s">
        <v>191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E6F8C-FF64-CF4D-B8CE-1B56678E1DBC}">
  <dimension ref="A2:Z337"/>
  <sheetViews>
    <sheetView showGridLines="0" zoomScaleNormal="100" workbookViewId="0">
      <selection activeCell="G4" sqref="G4"/>
    </sheetView>
  </sheetViews>
  <sheetFormatPr baseColWidth="10" defaultRowHeight="21" outlineLevelRow="1"/>
  <cols>
    <col min="1" max="1" width="4.6640625" style="52" customWidth="1"/>
    <col min="2" max="2" width="57" style="52" customWidth="1"/>
    <col min="3" max="3" width="17.6640625" style="52" customWidth="1"/>
    <col min="4" max="4" width="5.6640625" style="53" customWidth="1"/>
    <col min="5" max="11" width="17.1640625" style="52" customWidth="1"/>
    <col min="12" max="12" width="8.83203125" style="81" customWidth="1"/>
    <col min="13" max="13" width="17.1640625" style="55" customWidth="1"/>
    <col min="14" max="16" width="17.1640625" style="52" customWidth="1"/>
    <col min="17" max="16384" width="10.83203125" style="52"/>
  </cols>
  <sheetData>
    <row r="2" spans="2:18">
      <c r="B2" s="1" t="s">
        <v>111</v>
      </c>
      <c r="C2" s="2"/>
      <c r="D2" s="2"/>
      <c r="E2" s="2"/>
      <c r="F2" s="2"/>
      <c r="G2" s="2"/>
      <c r="H2" s="2"/>
      <c r="I2" s="2"/>
      <c r="J2" s="2"/>
      <c r="K2" s="2"/>
      <c r="L2" s="3"/>
      <c r="M2" s="4"/>
      <c r="N2" s="2"/>
      <c r="O2" s="5"/>
      <c r="P2" s="5"/>
      <c r="Q2" s="5"/>
      <c r="R2" s="5"/>
    </row>
    <row r="3" spans="2:18">
      <c r="B3" s="12" t="s">
        <v>0</v>
      </c>
      <c r="C3" s="2"/>
      <c r="D3" s="2"/>
      <c r="E3" s="2"/>
      <c r="F3" s="2"/>
      <c r="G3" s="2"/>
      <c r="H3" s="2"/>
      <c r="I3" s="2"/>
      <c r="J3" s="2"/>
      <c r="K3" s="2"/>
      <c r="L3" s="3"/>
      <c r="M3" s="4"/>
      <c r="N3" s="2"/>
      <c r="O3" s="5"/>
      <c r="P3" s="5"/>
      <c r="Q3" s="5"/>
      <c r="R3" s="5"/>
    </row>
    <row r="4" spans="2:18">
      <c r="B4" s="5"/>
      <c r="C4" s="2"/>
      <c r="D4" s="2"/>
      <c r="E4" s="2"/>
      <c r="F4" s="2"/>
      <c r="G4" s="2"/>
      <c r="H4" s="2"/>
      <c r="I4" s="2"/>
      <c r="J4" s="2"/>
      <c r="K4" s="2"/>
      <c r="L4" s="3"/>
      <c r="M4" s="4"/>
      <c r="N4" s="2"/>
      <c r="O4" s="5"/>
      <c r="P4" s="5"/>
      <c r="Q4" s="5"/>
      <c r="R4" s="5"/>
    </row>
    <row r="5" spans="2:18">
      <c r="B5" s="5" t="s">
        <v>1</v>
      </c>
      <c r="C5" s="2"/>
      <c r="D5" s="6" t="s">
        <v>2</v>
      </c>
      <c r="E5" s="7">
        <v>50000</v>
      </c>
      <c r="F5" s="2"/>
      <c r="G5" s="2"/>
      <c r="H5" s="2"/>
      <c r="I5" s="2"/>
      <c r="J5" s="2"/>
      <c r="K5" s="2"/>
      <c r="L5" s="3">
        <v>1</v>
      </c>
      <c r="M5" s="4" t="s">
        <v>3</v>
      </c>
      <c r="N5" s="2"/>
      <c r="O5" s="5"/>
      <c r="P5" s="5"/>
      <c r="Q5" s="5"/>
      <c r="R5" s="5"/>
    </row>
    <row r="6" spans="2:18">
      <c r="B6" s="5" t="s">
        <v>8</v>
      </c>
      <c r="C6" s="2"/>
      <c r="D6" s="2" t="s">
        <v>9</v>
      </c>
      <c r="E6" s="8">
        <f ca="1">EDATE(TODAY(),24)</f>
        <v>44693</v>
      </c>
      <c r="I6" s="2"/>
      <c r="J6" s="2"/>
      <c r="K6" s="2"/>
      <c r="L6" s="3">
        <f>IF(ISBLANK(M6),"",MAX(L$5:L5)+1)</f>
        <v>2</v>
      </c>
      <c r="M6" s="4" t="s">
        <v>10</v>
      </c>
      <c r="N6" s="2"/>
      <c r="O6" s="5"/>
      <c r="P6" s="5"/>
      <c r="Q6" s="5"/>
      <c r="R6" s="5"/>
    </row>
    <row r="7" spans="2:18">
      <c r="B7" s="5" t="s">
        <v>11</v>
      </c>
      <c r="C7" s="2"/>
      <c r="D7" s="2" t="s">
        <v>12</v>
      </c>
      <c r="E7" s="9">
        <v>0.5</v>
      </c>
      <c r="I7" s="2"/>
      <c r="J7" s="2"/>
      <c r="K7" s="2"/>
      <c r="L7" s="3">
        <f>IF(ISBLANK(M7),"",MAX(L$5:L6)+1)</f>
        <v>3</v>
      </c>
      <c r="M7" s="4" t="s">
        <v>13</v>
      </c>
      <c r="N7" s="2"/>
      <c r="O7" s="5"/>
      <c r="P7" s="5"/>
      <c r="Q7" s="5"/>
      <c r="R7" s="5"/>
    </row>
    <row r="8" spans="2:18">
      <c r="B8" s="5" t="s">
        <v>14</v>
      </c>
      <c r="C8" s="2"/>
      <c r="D8" s="53" t="s">
        <v>15</v>
      </c>
      <c r="E8" s="10" t="s">
        <v>158</v>
      </c>
      <c r="I8" s="2"/>
      <c r="J8" s="2"/>
      <c r="K8" s="2"/>
      <c r="L8" s="3">
        <f>IF(ISBLANK(M8),"",MAX(L$5:L7)+1)</f>
        <v>4</v>
      </c>
      <c r="M8" s="52" t="s">
        <v>16</v>
      </c>
      <c r="N8" s="2"/>
      <c r="O8" s="5"/>
      <c r="P8" s="5"/>
      <c r="Q8" s="5"/>
      <c r="R8" s="5"/>
    </row>
    <row r="9" spans="2:18">
      <c r="B9" s="5" t="s">
        <v>17</v>
      </c>
      <c r="C9" s="2"/>
      <c r="D9" s="53" t="s">
        <v>15</v>
      </c>
      <c r="E9" s="19" t="str">
        <f>IF(SUM(E202:K202)=0,"yes","no")</f>
        <v>no</v>
      </c>
      <c r="I9" s="2"/>
      <c r="J9" s="2"/>
      <c r="K9" s="2"/>
      <c r="L9" s="3">
        <f>IF(ISBLANK(M9),"",MAX(L$5:L8)+1)</f>
        <v>5</v>
      </c>
      <c r="M9" s="11" t="s">
        <v>18</v>
      </c>
      <c r="N9" s="2"/>
      <c r="O9" s="5"/>
      <c r="P9" s="5"/>
      <c r="Q9" s="5"/>
      <c r="R9" s="5"/>
    </row>
    <row r="10" spans="2:18">
      <c r="B10" s="5"/>
      <c r="C10" s="2"/>
      <c r="D10" s="2"/>
      <c r="E10" s="2"/>
      <c r="F10" s="2"/>
      <c r="G10" s="2"/>
      <c r="H10" s="2"/>
      <c r="I10" s="2"/>
      <c r="J10" s="2"/>
      <c r="K10" s="2"/>
      <c r="L10" s="3" t="str">
        <f>IF(ISBLANK(M10),"",MAX(L$5:L9)+1)</f>
        <v/>
      </c>
      <c r="M10" s="4"/>
      <c r="N10" s="2"/>
      <c r="O10" s="5"/>
      <c r="P10" s="5"/>
      <c r="Q10" s="5"/>
      <c r="R10" s="5"/>
    </row>
    <row r="11" spans="2:18">
      <c r="B11" s="12" t="s">
        <v>19</v>
      </c>
      <c r="C11" s="2"/>
      <c r="D11" s="2"/>
      <c r="E11" s="2"/>
      <c r="F11" s="2"/>
      <c r="G11" s="2"/>
      <c r="H11" s="2"/>
      <c r="I11" s="2"/>
      <c r="J11" s="2"/>
      <c r="K11" s="2"/>
      <c r="L11" s="3">
        <f>IF(ISBLANK(M11),"",MAX(L$5:L10)+1)</f>
        <v>6</v>
      </c>
      <c r="M11" s="4" t="s">
        <v>20</v>
      </c>
      <c r="N11" s="2"/>
      <c r="O11" s="5"/>
      <c r="P11" s="5"/>
      <c r="Q11" s="5"/>
      <c r="R11" s="5"/>
    </row>
    <row r="12" spans="2:18">
      <c r="B12" s="5"/>
      <c r="C12" s="2"/>
      <c r="D12" s="2"/>
      <c r="E12" s="2"/>
      <c r="F12" s="2"/>
      <c r="G12" s="2"/>
      <c r="H12" s="2"/>
      <c r="I12" s="2"/>
      <c r="J12" s="2"/>
      <c r="K12" s="2"/>
      <c r="L12" s="3" t="str">
        <f>IF(ISBLANK(M12),"",MAX(L$5:L11)+1)</f>
        <v/>
      </c>
      <c r="M12" s="4"/>
      <c r="N12" s="2"/>
      <c r="O12" s="5"/>
      <c r="P12" s="5"/>
      <c r="Q12" s="5"/>
      <c r="R12" s="5"/>
    </row>
    <row r="13" spans="2:18">
      <c r="B13" s="5" t="s">
        <v>21</v>
      </c>
      <c r="C13" s="84" t="s">
        <v>225</v>
      </c>
      <c r="D13" s="2"/>
      <c r="E13" s="41" t="s">
        <v>22</v>
      </c>
      <c r="F13" s="41" t="s">
        <v>23</v>
      </c>
      <c r="G13" s="41" t="s">
        <v>24</v>
      </c>
      <c r="H13" s="41" t="s">
        <v>25</v>
      </c>
      <c r="I13" s="42" t="s">
        <v>26</v>
      </c>
      <c r="J13" s="42" t="s">
        <v>27</v>
      </c>
      <c r="K13" s="42" t="s">
        <v>28</v>
      </c>
      <c r="L13" s="3" t="str">
        <f>IF(ISBLANK(M13),"",MAX(L$5:L12)+1)</f>
        <v/>
      </c>
      <c r="M13" s="4"/>
      <c r="N13" s="2"/>
      <c r="O13" s="5"/>
      <c r="P13" s="5"/>
      <c r="Q13" s="5"/>
      <c r="R13" s="5"/>
    </row>
    <row r="14" spans="2:18">
      <c r="B14" s="7" t="s">
        <v>108</v>
      </c>
      <c r="C14" s="85">
        <v>0</v>
      </c>
      <c r="D14" s="2" t="s">
        <v>5</v>
      </c>
      <c r="E14" s="7">
        <v>0</v>
      </c>
      <c r="F14" s="7">
        <v>0</v>
      </c>
      <c r="G14" s="7">
        <v>0</v>
      </c>
      <c r="H14" s="7">
        <v>0</v>
      </c>
      <c r="I14" s="7">
        <v>0</v>
      </c>
      <c r="J14" s="7">
        <v>0</v>
      </c>
      <c r="K14" s="13">
        <f t="shared" ref="K14:K22" si="0">SUM(E14:J14)</f>
        <v>0</v>
      </c>
      <c r="L14" s="3">
        <f>IF(ISBLANK(M14),"",MAX(L$5:L13)+1)</f>
        <v>7</v>
      </c>
      <c r="M14" s="4" t="s">
        <v>134</v>
      </c>
      <c r="N14" s="2"/>
      <c r="O14" s="5"/>
      <c r="P14" s="5"/>
      <c r="Q14" s="5"/>
      <c r="R14" s="5"/>
    </row>
    <row r="15" spans="2:18">
      <c r="B15" s="7" t="s">
        <v>108</v>
      </c>
      <c r="C15" s="85">
        <v>0</v>
      </c>
      <c r="D15" s="2" t="s">
        <v>5</v>
      </c>
      <c r="E15" s="7">
        <v>0</v>
      </c>
      <c r="F15" s="7">
        <v>0</v>
      </c>
      <c r="G15" s="7">
        <v>0</v>
      </c>
      <c r="H15" s="7">
        <v>0</v>
      </c>
      <c r="I15" s="7">
        <v>0</v>
      </c>
      <c r="J15" s="7">
        <v>0</v>
      </c>
      <c r="K15" s="13">
        <f t="shared" si="0"/>
        <v>0</v>
      </c>
      <c r="L15" s="3" t="str">
        <f>IF(ISBLANK(M15),"",MAX(L$5:L14)+1)</f>
        <v/>
      </c>
      <c r="M15" s="4"/>
      <c r="N15" s="2"/>
      <c r="O15" s="5"/>
      <c r="P15" s="5"/>
      <c r="Q15" s="5"/>
      <c r="R15" s="5"/>
    </row>
    <row r="16" spans="2:18">
      <c r="B16" s="7" t="s">
        <v>108</v>
      </c>
      <c r="C16" s="85">
        <v>0</v>
      </c>
      <c r="D16" s="2" t="s">
        <v>5</v>
      </c>
      <c r="E16" s="7">
        <v>0</v>
      </c>
      <c r="F16" s="7">
        <v>0</v>
      </c>
      <c r="G16" s="7">
        <v>0</v>
      </c>
      <c r="H16" s="7">
        <v>0</v>
      </c>
      <c r="I16" s="7">
        <v>0</v>
      </c>
      <c r="J16" s="7">
        <v>0</v>
      </c>
      <c r="K16" s="13">
        <f t="shared" si="0"/>
        <v>0</v>
      </c>
      <c r="L16" s="3" t="str">
        <f>IF(ISBLANK(M16),"",MAX(L$5:L15)+1)</f>
        <v/>
      </c>
      <c r="M16" s="4"/>
      <c r="N16" s="2"/>
      <c r="O16" s="5"/>
      <c r="P16" s="5"/>
      <c r="Q16" s="5"/>
      <c r="R16" s="5"/>
    </row>
    <row r="17" spans="2:18">
      <c r="B17" s="7" t="s">
        <v>108</v>
      </c>
      <c r="C17" s="85">
        <v>0</v>
      </c>
      <c r="D17" s="2" t="s">
        <v>5</v>
      </c>
      <c r="E17" s="7">
        <v>0</v>
      </c>
      <c r="F17" s="7">
        <v>0</v>
      </c>
      <c r="G17" s="7">
        <v>0</v>
      </c>
      <c r="H17" s="7">
        <v>0</v>
      </c>
      <c r="I17" s="7">
        <v>0</v>
      </c>
      <c r="J17" s="7">
        <v>0</v>
      </c>
      <c r="K17" s="13">
        <f t="shared" si="0"/>
        <v>0</v>
      </c>
      <c r="L17" s="3" t="str">
        <f>IF(ISBLANK(M17),"",MAX(L$5:L16)+1)</f>
        <v/>
      </c>
      <c r="M17" s="4"/>
      <c r="N17" s="2"/>
      <c r="O17" s="5"/>
      <c r="P17" s="5"/>
      <c r="Q17" s="5"/>
      <c r="R17" s="5"/>
    </row>
    <row r="18" spans="2:18">
      <c r="B18" s="7" t="s">
        <v>108</v>
      </c>
      <c r="C18" s="85">
        <v>0</v>
      </c>
      <c r="D18" s="2" t="s">
        <v>5</v>
      </c>
      <c r="E18" s="7">
        <v>0</v>
      </c>
      <c r="F18" s="7">
        <v>0</v>
      </c>
      <c r="G18" s="7">
        <v>0</v>
      </c>
      <c r="H18" s="7">
        <v>0</v>
      </c>
      <c r="I18" s="7">
        <v>0</v>
      </c>
      <c r="J18" s="7">
        <v>0</v>
      </c>
      <c r="K18" s="13">
        <f t="shared" si="0"/>
        <v>0</v>
      </c>
      <c r="L18" s="3" t="str">
        <f>IF(ISBLANK(M18),"",MAX(L$5:L17)+1)</f>
        <v/>
      </c>
      <c r="M18" s="4"/>
      <c r="N18" s="2"/>
      <c r="O18" s="5"/>
      <c r="P18" s="5"/>
      <c r="Q18" s="5"/>
      <c r="R18" s="5"/>
    </row>
    <row r="19" spans="2:18">
      <c r="B19" s="7" t="s">
        <v>108</v>
      </c>
      <c r="C19" s="85">
        <v>0</v>
      </c>
      <c r="D19" s="2" t="s">
        <v>5</v>
      </c>
      <c r="E19" s="7">
        <v>0</v>
      </c>
      <c r="F19" s="7">
        <v>0</v>
      </c>
      <c r="G19" s="7">
        <v>0</v>
      </c>
      <c r="H19" s="7">
        <v>0</v>
      </c>
      <c r="I19" s="7">
        <v>0</v>
      </c>
      <c r="J19" s="7">
        <v>0</v>
      </c>
      <c r="K19" s="13">
        <f t="shared" si="0"/>
        <v>0</v>
      </c>
      <c r="L19" s="3" t="str">
        <f>IF(ISBLANK(M19),"",MAX(L$5:L18)+1)</f>
        <v/>
      </c>
      <c r="M19" s="4"/>
      <c r="N19" s="2"/>
      <c r="O19" s="5"/>
      <c r="P19" s="5"/>
      <c r="Q19" s="5"/>
      <c r="R19" s="5"/>
    </row>
    <row r="20" spans="2:18">
      <c r="B20" s="7" t="s">
        <v>29</v>
      </c>
      <c r="C20" s="85">
        <v>0</v>
      </c>
      <c r="D20" s="2" t="s">
        <v>5</v>
      </c>
      <c r="E20" s="7">
        <v>0</v>
      </c>
      <c r="F20" s="7">
        <v>0</v>
      </c>
      <c r="G20" s="7">
        <v>0</v>
      </c>
      <c r="H20" s="7">
        <v>0</v>
      </c>
      <c r="I20" s="7">
        <v>0</v>
      </c>
      <c r="J20" s="7">
        <v>0</v>
      </c>
      <c r="K20" s="13">
        <f t="shared" si="0"/>
        <v>0</v>
      </c>
      <c r="L20" s="3" t="str">
        <f>IF(ISBLANK(M20),"",MAX(L$5:L19)+1)</f>
        <v/>
      </c>
      <c r="M20" s="4"/>
      <c r="N20" s="2"/>
      <c r="O20" s="5"/>
      <c r="P20" s="5"/>
      <c r="Q20" s="5"/>
      <c r="R20" s="5"/>
    </row>
    <row r="21" spans="2:18">
      <c r="B21" s="7" t="s">
        <v>29</v>
      </c>
      <c r="C21" s="85">
        <v>0</v>
      </c>
      <c r="D21" s="2" t="s">
        <v>5</v>
      </c>
      <c r="E21" s="13">
        <v>0</v>
      </c>
      <c r="F21" s="13">
        <v>0</v>
      </c>
      <c r="G21" s="13">
        <v>0</v>
      </c>
      <c r="H21" s="13">
        <v>0</v>
      </c>
      <c r="I21" s="13">
        <v>0</v>
      </c>
      <c r="J21" s="7">
        <v>0</v>
      </c>
      <c r="K21" s="13">
        <f t="shared" si="0"/>
        <v>0</v>
      </c>
      <c r="L21" s="3">
        <f>IF(ISBLANK(M21),"",MAX(L$5:L20)+1)</f>
        <v>8</v>
      </c>
      <c r="M21" s="4" t="s">
        <v>112</v>
      </c>
      <c r="N21" s="2"/>
      <c r="O21" s="5"/>
      <c r="P21" s="5"/>
      <c r="Q21" s="5"/>
      <c r="R21" s="5"/>
    </row>
    <row r="22" spans="2:18">
      <c r="B22" s="7" t="s">
        <v>30</v>
      </c>
      <c r="C22" s="85">
        <v>0</v>
      </c>
      <c r="D22" s="2" t="s">
        <v>5</v>
      </c>
      <c r="E22" s="13">
        <v>0</v>
      </c>
      <c r="F22" s="13">
        <v>0</v>
      </c>
      <c r="G22" s="13">
        <v>0</v>
      </c>
      <c r="H22" s="13">
        <v>0</v>
      </c>
      <c r="I22" s="13">
        <v>0</v>
      </c>
      <c r="J22" s="7">
        <v>0</v>
      </c>
      <c r="K22" s="13">
        <f t="shared" si="0"/>
        <v>0</v>
      </c>
      <c r="L22" s="3">
        <f>IF(ISBLANK(M22),"",MAX(L$5:L21)+1)</f>
        <v>9</v>
      </c>
      <c r="M22" s="4" t="s">
        <v>31</v>
      </c>
      <c r="N22" s="2"/>
      <c r="O22" s="5"/>
      <c r="P22" s="5"/>
      <c r="Q22" s="5"/>
      <c r="R22" s="5"/>
    </row>
    <row r="23" spans="2:18">
      <c r="B23" s="5"/>
      <c r="C23" s="13"/>
      <c r="D23" s="2"/>
      <c r="E23" s="13"/>
      <c r="F23" s="13"/>
      <c r="G23" s="13"/>
      <c r="H23" s="13"/>
      <c r="I23" s="13"/>
      <c r="J23" s="13"/>
      <c r="K23" s="13"/>
      <c r="L23" s="3" t="str">
        <f>IF(ISBLANK(M23),"",MAX(L$5:L22)+1)</f>
        <v/>
      </c>
      <c r="M23" s="4"/>
      <c r="N23" s="2"/>
      <c r="O23" s="5"/>
      <c r="P23" s="5"/>
      <c r="Q23" s="5"/>
      <c r="R23" s="5"/>
    </row>
    <row r="24" spans="2:18">
      <c r="B24" s="30" t="s">
        <v>32</v>
      </c>
      <c r="C24" s="82"/>
      <c r="D24" s="2" t="s">
        <v>5</v>
      </c>
      <c r="E24" s="14">
        <f t="shared" ref="E24:K24" si="1">SUM(E14:E22)</f>
        <v>0</v>
      </c>
      <c r="F24" s="14">
        <f t="shared" si="1"/>
        <v>0</v>
      </c>
      <c r="G24" s="14">
        <f t="shared" si="1"/>
        <v>0</v>
      </c>
      <c r="H24" s="14">
        <f t="shared" si="1"/>
        <v>0</v>
      </c>
      <c r="I24" s="14">
        <f t="shared" si="1"/>
        <v>0</v>
      </c>
      <c r="J24" s="14">
        <f t="shared" si="1"/>
        <v>0</v>
      </c>
      <c r="K24" s="14">
        <f t="shared" si="1"/>
        <v>0</v>
      </c>
      <c r="L24" s="3" t="str">
        <f>IF(ISBLANK(M24),"",MAX(L$5:L23)+1)</f>
        <v/>
      </c>
      <c r="M24" s="4"/>
      <c r="N24" s="2"/>
      <c r="O24" s="5"/>
      <c r="P24" s="5"/>
      <c r="Q24" s="5"/>
      <c r="R24" s="5"/>
    </row>
    <row r="25" spans="2:18">
      <c r="B25" s="30" t="s">
        <v>33</v>
      </c>
      <c r="C25" s="15"/>
      <c r="D25" s="2" t="s">
        <v>12</v>
      </c>
      <c r="E25" s="15">
        <f>IFERROR(E24/$K24,0)</f>
        <v>0</v>
      </c>
      <c r="F25" s="15">
        <f t="shared" ref="F25:K25" si="2">IFERROR(F24/$K24,0)</f>
        <v>0</v>
      </c>
      <c r="G25" s="15">
        <f t="shared" si="2"/>
        <v>0</v>
      </c>
      <c r="H25" s="15">
        <f t="shared" si="2"/>
        <v>0</v>
      </c>
      <c r="I25" s="15">
        <f t="shared" si="2"/>
        <v>0</v>
      </c>
      <c r="J25" s="15">
        <f t="shared" si="2"/>
        <v>0</v>
      </c>
      <c r="K25" s="15">
        <f t="shared" si="2"/>
        <v>0</v>
      </c>
      <c r="L25" s="3" t="str">
        <f>IF(ISBLANK(M25),"",MAX(L$5:L24)+1)</f>
        <v/>
      </c>
      <c r="M25" s="4"/>
      <c r="N25" s="2"/>
      <c r="O25" s="5"/>
      <c r="P25" s="5"/>
      <c r="Q25" s="5"/>
      <c r="R25" s="5"/>
    </row>
    <row r="26" spans="2:18">
      <c r="B26" s="30"/>
      <c r="C26" s="2"/>
      <c r="D26" s="2"/>
      <c r="E26" s="2"/>
      <c r="F26" s="2"/>
      <c r="G26" s="2"/>
      <c r="H26" s="2"/>
      <c r="I26" s="2"/>
      <c r="J26" s="2"/>
      <c r="K26" s="2"/>
      <c r="L26" s="3" t="str">
        <f>IF(ISBLANK(M26),"",MAX(L$5:L25)+1)</f>
        <v/>
      </c>
      <c r="M26" s="4"/>
      <c r="N26" s="2"/>
      <c r="O26" s="5"/>
      <c r="P26" s="5"/>
      <c r="Q26" s="5"/>
      <c r="R26" s="5"/>
    </row>
    <row r="27" spans="2:18">
      <c r="B27" s="33" t="s">
        <v>34</v>
      </c>
      <c r="C27" s="2"/>
      <c r="D27" s="2"/>
      <c r="E27" s="2"/>
      <c r="F27" s="2"/>
      <c r="G27" s="2"/>
      <c r="H27" s="2"/>
      <c r="I27" s="2"/>
      <c r="J27" s="2"/>
      <c r="K27" s="2"/>
      <c r="L27" s="3">
        <f>IF(ISBLANK(M27),"",MAX(L$5:L26)+1)</f>
        <v>10</v>
      </c>
      <c r="M27" s="4" t="s">
        <v>113</v>
      </c>
      <c r="N27" s="2"/>
      <c r="O27" s="5"/>
      <c r="P27" s="5"/>
      <c r="Q27" s="5"/>
      <c r="R27" s="5"/>
    </row>
    <row r="28" spans="2:18" outlineLevel="1">
      <c r="B28" s="30" t="str">
        <f t="shared" ref="B28:B36" si="3">B14</f>
        <v>Investor</v>
      </c>
      <c r="C28" s="13"/>
      <c r="D28" s="2" t="str">
        <f t="shared" ref="D28:D38" si="4">D$5</f>
        <v>$</v>
      </c>
      <c r="E28" s="7">
        <v>0</v>
      </c>
      <c r="F28" s="7">
        <v>0</v>
      </c>
      <c r="G28" s="7">
        <v>0</v>
      </c>
      <c r="H28" s="7">
        <v>0</v>
      </c>
      <c r="I28" s="7">
        <v>0</v>
      </c>
      <c r="J28" s="7">
        <v>0</v>
      </c>
      <c r="K28" s="13">
        <f t="shared" ref="K28:K36" si="5">SUM(E28:J28)</f>
        <v>0</v>
      </c>
      <c r="L28" s="3">
        <f>IF(ISBLANK(M28),"",MAX(L$5:L27)+1)</f>
        <v>11</v>
      </c>
      <c r="M28" s="4" t="s">
        <v>114</v>
      </c>
      <c r="N28" s="2"/>
      <c r="O28" s="5"/>
      <c r="P28" s="5"/>
      <c r="Q28" s="5"/>
      <c r="R28" s="5"/>
    </row>
    <row r="29" spans="2:18" outlineLevel="1">
      <c r="B29" s="30" t="str">
        <f t="shared" si="3"/>
        <v>Investor</v>
      </c>
      <c r="C29" s="13"/>
      <c r="D29" s="2" t="str">
        <f t="shared" si="4"/>
        <v>$</v>
      </c>
      <c r="E29" s="7">
        <v>0</v>
      </c>
      <c r="F29" s="7">
        <v>0</v>
      </c>
      <c r="G29" s="7">
        <v>0</v>
      </c>
      <c r="H29" s="7">
        <v>0</v>
      </c>
      <c r="I29" s="7">
        <v>0</v>
      </c>
      <c r="J29" s="7">
        <v>0</v>
      </c>
      <c r="K29" s="13">
        <f t="shared" si="5"/>
        <v>0</v>
      </c>
      <c r="L29" s="3" t="str">
        <f>IF(ISBLANK(M29),"",MAX(L$5:L28)+1)</f>
        <v/>
      </c>
      <c r="M29" s="4"/>
      <c r="N29" s="2"/>
      <c r="O29" s="5"/>
      <c r="P29" s="5"/>
      <c r="Q29" s="5"/>
      <c r="R29" s="5"/>
    </row>
    <row r="30" spans="2:18" outlineLevel="1">
      <c r="B30" s="30" t="str">
        <f t="shared" si="3"/>
        <v>Investor</v>
      </c>
      <c r="C30" s="13"/>
      <c r="D30" s="2" t="str">
        <f t="shared" si="4"/>
        <v>$</v>
      </c>
      <c r="E30" s="7">
        <v>0</v>
      </c>
      <c r="F30" s="7">
        <v>0</v>
      </c>
      <c r="G30" s="7">
        <v>0</v>
      </c>
      <c r="H30" s="7">
        <v>0</v>
      </c>
      <c r="I30" s="7">
        <v>0</v>
      </c>
      <c r="J30" s="7">
        <v>0</v>
      </c>
      <c r="K30" s="13">
        <f t="shared" si="5"/>
        <v>0</v>
      </c>
      <c r="L30" s="3" t="str">
        <f>IF(ISBLANK(M30),"",MAX(L$5:L29)+1)</f>
        <v/>
      </c>
      <c r="M30" s="4"/>
      <c r="N30" s="2"/>
      <c r="O30" s="5"/>
      <c r="P30" s="5"/>
      <c r="Q30" s="5"/>
      <c r="R30" s="5"/>
    </row>
    <row r="31" spans="2:18" outlineLevel="1">
      <c r="B31" s="30" t="str">
        <f t="shared" si="3"/>
        <v>Investor</v>
      </c>
      <c r="C31" s="13"/>
      <c r="D31" s="2" t="str">
        <f t="shared" si="4"/>
        <v>$</v>
      </c>
      <c r="E31" s="7">
        <v>0</v>
      </c>
      <c r="F31" s="7">
        <v>0</v>
      </c>
      <c r="G31" s="7">
        <v>0</v>
      </c>
      <c r="H31" s="7">
        <v>0</v>
      </c>
      <c r="I31" s="7">
        <v>0</v>
      </c>
      <c r="J31" s="7">
        <v>0</v>
      </c>
      <c r="K31" s="13">
        <f t="shared" si="5"/>
        <v>0</v>
      </c>
      <c r="L31" s="3" t="str">
        <f>IF(ISBLANK(M31),"",MAX(L$5:L30)+1)</f>
        <v/>
      </c>
      <c r="M31" s="4"/>
      <c r="N31" s="2"/>
      <c r="O31" s="5"/>
      <c r="P31" s="5"/>
      <c r="Q31" s="5"/>
      <c r="R31" s="5"/>
    </row>
    <row r="32" spans="2:18" outlineLevel="1">
      <c r="B32" s="30" t="str">
        <f t="shared" si="3"/>
        <v>Investor</v>
      </c>
      <c r="C32" s="13"/>
      <c r="D32" s="2" t="str">
        <f t="shared" si="4"/>
        <v>$</v>
      </c>
      <c r="E32" s="7">
        <v>0</v>
      </c>
      <c r="F32" s="7">
        <v>0</v>
      </c>
      <c r="G32" s="7">
        <v>0</v>
      </c>
      <c r="H32" s="7">
        <v>0</v>
      </c>
      <c r="I32" s="7">
        <v>0</v>
      </c>
      <c r="J32" s="7">
        <v>0</v>
      </c>
      <c r="K32" s="13">
        <f t="shared" si="5"/>
        <v>0</v>
      </c>
      <c r="L32" s="3" t="str">
        <f>IF(ISBLANK(M32),"",MAX(L$5:L31)+1)</f>
        <v/>
      </c>
      <c r="M32" s="4"/>
      <c r="N32" s="2"/>
      <c r="O32" s="5"/>
      <c r="P32" s="5"/>
      <c r="Q32" s="5"/>
      <c r="R32" s="5"/>
    </row>
    <row r="33" spans="2:18" outlineLevel="1">
      <c r="B33" s="30" t="str">
        <f t="shared" si="3"/>
        <v>Investor</v>
      </c>
      <c r="C33" s="13"/>
      <c r="D33" s="2" t="str">
        <f t="shared" si="4"/>
        <v>$</v>
      </c>
      <c r="E33" s="7">
        <v>0</v>
      </c>
      <c r="F33" s="7">
        <v>0</v>
      </c>
      <c r="G33" s="7">
        <v>0</v>
      </c>
      <c r="H33" s="7">
        <v>0</v>
      </c>
      <c r="I33" s="7">
        <v>0</v>
      </c>
      <c r="J33" s="7">
        <v>0</v>
      </c>
      <c r="K33" s="13">
        <f t="shared" si="5"/>
        <v>0</v>
      </c>
      <c r="L33" s="3" t="str">
        <f>IF(ISBLANK(M33),"",MAX(L$5:L32)+1)</f>
        <v/>
      </c>
      <c r="M33" s="4"/>
      <c r="N33" s="2"/>
      <c r="O33" s="5"/>
      <c r="P33" s="5"/>
      <c r="Q33" s="5"/>
      <c r="R33" s="5"/>
    </row>
    <row r="34" spans="2:18" outlineLevel="1">
      <c r="B34" s="30" t="str">
        <f t="shared" si="3"/>
        <v>Options Exercised</v>
      </c>
      <c r="C34" s="13"/>
      <c r="D34" s="2" t="str">
        <f t="shared" si="4"/>
        <v>$</v>
      </c>
      <c r="E34" s="7">
        <v>0</v>
      </c>
      <c r="F34" s="7">
        <v>0</v>
      </c>
      <c r="G34" s="7">
        <v>0</v>
      </c>
      <c r="H34" s="7">
        <v>0</v>
      </c>
      <c r="I34" s="7">
        <v>0</v>
      </c>
      <c r="J34" s="7">
        <v>0</v>
      </c>
      <c r="K34" s="13">
        <f t="shared" si="5"/>
        <v>0</v>
      </c>
      <c r="L34" s="3" t="str">
        <f>IF(ISBLANK(M34),"",MAX(L$5:L33)+1)</f>
        <v/>
      </c>
      <c r="M34" s="4"/>
      <c r="N34" s="2"/>
      <c r="O34" s="5"/>
      <c r="P34" s="5"/>
      <c r="Q34" s="5"/>
      <c r="R34" s="5"/>
    </row>
    <row r="35" spans="2:18" outlineLevel="1">
      <c r="B35" s="30" t="str">
        <f t="shared" si="3"/>
        <v>Options Exercised</v>
      </c>
      <c r="C35" s="13"/>
      <c r="D35" s="2" t="str">
        <f t="shared" si="4"/>
        <v>$</v>
      </c>
      <c r="E35" s="7">
        <v>0</v>
      </c>
      <c r="F35" s="7">
        <v>0</v>
      </c>
      <c r="G35" s="7">
        <v>0</v>
      </c>
      <c r="H35" s="7">
        <v>0</v>
      </c>
      <c r="I35" s="7">
        <v>0</v>
      </c>
      <c r="J35" s="7">
        <v>0</v>
      </c>
      <c r="K35" s="13">
        <f t="shared" si="5"/>
        <v>0</v>
      </c>
      <c r="L35" s="3" t="str">
        <f>IF(ISBLANK(M35),"",MAX(L$5:L34)+1)</f>
        <v/>
      </c>
      <c r="M35" s="4"/>
      <c r="N35" s="2"/>
      <c r="O35" s="5"/>
      <c r="P35" s="5"/>
      <c r="Q35" s="5"/>
      <c r="R35" s="5"/>
    </row>
    <row r="36" spans="2:18" outlineLevel="1">
      <c r="B36" s="30" t="str">
        <f t="shared" si="3"/>
        <v>Option Pool</v>
      </c>
      <c r="C36" s="13"/>
      <c r="D36" s="2" t="str">
        <f t="shared" si="4"/>
        <v>$</v>
      </c>
      <c r="E36" s="7">
        <v>0</v>
      </c>
      <c r="F36" s="7">
        <v>0</v>
      </c>
      <c r="G36" s="7">
        <v>0</v>
      </c>
      <c r="H36" s="7">
        <v>0</v>
      </c>
      <c r="I36" s="7">
        <v>0</v>
      </c>
      <c r="J36" s="7">
        <v>0</v>
      </c>
      <c r="K36" s="13">
        <f t="shared" si="5"/>
        <v>0</v>
      </c>
      <c r="L36" s="3" t="str">
        <f>IF(ISBLANK(M36),"",MAX(L$5:L35)+1)</f>
        <v/>
      </c>
      <c r="M36" s="4"/>
      <c r="N36" s="2"/>
      <c r="O36" s="5"/>
      <c r="P36" s="5"/>
      <c r="Q36" s="5"/>
      <c r="R36" s="5"/>
    </row>
    <row r="37" spans="2:18" outlineLevel="1">
      <c r="B37" s="30"/>
      <c r="C37" s="2"/>
      <c r="D37" s="2"/>
      <c r="E37" s="2"/>
      <c r="F37" s="2"/>
      <c r="G37" s="2"/>
      <c r="H37" s="2"/>
      <c r="I37" s="2"/>
      <c r="J37" s="2"/>
      <c r="K37" s="2"/>
      <c r="L37" s="3" t="str">
        <f>IF(ISBLANK(M37),"",MAX(L$5:L36)+1)</f>
        <v/>
      </c>
      <c r="M37" s="4"/>
      <c r="N37" s="2"/>
      <c r="O37" s="5"/>
      <c r="P37" s="5"/>
      <c r="Q37" s="5"/>
      <c r="R37" s="5"/>
    </row>
    <row r="38" spans="2:18" outlineLevel="1">
      <c r="B38" s="30" t="s">
        <v>132</v>
      </c>
      <c r="C38" s="16"/>
      <c r="D38" s="2" t="str">
        <f t="shared" si="4"/>
        <v>$</v>
      </c>
      <c r="E38" s="54">
        <f t="shared" ref="E38:J38" si="6">SUM(E28:E36)</f>
        <v>0</v>
      </c>
      <c r="F38" s="54">
        <f t="shared" si="6"/>
        <v>0</v>
      </c>
      <c r="G38" s="54">
        <f t="shared" si="6"/>
        <v>0</v>
      </c>
      <c r="H38" s="54">
        <f t="shared" si="6"/>
        <v>0</v>
      </c>
      <c r="I38" s="54">
        <f t="shared" si="6"/>
        <v>0</v>
      </c>
      <c r="J38" s="54">
        <f t="shared" si="6"/>
        <v>0</v>
      </c>
      <c r="K38" s="16">
        <f>SUM(E38:J38)</f>
        <v>0</v>
      </c>
      <c r="L38" s="3">
        <f>IF(ISBLANK(M38),"",MAX(L$5:L37)+1)</f>
        <v>12</v>
      </c>
      <c r="M38" s="4" t="s">
        <v>115</v>
      </c>
      <c r="N38" s="2"/>
      <c r="O38" s="5"/>
      <c r="P38" s="5"/>
      <c r="Q38" s="5"/>
      <c r="R38" s="5"/>
    </row>
    <row r="39" spans="2:18" outlineLevel="1">
      <c r="B39" s="30" t="s">
        <v>131</v>
      </c>
      <c r="C39" s="16"/>
      <c r="D39" s="2" t="str">
        <f>D$5</f>
        <v>$</v>
      </c>
      <c r="E39" s="7">
        <f t="shared" ref="E39:G39" si="7">E40*E24</f>
        <v>0</v>
      </c>
      <c r="F39" s="7">
        <f t="shared" si="7"/>
        <v>0</v>
      </c>
      <c r="G39" s="7">
        <f t="shared" si="7"/>
        <v>0</v>
      </c>
      <c r="H39" s="7">
        <f>H40*H24</f>
        <v>0</v>
      </c>
      <c r="I39" s="7">
        <f>SUM(I28:I36)</f>
        <v>0</v>
      </c>
      <c r="J39" s="7">
        <f>SUM(J28:J36)</f>
        <v>0</v>
      </c>
      <c r="K39" s="16">
        <f>SUM(E39:J39)</f>
        <v>0</v>
      </c>
      <c r="L39" s="3">
        <f>IF(ISBLANK(M39),"",MAX(L$5:L38)+1)</f>
        <v>13</v>
      </c>
      <c r="M39" s="4" t="s">
        <v>35</v>
      </c>
      <c r="N39" s="2"/>
      <c r="O39" s="5"/>
      <c r="P39" s="5"/>
      <c r="Q39" s="5"/>
      <c r="R39" s="5"/>
    </row>
    <row r="40" spans="2:18" outlineLevel="1">
      <c r="B40" s="30" t="s">
        <v>36</v>
      </c>
      <c r="C40" s="18"/>
      <c r="D40" s="2" t="str">
        <f>D$5</f>
        <v>$</v>
      </c>
      <c r="E40" s="17">
        <v>0</v>
      </c>
      <c r="F40" s="17">
        <v>0</v>
      </c>
      <c r="G40" s="17">
        <v>0</v>
      </c>
      <c r="H40" s="17">
        <v>0</v>
      </c>
      <c r="I40" s="17">
        <v>0</v>
      </c>
      <c r="J40" s="17">
        <v>0</v>
      </c>
      <c r="K40" s="18" t="s">
        <v>37</v>
      </c>
      <c r="L40" s="3">
        <f>IF(ISBLANK(M40),"",MAX(L$5:L39)+1)</f>
        <v>14</v>
      </c>
      <c r="M40" s="4" t="s">
        <v>38</v>
      </c>
      <c r="N40" s="2"/>
      <c r="O40" s="5"/>
      <c r="P40" s="5"/>
      <c r="Q40" s="5"/>
      <c r="R40" s="5"/>
    </row>
    <row r="41" spans="2:18" outlineLevel="1">
      <c r="B41" s="30" t="s">
        <v>39</v>
      </c>
      <c r="C41" s="2"/>
      <c r="D41" s="2" t="s">
        <v>9</v>
      </c>
      <c r="E41" s="8">
        <f ca="1">EDATE(TODAY(),0)</f>
        <v>43963</v>
      </c>
      <c r="F41" s="8">
        <f ca="1">EDATE(TODAY(),0)</f>
        <v>43963</v>
      </c>
      <c r="G41" s="8">
        <f ca="1">EDATE(TODAY(),0)</f>
        <v>43963</v>
      </c>
      <c r="H41" s="8">
        <f ca="1">EDATE(TODAY(),0)</f>
        <v>43963</v>
      </c>
      <c r="I41" s="19" t="s">
        <v>37</v>
      </c>
      <c r="J41" s="19" t="s">
        <v>37</v>
      </c>
      <c r="K41" s="2"/>
      <c r="L41" s="3">
        <f>IF(ISBLANK(M41),"",MAX(L$5:L40)+1)</f>
        <v>15</v>
      </c>
      <c r="M41" s="4" t="s">
        <v>40</v>
      </c>
      <c r="N41" s="2"/>
      <c r="O41" s="5"/>
      <c r="P41" s="5"/>
      <c r="Q41" s="5"/>
      <c r="R41" s="5"/>
    </row>
    <row r="42" spans="2:18">
      <c r="B42" s="33"/>
      <c r="C42" s="2"/>
      <c r="D42" s="2"/>
      <c r="E42" s="2"/>
      <c r="F42" s="2"/>
      <c r="G42" s="2"/>
      <c r="H42" s="2"/>
      <c r="I42" s="2"/>
      <c r="J42" s="2"/>
      <c r="K42" s="2"/>
      <c r="L42" s="3" t="str">
        <f>IF(ISBLANK(M42),"",MAX(L$5:L41)+1)</f>
        <v/>
      </c>
      <c r="M42" s="4"/>
      <c r="N42" s="2"/>
      <c r="O42" s="5"/>
      <c r="P42" s="5"/>
      <c r="Q42" s="5"/>
      <c r="R42" s="5"/>
    </row>
    <row r="43" spans="2:18">
      <c r="B43" s="33" t="s">
        <v>41</v>
      </c>
      <c r="C43" s="2"/>
      <c r="D43" s="2"/>
      <c r="E43" s="2"/>
      <c r="F43" s="2"/>
      <c r="G43" s="2"/>
      <c r="H43" s="2"/>
      <c r="I43" s="2"/>
      <c r="J43" s="2"/>
      <c r="K43" s="2"/>
      <c r="L43" s="3">
        <f>IF(ISBLANK(M43),"",MAX(L$5:L42)+1)</f>
        <v>16</v>
      </c>
      <c r="M43" s="4" t="s">
        <v>116</v>
      </c>
      <c r="N43" s="2"/>
      <c r="O43" s="5"/>
      <c r="P43" s="5"/>
      <c r="Q43" s="5"/>
      <c r="R43" s="5"/>
    </row>
    <row r="44" spans="2:18" outlineLevel="1">
      <c r="B44" s="30" t="s">
        <v>42</v>
      </c>
      <c r="C44" s="2"/>
      <c r="D44" s="2" t="s">
        <v>9</v>
      </c>
      <c r="E44" s="20" t="str">
        <f t="shared" ref="E44:G44" si="8">$B336</f>
        <v>Not Declared</v>
      </c>
      <c r="F44" s="20" t="str">
        <f t="shared" si="8"/>
        <v>Not Declared</v>
      </c>
      <c r="G44" s="20" t="str">
        <f t="shared" si="8"/>
        <v>Not Declared</v>
      </c>
      <c r="H44" s="20" t="str">
        <f>$B336</f>
        <v>Not Declared</v>
      </c>
      <c r="I44" s="19" t="str">
        <f>I45</f>
        <v>na</v>
      </c>
      <c r="J44" s="19" t="str">
        <f>J45</f>
        <v>na</v>
      </c>
      <c r="K44" s="2"/>
      <c r="L44" s="3">
        <f>IF(ISBLANK(M44),"",MAX(L$5:L43)+1)</f>
        <v>17</v>
      </c>
      <c r="M44" s="4" t="s">
        <v>117</v>
      </c>
      <c r="N44" s="2"/>
      <c r="O44" s="5"/>
      <c r="P44" s="5"/>
      <c r="Q44" s="5"/>
      <c r="R44" s="5"/>
    </row>
    <row r="45" spans="2:18" outlineLevel="1">
      <c r="B45" s="30" t="s">
        <v>118</v>
      </c>
      <c r="C45" s="2"/>
      <c r="D45" s="2" t="s">
        <v>12</v>
      </c>
      <c r="E45" s="9">
        <v>0.05</v>
      </c>
      <c r="F45" s="9">
        <v>0.05</v>
      </c>
      <c r="G45" s="9">
        <v>0.05</v>
      </c>
      <c r="H45" s="9">
        <v>0.05</v>
      </c>
      <c r="I45" s="19" t="s">
        <v>37</v>
      </c>
      <c r="J45" s="19" t="s">
        <v>37</v>
      </c>
      <c r="K45" s="2"/>
      <c r="L45" s="3">
        <f>IF(ISBLANK(M45),"",MAX(L$5:L44)+1)</f>
        <v>18</v>
      </c>
      <c r="M45" s="4" t="s">
        <v>119</v>
      </c>
      <c r="N45" s="2"/>
      <c r="O45" s="5"/>
      <c r="P45" s="5"/>
      <c r="Q45" s="5"/>
      <c r="R45" s="5"/>
    </row>
    <row r="46" spans="2:18">
      <c r="B46" s="30"/>
      <c r="C46" s="2"/>
      <c r="D46" s="2"/>
      <c r="E46" s="2"/>
      <c r="F46" s="2"/>
      <c r="G46" s="2"/>
      <c r="H46" s="2"/>
      <c r="I46" s="2"/>
      <c r="J46" s="2"/>
      <c r="K46" s="2"/>
      <c r="L46" s="3" t="str">
        <f>IF(ISBLANK(M46),"",MAX(L$5:L45)+1)</f>
        <v/>
      </c>
      <c r="M46" s="4"/>
      <c r="N46" s="2"/>
      <c r="O46" s="5"/>
      <c r="P46" s="5"/>
      <c r="Q46" s="5"/>
      <c r="R46" s="5"/>
    </row>
    <row r="47" spans="2:18">
      <c r="B47" s="33" t="s">
        <v>43</v>
      </c>
      <c r="C47" s="5"/>
      <c r="D47" s="12"/>
      <c r="E47" s="2"/>
      <c r="F47" s="2"/>
      <c r="G47" s="2"/>
      <c r="H47" s="21"/>
      <c r="I47" s="5"/>
      <c r="J47" s="5"/>
      <c r="K47" s="5"/>
      <c r="L47" s="3">
        <f>IF(ISBLANK(M47),"",MAX(L$5:L46)+1)</f>
        <v>19</v>
      </c>
      <c r="M47" s="4" t="s">
        <v>44</v>
      </c>
      <c r="N47" s="5"/>
      <c r="O47" s="5"/>
      <c r="P47" s="5"/>
    </row>
    <row r="48" spans="2:18" outlineLevel="1">
      <c r="B48" s="30" t="s">
        <v>45</v>
      </c>
      <c r="C48" s="5"/>
      <c r="D48" s="22" t="s">
        <v>5</v>
      </c>
      <c r="E48" s="20">
        <v>1</v>
      </c>
      <c r="F48" s="20">
        <v>1</v>
      </c>
      <c r="G48" s="20">
        <v>1</v>
      </c>
      <c r="H48" s="20">
        <v>1</v>
      </c>
      <c r="I48" s="19" t="s">
        <v>37</v>
      </c>
      <c r="J48" s="19" t="s">
        <v>37</v>
      </c>
      <c r="K48" s="5"/>
      <c r="L48" s="3" t="str">
        <f>IF(ISBLANK(M48),"",MAX(L$5:L47)+1)</f>
        <v/>
      </c>
      <c r="M48" s="4"/>
      <c r="N48" s="5"/>
      <c r="O48" s="5"/>
      <c r="P48" s="5"/>
    </row>
    <row r="49" spans="2:26" outlineLevel="1">
      <c r="B49" s="30" t="s">
        <v>43</v>
      </c>
      <c r="C49" s="16"/>
      <c r="D49" s="2" t="str">
        <f>D$5</f>
        <v>$</v>
      </c>
      <c r="E49" s="16">
        <f>E39*E48</f>
        <v>0</v>
      </c>
      <c r="F49" s="16">
        <f>F39*F48</f>
        <v>0</v>
      </c>
      <c r="G49" s="16">
        <f>G39*G48</f>
        <v>0</v>
      </c>
      <c r="H49" s="16">
        <f>H39*H48</f>
        <v>0</v>
      </c>
      <c r="I49" s="19">
        <v>0</v>
      </c>
      <c r="J49" s="19">
        <v>0</v>
      </c>
      <c r="K49" s="16">
        <f>SUM(E49:J49)</f>
        <v>0</v>
      </c>
      <c r="L49" s="3">
        <f>IF(ISBLANK(M49),"",MAX(L$5:L48)+1)</f>
        <v>20</v>
      </c>
      <c r="M49" s="4" t="s">
        <v>109</v>
      </c>
      <c r="O49" s="5"/>
      <c r="Z49" s="13">
        <f>SUMIFS(E49:H49,E50:H50,"&lt;&gt;"&amp;B329)</f>
        <v>0</v>
      </c>
    </row>
    <row r="50" spans="2:26" outlineLevel="1">
      <c r="B50" s="30" t="s">
        <v>46</v>
      </c>
      <c r="D50" s="2" t="s">
        <v>9</v>
      </c>
      <c r="E50" s="23" t="s">
        <v>47</v>
      </c>
      <c r="F50" s="23" t="s">
        <v>47</v>
      </c>
      <c r="G50" s="23" t="s">
        <v>47</v>
      </c>
      <c r="H50" s="23" t="s">
        <v>47</v>
      </c>
      <c r="I50" s="19" t="s">
        <v>37</v>
      </c>
      <c r="J50" s="19" t="s">
        <v>37</v>
      </c>
      <c r="L50" s="3">
        <f>IF(ISBLANK(M50),"",MAX(L$5:L49)+1)</f>
        <v>21</v>
      </c>
      <c r="M50" s="4" t="s">
        <v>48</v>
      </c>
    </row>
    <row r="51" spans="2:26" outlineLevel="1">
      <c r="B51" s="30" t="s">
        <v>49</v>
      </c>
      <c r="D51" s="2" t="s">
        <v>5</v>
      </c>
      <c r="E51" s="20">
        <v>2</v>
      </c>
      <c r="F51" s="20">
        <v>2</v>
      </c>
      <c r="G51" s="20">
        <v>2</v>
      </c>
      <c r="H51" s="20">
        <v>1</v>
      </c>
      <c r="I51" s="19" t="s">
        <v>37</v>
      </c>
      <c r="J51" s="19" t="s">
        <v>37</v>
      </c>
      <c r="L51" s="3">
        <f>IF(ISBLANK(M51),"",MAX(L$5:L50)+1)</f>
        <v>22</v>
      </c>
      <c r="M51" s="4" t="s">
        <v>50</v>
      </c>
    </row>
    <row r="52" spans="2:26" outlineLevel="1">
      <c r="B52" s="30" t="s">
        <v>51</v>
      </c>
      <c r="C52" s="16"/>
      <c r="D52" s="2" t="str">
        <f>D$5</f>
        <v>$</v>
      </c>
      <c r="E52" s="13">
        <f>IF($E$50=$B$330,E39*E51,0)</f>
        <v>0</v>
      </c>
      <c r="F52" s="13">
        <f>IF($E$50=$B$330,F39*F51,0)</f>
        <v>0</v>
      </c>
      <c r="G52" s="13">
        <f>IF($E$50=$B$330,G39*G51,0)</f>
        <v>0</v>
      </c>
      <c r="H52" s="13">
        <f>IF($E$50=$B$330,H39*H51,0)</f>
        <v>0</v>
      </c>
      <c r="I52" s="13">
        <v>0</v>
      </c>
      <c r="J52" s="13">
        <v>0</v>
      </c>
      <c r="K52" s="16">
        <f>SUM(E52:J52)</f>
        <v>0</v>
      </c>
      <c r="L52" s="3" t="str">
        <f>IF(ISBLANK(M52),"",MAX(L$5:L51)+1)</f>
        <v/>
      </c>
      <c r="N52" s="2"/>
      <c r="O52" s="2"/>
      <c r="P52" s="2"/>
      <c r="Q52" s="5"/>
      <c r="R52" s="5"/>
    </row>
    <row r="53" spans="2:26" outlineLevel="1">
      <c r="B53" s="30" t="s">
        <v>52</v>
      </c>
      <c r="D53" s="2" t="s">
        <v>5</v>
      </c>
      <c r="E53" s="20">
        <v>1</v>
      </c>
      <c r="F53" s="20">
        <v>1</v>
      </c>
      <c r="G53" s="20">
        <v>1</v>
      </c>
      <c r="H53" s="20">
        <v>1</v>
      </c>
      <c r="I53" s="24">
        <v>1</v>
      </c>
      <c r="J53" s="24">
        <v>1</v>
      </c>
      <c r="L53" s="3" t="str">
        <f>IF(ISBLANK(M53),"",MAX(L$5:L52)+1)</f>
        <v/>
      </c>
      <c r="N53" s="2"/>
      <c r="O53" s="2"/>
      <c r="P53" s="2"/>
      <c r="Q53" s="5"/>
      <c r="R53" s="5"/>
    </row>
    <row r="54" spans="2:26">
      <c r="B54" s="30"/>
      <c r="C54" s="2"/>
      <c r="D54" s="2"/>
      <c r="E54" s="2"/>
      <c r="F54" s="2"/>
      <c r="G54" s="2"/>
      <c r="H54" s="2"/>
      <c r="I54" s="2"/>
      <c r="J54" s="2"/>
      <c r="K54" s="2"/>
      <c r="L54" s="3" t="str">
        <f>IF(ISBLANK(M54),"",MAX(L$5:L53)+1)</f>
        <v/>
      </c>
      <c r="N54" s="2"/>
      <c r="O54" s="2"/>
      <c r="P54" s="2"/>
      <c r="Q54" s="5"/>
      <c r="R54" s="5"/>
    </row>
    <row r="55" spans="2:26">
      <c r="B55" s="33" t="s">
        <v>130</v>
      </c>
      <c r="D55" s="52"/>
      <c r="E55" s="19"/>
      <c r="F55" s="19"/>
      <c r="L55" s="3">
        <f>IF(ISBLANK(M55),"",MAX(L$5:L54)+1)</f>
        <v>23</v>
      </c>
      <c r="M55" s="52" t="s">
        <v>160</v>
      </c>
      <c r="O55" s="2"/>
      <c r="P55" s="2"/>
      <c r="Q55" s="5"/>
      <c r="R55" s="5"/>
    </row>
    <row r="56" spans="2:26" outlineLevel="1">
      <c r="B56" s="30" t="s">
        <v>133</v>
      </c>
      <c r="C56" s="19"/>
      <c r="D56" s="2" t="s">
        <v>9</v>
      </c>
      <c r="E56" s="19" t="str">
        <f t="shared" ref="E56:J56" si="9">E13</f>
        <v>C</v>
      </c>
      <c r="F56" s="19" t="str">
        <f t="shared" si="9"/>
        <v>B</v>
      </c>
      <c r="G56" s="19" t="str">
        <f t="shared" si="9"/>
        <v>A</v>
      </c>
      <c r="H56" s="19" t="str">
        <f t="shared" si="9"/>
        <v>Seed</v>
      </c>
      <c r="I56" s="19" t="str">
        <f t="shared" si="9"/>
        <v>Common</v>
      </c>
      <c r="J56" s="19" t="str">
        <f t="shared" si="9"/>
        <v>Options</v>
      </c>
      <c r="K56" s="19" t="s">
        <v>37</v>
      </c>
      <c r="L56" s="3">
        <f>IF(ISBLANK(M56),"",MAX(L$5:L55)+1)</f>
        <v>24</v>
      </c>
      <c r="M56" s="52" t="s">
        <v>137</v>
      </c>
      <c r="O56" s="2"/>
      <c r="P56" s="2"/>
      <c r="Q56" s="5"/>
      <c r="R56" s="5"/>
    </row>
    <row r="57" spans="2:26" outlineLevel="1">
      <c r="B57" s="30" t="s">
        <v>159</v>
      </c>
      <c r="C57" s="19"/>
      <c r="D57" s="2" t="s">
        <v>9</v>
      </c>
      <c r="E57" s="56" t="str">
        <f>E56</f>
        <v>C</v>
      </c>
      <c r="F57" s="56" t="str">
        <f>F56</f>
        <v>B</v>
      </c>
      <c r="G57" s="56" t="str">
        <f>G56</f>
        <v>A</v>
      </c>
      <c r="H57" s="56" t="str">
        <f>H56</f>
        <v>Seed</v>
      </c>
      <c r="I57" s="56" t="str">
        <f>I56</f>
        <v>Common</v>
      </c>
      <c r="J57" s="19" t="str">
        <f>I57</f>
        <v>Common</v>
      </c>
      <c r="K57" s="19" t="s">
        <v>37</v>
      </c>
      <c r="L57" s="3">
        <f>IF(ISBLANK(M57),"",MAX(L$5:L56)+1)</f>
        <v>25</v>
      </c>
      <c r="M57" s="52" t="s">
        <v>139</v>
      </c>
      <c r="O57" s="2"/>
      <c r="P57" s="2"/>
      <c r="Q57" s="5"/>
      <c r="R57" s="5"/>
    </row>
    <row r="58" spans="2:26" outlineLevel="1">
      <c r="B58" s="30"/>
      <c r="C58" s="58"/>
      <c r="D58" s="29"/>
      <c r="E58" s="57"/>
      <c r="F58" s="57"/>
      <c r="G58" s="57"/>
      <c r="H58" s="57"/>
      <c r="I58" s="57"/>
      <c r="J58" s="58"/>
      <c r="K58" s="58"/>
      <c r="L58" s="3"/>
      <c r="M58" s="52"/>
      <c r="O58" s="29"/>
      <c r="P58" s="29"/>
      <c r="Q58" s="30"/>
      <c r="R58" s="30"/>
    </row>
    <row r="59" spans="2:26" outlineLevel="1">
      <c r="B59" s="30" t="s">
        <v>135</v>
      </c>
      <c r="C59" s="16"/>
      <c r="D59" s="2" t="s">
        <v>5</v>
      </c>
      <c r="E59" s="59" cm="1">
        <f t="array" ref="E59">SUMPRODUCT($E24:$J24,--($E57:$J57=E13))</f>
        <v>0</v>
      </c>
      <c r="F59" s="59" cm="1">
        <f t="array" ref="F59">SUMPRODUCT($E24:$J24,--($E57:$J57=F13))</f>
        <v>0</v>
      </c>
      <c r="G59" s="59" cm="1">
        <f t="array" ref="G59">SUMPRODUCT($E24:$J24,--($E57:$J57=G13))</f>
        <v>0</v>
      </c>
      <c r="H59" s="59" cm="1">
        <f t="array" ref="H59">SUMPRODUCT($E24:$J24,--($E57:$J57=H13))</f>
        <v>0</v>
      </c>
      <c r="I59" s="59" cm="1">
        <f t="array" ref="I59">SUMPRODUCT($E24:$J24,--($E57:$J57=I13))</f>
        <v>0</v>
      </c>
      <c r="J59" s="19" cm="1">
        <f t="array" ref="J59">SUMPRODUCT($E24:$J24,--($E57:$J57=J13))</f>
        <v>0</v>
      </c>
      <c r="K59" s="16">
        <f>SUM(E59:J59)</f>
        <v>0</v>
      </c>
      <c r="L59" s="3">
        <f>IF(ISBLANK(M59),"",MAX(L$5:L57)+1)</f>
        <v>26</v>
      </c>
      <c r="M59" s="52" t="s">
        <v>140</v>
      </c>
      <c r="O59" s="2"/>
      <c r="P59" s="2"/>
      <c r="Q59" s="5"/>
      <c r="R59" s="5"/>
    </row>
    <row r="60" spans="2:26" outlineLevel="1">
      <c r="B60" s="30" t="s">
        <v>145</v>
      </c>
      <c r="C60" s="16"/>
      <c r="D60" s="2" t="str">
        <f>D$5</f>
        <v>$</v>
      </c>
      <c r="E60" s="59" cm="1">
        <f t="array" ref="E60">SUMPRODUCT($E39:$J39,--($E57:$J57=E13))</f>
        <v>0</v>
      </c>
      <c r="F60" s="59" cm="1">
        <f t="array" ref="F60">SUMPRODUCT($E39:$J39,--($E57:$J57=F13))</f>
        <v>0</v>
      </c>
      <c r="G60" s="59" cm="1">
        <f t="array" ref="G60">SUMPRODUCT($E39:$J39,--($E57:$J57=G13))</f>
        <v>0</v>
      </c>
      <c r="H60" s="59" cm="1">
        <f t="array" ref="H60">SUMPRODUCT($E39:$J39,--($E57:$J57=H13))</f>
        <v>0</v>
      </c>
      <c r="I60" s="59" cm="1">
        <f t="array" ref="I60">SUMPRODUCT($E39:$J39,--($E57:$J57=I13))</f>
        <v>0</v>
      </c>
      <c r="J60" s="59" cm="1">
        <f t="array" ref="J60">SUMPRODUCT($E39:$J39,--($E57:$J57=J13))</f>
        <v>0</v>
      </c>
      <c r="K60" s="16">
        <f>SUM(E60:J60)</f>
        <v>0</v>
      </c>
      <c r="L60" s="3">
        <f>IF(ISBLANK(M60),"",MAX(L$5:L59)+1)</f>
        <v>27</v>
      </c>
      <c r="M60" s="52" t="s">
        <v>164</v>
      </c>
      <c r="O60" s="2"/>
      <c r="P60" s="2"/>
      <c r="Q60" s="5"/>
      <c r="R60" s="5"/>
    </row>
    <row r="61" spans="2:26" outlineLevel="1">
      <c r="B61" s="30" t="s">
        <v>142</v>
      </c>
      <c r="C61" s="16"/>
      <c r="D61" s="2" t="str">
        <f>D$5</f>
        <v>$</v>
      </c>
      <c r="E61" s="59" cm="1">
        <f t="array" ref="E61">SUMPRODUCT($E49:$J49,--($E57:$J57=E13))</f>
        <v>0</v>
      </c>
      <c r="F61" s="59" cm="1">
        <f t="array" ref="F61">SUMPRODUCT($E49:$J49,--($E57:$J57=F13))</f>
        <v>0</v>
      </c>
      <c r="G61" s="59" cm="1">
        <f t="array" ref="G61">SUMPRODUCT($E49:$J49,--($E57:$J57=G13))</f>
        <v>0</v>
      </c>
      <c r="H61" s="59" cm="1">
        <f t="array" ref="H61">SUMPRODUCT($E49:$J49,--($E57:$J57=H13))</f>
        <v>0</v>
      </c>
      <c r="I61" s="59" cm="1">
        <f t="array" ref="I61">SUMPRODUCT($E49:$J49,--($E57:$J57=I13))</f>
        <v>0</v>
      </c>
      <c r="J61" s="59" cm="1">
        <f t="array" ref="J61">SUMPRODUCT($E49:$J49,--($E57:$J57=J13))</f>
        <v>0</v>
      </c>
      <c r="K61" s="16">
        <f>SUM(E61:J61)</f>
        <v>0</v>
      </c>
      <c r="L61" s="3">
        <f>IF(ISBLANK(M61),"",MAX(L$5:L60)+1)</f>
        <v>28</v>
      </c>
      <c r="M61" s="52" t="s">
        <v>164</v>
      </c>
      <c r="O61" s="2"/>
      <c r="P61" s="2"/>
      <c r="Q61" s="5"/>
      <c r="R61" s="5"/>
    </row>
    <row r="62" spans="2:26" outlineLevel="1">
      <c r="B62" s="30" t="s">
        <v>163</v>
      </c>
      <c r="C62" s="16"/>
      <c r="D62" s="2" t="s">
        <v>9</v>
      </c>
      <c r="E62" s="60" t="str" cm="1">
        <f t="array" ref="E62">INDEX($E50:$J50,0,MATCH(E57,$E56:$J56,0))</f>
        <v>Non Participating Preferred</v>
      </c>
      <c r="F62" s="60" t="str" cm="1">
        <f t="array" ref="F62">INDEX($E50:$J50,0,MATCH(F57,$E56:$J56,0))</f>
        <v>Non Participating Preferred</v>
      </c>
      <c r="G62" s="60" t="str" cm="1">
        <f t="array" ref="G62">INDEX($E50:$J50,0,MATCH(G57,$E56:$J56,0))</f>
        <v>Non Participating Preferred</v>
      </c>
      <c r="H62" s="60" t="str" cm="1">
        <f t="array" ref="H62">INDEX($E50:$J50,0,MATCH(H57,$E56:$J56,0))</f>
        <v>Non Participating Preferred</v>
      </c>
      <c r="I62" s="61" t="str" cm="1">
        <f t="array" ref="I62">INDEX($E50:$J50,0,MATCH(I57,$E56:$J56,0))</f>
        <v>na</v>
      </c>
      <c r="J62" s="61" t="str" cm="1">
        <f t="array" ref="J62">INDEX($E50:$J50,0,MATCH(J57,$E56:$J56,0))</f>
        <v>na</v>
      </c>
      <c r="K62" s="16"/>
      <c r="L62" s="3">
        <f>IF(ISBLANK(M62),"",MAX(L$5:L61)+1)</f>
        <v>29</v>
      </c>
      <c r="M62" s="52" t="s">
        <v>166</v>
      </c>
      <c r="O62" s="2"/>
      <c r="P62" s="2"/>
      <c r="Q62" s="5"/>
      <c r="R62" s="5"/>
    </row>
    <row r="63" spans="2:26" outlineLevel="1">
      <c r="B63" s="30" t="s">
        <v>161</v>
      </c>
      <c r="C63" s="16"/>
      <c r="D63" s="2" t="s">
        <v>5</v>
      </c>
      <c r="E63" s="62" cm="1">
        <f t="array" ref="E63">IFERROR(SUMPRODUCT($E51:$J51,--($E57:$J57=E56),$E24:$J24,--($E50:$J50=E62))/E59,0)</f>
        <v>0</v>
      </c>
      <c r="F63" s="62" cm="1">
        <f t="array" ref="F63">IFERROR(SUMPRODUCT($E51:$J51,--($E57:$J57=F56),$E24:$J24,--($E50:$J50=F62))/F59,0)</f>
        <v>0</v>
      </c>
      <c r="G63" s="62" cm="1">
        <f t="array" ref="G63">IFERROR(SUMPRODUCT($E51:$J51,--($E57:$J57=G56),$E24:$J24,--($E50:$J50=G62))/G59,0)</f>
        <v>0</v>
      </c>
      <c r="H63" s="62" cm="1">
        <f t="array" ref="H63">IFERROR(SUMPRODUCT($E51:$J51,--($E57:$J57=H56),$E24:$J24,--($E50:$J50=H62))/H59,0)</f>
        <v>0</v>
      </c>
      <c r="I63" s="62" cm="1">
        <f t="array" ref="I63">IFERROR(SUMPRODUCT($E51:$J51,--($E57:$J57=I56),$E24:$J24,--($E50:$J50=I62))/I59,0)</f>
        <v>0</v>
      </c>
      <c r="J63" s="62" cm="1">
        <f t="array" ref="J63">IFERROR(SUMPRODUCT($E51:$J51,--($E57:$J57=J56),$E24:$J24,--($E50:$J50=J62))/J59,0)</f>
        <v>0</v>
      </c>
      <c r="K63" s="16"/>
      <c r="L63" s="3">
        <f>IF(ISBLANK(M63),"",MAX(L$5:L62)+1)</f>
        <v>30</v>
      </c>
      <c r="M63" s="52" t="s">
        <v>165</v>
      </c>
      <c r="O63" s="2"/>
      <c r="P63" s="2"/>
      <c r="Q63" s="5"/>
      <c r="R63" s="5"/>
    </row>
    <row r="64" spans="2:26" outlineLevel="1">
      <c r="B64" s="30" t="s">
        <v>162</v>
      </c>
      <c r="C64" s="16"/>
      <c r="D64" s="2" t="s">
        <v>5</v>
      </c>
      <c r="E64" s="62" cm="1">
        <f t="array" ref="E64">IFERROR(SUMPRODUCT($E53:$J53,--($E57:$J57=E56),$E24:$J24)/E59,0)</f>
        <v>0</v>
      </c>
      <c r="F64" s="62" cm="1">
        <f t="array" ref="F64">IFERROR(SUMPRODUCT($E53:$J53,--($E57:$J57=F56),$E24:$J24)/F59,0)</f>
        <v>0</v>
      </c>
      <c r="G64" s="62" cm="1">
        <f t="array" ref="G64">IFERROR(SUMPRODUCT($E53:$J53,--($E57:$J57=G56),$E24:$J24)/G59,0)</f>
        <v>0</v>
      </c>
      <c r="H64" s="62" cm="1">
        <f t="array" ref="H64">IFERROR(SUMPRODUCT($E53:$J53,--($E57:$J57=H56),$E24:$J24)/H59,0)</f>
        <v>0</v>
      </c>
      <c r="I64" s="62" cm="1">
        <f t="array" ref="I64">IFERROR(SUMPRODUCT($E53:$J53,--($E57:$J57=I56),$E24:$J24)/I59,0)</f>
        <v>0</v>
      </c>
      <c r="J64" s="62" cm="1">
        <f t="array" ref="J64">IFERROR(SUMPRODUCT($E53:$J53,--($E57:$J57=J56),$E24:$J24)/J59,0)</f>
        <v>0</v>
      </c>
      <c r="K64" s="16"/>
      <c r="L64" s="3">
        <f>IF(ISBLANK(M64),"",MAX(L$5:L63)+1)</f>
        <v>31</v>
      </c>
      <c r="M64" s="52" t="s">
        <v>168</v>
      </c>
      <c r="O64" s="2"/>
      <c r="P64" s="2"/>
      <c r="Q64" s="5"/>
      <c r="R64" s="5"/>
    </row>
    <row r="65" spans="2:18" outlineLevel="1">
      <c r="B65" s="30" t="str">
        <f>B44&amp;" assumed per Calculation Block"</f>
        <v>Type of Dividends / Interest assumed per Calculation Block</v>
      </c>
      <c r="C65" s="16"/>
      <c r="D65" s="2" t="s">
        <v>9</v>
      </c>
      <c r="E65" s="59" t="str" cm="1">
        <f t="array" ref="E65">INDEX($E44:$J44,0,MATCH(E57,$E56:$J56,0))</f>
        <v>Not Declared</v>
      </c>
      <c r="F65" s="59" t="str" cm="1">
        <f t="array" ref="F65">INDEX($E44:$J44,0,MATCH(F57,$E56:$J56,0))</f>
        <v>Not Declared</v>
      </c>
      <c r="G65" s="59" t="str" cm="1">
        <f t="array" ref="G65">INDEX($E44:$J44,0,MATCH(G57,$E56:$J56,0))</f>
        <v>Not Declared</v>
      </c>
      <c r="H65" s="59" t="str" cm="1">
        <f t="array" ref="H65">INDEX($E44:$J44,0,MATCH(H57,$E56:$J56,0))</f>
        <v>Not Declared</v>
      </c>
      <c r="I65" s="61" t="str" cm="1">
        <f t="array" ref="I65">INDEX($E44:$J44,0,MATCH(I57,$E56:$J56,0))</f>
        <v>na</v>
      </c>
      <c r="J65" s="61" t="str" cm="1">
        <f t="array" ref="J65">INDEX($E44:$J44,0,MATCH(J57,$E56:$J56,0))</f>
        <v>na</v>
      </c>
      <c r="K65" s="16"/>
      <c r="L65" s="3">
        <f>IF(ISBLANK(M65),"",MAX(L$5:L64)+1)</f>
        <v>32</v>
      </c>
      <c r="M65" s="52" t="s">
        <v>167</v>
      </c>
      <c r="O65" s="2"/>
      <c r="P65" s="2"/>
      <c r="Q65" s="5"/>
      <c r="R65" s="5"/>
    </row>
    <row r="66" spans="2:18" outlineLevel="1">
      <c r="B66" s="30" t="str">
        <f>"Average "&amp;B45</f>
        <v>Average Annual or One-Time Dividend or Interest Rate</v>
      </c>
      <c r="C66" s="16"/>
      <c r="D66" s="2" t="s">
        <v>12</v>
      </c>
      <c r="E66" s="63" cm="1">
        <f t="array" ref="E66">IFERROR(SUMPRODUCT($E45:$J45,--($E57:$J57=E56),$E24:$J24)/E59,0)</f>
        <v>0</v>
      </c>
      <c r="F66" s="63" cm="1">
        <f t="array" ref="F66">IFERROR(SUMPRODUCT($E45:$J45,--($E57:$J57=F56),$E24:$J24)/F59,0)</f>
        <v>0</v>
      </c>
      <c r="G66" s="63" cm="1">
        <f t="array" ref="G66">IFERROR(SUMPRODUCT($E45:$J45,--($E57:$J57=G56),$E24:$J24)/G59,0)</f>
        <v>0</v>
      </c>
      <c r="H66" s="63" cm="1">
        <f t="array" ref="H66">IFERROR(SUMPRODUCT($E45:$J45,--($E57:$J57=H56),$E24:$J24)/H59,0)</f>
        <v>0</v>
      </c>
      <c r="I66" s="63" cm="1">
        <f t="array" ref="I66">IFERROR(SUMPRODUCT($E45:$J45,--($E57:$J57=I56),$E24:$J24)/I59,0)</f>
        <v>0</v>
      </c>
      <c r="J66" s="63" cm="1">
        <f t="array" ref="J66">IFERROR(SUMPRODUCT($E45:$J45,--($E57:$J57=J56),$E24:$J24)/J59,0)</f>
        <v>0</v>
      </c>
      <c r="K66" s="16"/>
      <c r="L66" s="3">
        <f>IF(ISBLANK(M66),"",MAX(L$5:L65)+1)</f>
        <v>33</v>
      </c>
      <c r="M66" s="52" t="s">
        <v>169</v>
      </c>
      <c r="O66" s="2"/>
      <c r="P66" s="2"/>
      <c r="Q66" s="5"/>
      <c r="R66" s="5"/>
    </row>
    <row r="67" spans="2:18" outlineLevel="1">
      <c r="B67" s="30" t="s">
        <v>170</v>
      </c>
      <c r="C67" s="16"/>
      <c r="D67" s="2" t="s">
        <v>9</v>
      </c>
      <c r="E67" s="43" t="str" cm="1">
        <f t="array" aca="1" ref="E67" ca="1">IFERROR(IF(SUMPRODUCT($E41:$J41,--($E57:$J57=E56),$E24:$J24)/E59=0,"na",SUMPRODUCT($E41:$J41,--($E57:$J57=E56),$E24:$J24)/E59),"na")</f>
        <v>na</v>
      </c>
      <c r="F67" s="43" t="str" cm="1">
        <f t="array" aca="1" ref="F67" ca="1">IFERROR(IF(SUMPRODUCT($E41:$J41,--($E57:$J57=F56),$E24:$J24)/F59=0,"na",SUMPRODUCT($E41:$J41,--($E57:$J57=F56),$E24:$J24)/F59),"na")</f>
        <v>na</v>
      </c>
      <c r="G67" s="43" t="str" cm="1">
        <f t="array" aca="1" ref="G67" ca="1">IFERROR(IF(SUMPRODUCT($E41:$J41,--($E57:$J57=G56),$E24:$J24)/G59=0,"na",SUMPRODUCT($E41:$J41,--($E57:$J57=G56),$E24:$J24)/G59),"na")</f>
        <v>na</v>
      </c>
      <c r="H67" s="43" t="str" cm="1">
        <f t="array" aca="1" ref="H67" ca="1">IFERROR(IF(SUMPRODUCT($E41:$J41,--($E57:$J57=H56),$E24:$J24)/H59=0,"na",SUMPRODUCT($E41:$J41,--($E57:$J57=H56),$E24:$J24)/H59),"na")</f>
        <v>na</v>
      </c>
      <c r="I67" s="43" t="str" cm="1">
        <f t="array" aca="1" ref="I67" ca="1">IFERROR(IF(SUMPRODUCT($E41:$J41,--($E57:$J57=I56),$E24:$J24)/I59=0,"na",SUMPRODUCT($E41:$J41,--($E57:$J57=I56),$E24:$J24)/I59),"na")</f>
        <v>na</v>
      </c>
      <c r="J67" s="43" t="str" cm="1">
        <f t="array" aca="1" ref="J67" ca="1">IFERROR(IF(SUMPRODUCT($E41:$J41,--($E57:$J57=J56),$E24:$J24)/J59=0,"na",SUMPRODUCT($E41:$J41,--($E57:$J57=J56),$E24:$J24)/J59),"na")</f>
        <v>na</v>
      </c>
      <c r="K67" s="16"/>
      <c r="L67" s="3">
        <f>IF(ISBLANK(M67),"",MAX(L$5:L66)+1)</f>
        <v>34</v>
      </c>
      <c r="M67" s="52" t="s">
        <v>169</v>
      </c>
      <c r="O67" s="2"/>
      <c r="P67" s="2"/>
      <c r="Q67" s="5"/>
      <c r="R67" s="5"/>
    </row>
    <row r="68" spans="2:18" outlineLevel="1">
      <c r="B68" s="30" t="s">
        <v>136</v>
      </c>
      <c r="D68" s="2" t="s">
        <v>9</v>
      </c>
      <c r="E68" s="64" t="str">
        <f t="shared" ref="E68:J68" si="10">E56</f>
        <v>C</v>
      </c>
      <c r="F68" s="64" t="str">
        <f t="shared" si="10"/>
        <v>B</v>
      </c>
      <c r="G68" s="64" t="str">
        <f t="shared" si="10"/>
        <v>A</v>
      </c>
      <c r="H68" s="64" t="str">
        <f t="shared" si="10"/>
        <v>Seed</v>
      </c>
      <c r="I68" s="64" t="str">
        <f t="shared" si="10"/>
        <v>Common</v>
      </c>
      <c r="J68" s="19" t="str">
        <f t="shared" si="10"/>
        <v>Options</v>
      </c>
      <c r="L68" s="3">
        <f>IF(ISBLANK(M68),"",MAX(L$5:L67)+1)</f>
        <v>35</v>
      </c>
      <c r="M68" s="52" t="s">
        <v>138</v>
      </c>
      <c r="O68" s="2"/>
      <c r="P68" s="2"/>
      <c r="Q68" s="5"/>
      <c r="R68" s="5"/>
    </row>
    <row r="69" spans="2:18" outlineLevel="1">
      <c r="B69" s="5"/>
      <c r="D69" s="52"/>
      <c r="L69" s="3" t="str">
        <f>IF(ISBLANK(M69),"",MAX(L$5:L68)+1)</f>
        <v/>
      </c>
      <c r="M69" s="52"/>
      <c r="O69" s="2"/>
      <c r="P69" s="2"/>
      <c r="Q69" s="5"/>
      <c r="R69" s="5"/>
    </row>
    <row r="70" spans="2:18" outlineLevel="1">
      <c r="B70" s="65" t="s">
        <v>144</v>
      </c>
      <c r="D70" s="52"/>
      <c r="L70" s="3">
        <f>IF(ISBLANK(M70),"",MAX(L$5:L69)+1)</f>
        <v>36</v>
      </c>
      <c r="M70" s="52" t="s">
        <v>152</v>
      </c>
      <c r="O70" s="2"/>
      <c r="P70" s="2"/>
      <c r="Q70" s="5"/>
      <c r="R70" s="5"/>
    </row>
    <row r="71" spans="2:18" outlineLevel="1">
      <c r="B71" s="5" t="str">
        <f>E56</f>
        <v>C</v>
      </c>
      <c r="D71" s="53" t="s">
        <v>12</v>
      </c>
      <c r="E71" s="66" cm="1">
        <f t="array" ref="E71">IFERROR(IF(INDEX($E$57:$J$57,0,MATCH($B71,$E$56:$J$56,0))=E$56,SUMPRODUCT($E$24:$J$24,--($E$13:$J$13=$B71)),0)/E$59,0)</f>
        <v>0</v>
      </c>
      <c r="F71" s="66" cm="1">
        <f t="array" ref="F71">IFERROR(IF(INDEX($E$57:$J$57,0,MATCH($B71,$E$56:$J$56,0))=F$56,SUMPRODUCT($E$24:$J$24,--($E$13:$J$13=$B71)),0)/F$59,0)</f>
        <v>0</v>
      </c>
      <c r="G71" s="66" cm="1">
        <f t="array" ref="G71">IFERROR(IF(INDEX($E$57:$J$57,0,MATCH($B71,$E$56:$J$56,0))=G$56,SUMPRODUCT($E$24:$J$24,--($E$13:$J$13=$B71)),0)/G$59,0)</f>
        <v>0</v>
      </c>
      <c r="H71" s="66" cm="1">
        <f t="array" ref="H71">IFERROR(IF(INDEX($E$57:$J$57,0,MATCH($B71,$E$56:$J$56,0))=H$56,SUMPRODUCT($E$24:$J$24,--($E$13:$J$13=$B71)),0)/H$59,0)</f>
        <v>0</v>
      </c>
      <c r="I71" s="66" cm="1">
        <f t="array" ref="I71">IFERROR(IF(INDEX($E$57:$J$57,0,MATCH($B71,$E$56:$J$56,0))=I$56,SUMPRODUCT($E$24:$J$24,--($E$13:$J$13=$B71)),0)/I$59,0)</f>
        <v>0</v>
      </c>
      <c r="J71" s="66" cm="1">
        <f t="array" ref="J71">IFERROR(IF(INDEX($E$57:$J$57,0,MATCH($B71,$E$56:$J$56,0))=J$56,SUMPRODUCT($E$24:$J$24,--($E$13:$J$13=$B71)),0)/J$59,0)</f>
        <v>0</v>
      </c>
      <c r="L71" s="3" t="str">
        <f>IF(ISBLANK(M71),"",MAX(L$5:L70)+1)</f>
        <v/>
      </c>
      <c r="M71" s="52"/>
      <c r="O71" s="2"/>
      <c r="P71" s="2"/>
      <c r="Q71" s="5"/>
      <c r="R71" s="5"/>
    </row>
    <row r="72" spans="2:18" outlineLevel="1">
      <c r="B72" s="5" t="str">
        <f>F56</f>
        <v>B</v>
      </c>
      <c r="D72" s="53" t="s">
        <v>12</v>
      </c>
      <c r="E72" s="66" cm="1">
        <f t="array" ref="E72">IFERROR(IF(INDEX($E$57:$J$57,0,MATCH($B72,$E$56:$J$56,0))=E$56,SUMPRODUCT($E$24:$J$24,--($E$13:$J$13=$B72)),0)/E$59,0)</f>
        <v>0</v>
      </c>
      <c r="F72" s="66" cm="1">
        <f t="array" ref="F72">IFERROR(IF(INDEX($E$57:$J$57,0,MATCH($B72,$E$56:$J$56,0))=F$56,SUMPRODUCT($E$24:$J$24,--($E$13:$J$13=$B72)),0)/F$59,0)</f>
        <v>0</v>
      </c>
      <c r="G72" s="66" cm="1">
        <f t="array" ref="G72">IFERROR(IF(INDEX($E$57:$J$57,0,MATCH($B72,$E$56:$J$56,0))=G$56,SUMPRODUCT($E$24:$J$24,--($E$13:$J$13=$B72)),0)/G$59,0)</f>
        <v>0</v>
      </c>
      <c r="H72" s="66" cm="1">
        <f t="array" ref="H72">IFERROR(IF(INDEX($E$57:$J$57,0,MATCH($B72,$E$56:$J$56,0))=H$56,SUMPRODUCT($E$24:$J$24,--($E$13:$J$13=$B72)),0)/H$59,0)</f>
        <v>0</v>
      </c>
      <c r="I72" s="66" cm="1">
        <f t="array" ref="I72">IFERROR(IF(INDEX($E$57:$J$57,0,MATCH($B72,$E$56:$J$56,0))=I$56,SUMPRODUCT($E$24:$J$24,--($E$13:$J$13=$B72)),0)/I$59,0)</f>
        <v>0</v>
      </c>
      <c r="J72" s="66" cm="1">
        <f t="array" ref="J72">IFERROR(IF(INDEX($E$57:$J$57,0,MATCH($B72,$E$56:$J$56,0))=J$56,SUMPRODUCT($E$24:$J$24,--($E$13:$J$13=$B72)),0)/J$59,0)</f>
        <v>0</v>
      </c>
      <c r="L72" s="3" t="str">
        <f>IF(ISBLANK(M72),"",MAX(L$5:L71)+1)</f>
        <v/>
      </c>
      <c r="M72" s="52"/>
      <c r="O72" s="2"/>
      <c r="P72" s="2"/>
      <c r="Q72" s="5"/>
      <c r="R72" s="5"/>
    </row>
    <row r="73" spans="2:18" outlineLevel="1">
      <c r="B73" s="5" t="str">
        <f>G56</f>
        <v>A</v>
      </c>
      <c r="D73" s="53" t="s">
        <v>12</v>
      </c>
      <c r="E73" s="66" cm="1">
        <f t="array" ref="E73">IFERROR(IF(INDEX($E$57:$J$57,0,MATCH($B73,$E$56:$J$56,0))=E$56,SUMPRODUCT($E$24:$J$24,--($E$13:$J$13=$B73)),0)/E$59,0)</f>
        <v>0</v>
      </c>
      <c r="F73" s="66" cm="1">
        <f t="array" ref="F73">IFERROR(IF(INDEX($E$57:$J$57,0,MATCH($B73,$E$56:$J$56,0))=F$56,SUMPRODUCT($E$24:$J$24,--($E$13:$J$13=$B73)),0)/F$59,0)</f>
        <v>0</v>
      </c>
      <c r="G73" s="66" cm="1">
        <f t="array" ref="G73">IFERROR(IF(INDEX($E$57:$J$57,0,MATCH($B73,$E$56:$J$56,0))=G$56,SUMPRODUCT($E$24:$J$24,--($E$13:$J$13=$B73)),0)/G$59,0)</f>
        <v>0</v>
      </c>
      <c r="H73" s="66" cm="1">
        <f t="array" ref="H73">IFERROR(IF(INDEX($E$57:$J$57,0,MATCH($B73,$E$56:$J$56,0))=H$56,SUMPRODUCT($E$24:$J$24,--($E$13:$J$13=$B73)),0)/H$59,0)</f>
        <v>0</v>
      </c>
      <c r="I73" s="66" cm="1">
        <f t="array" ref="I73">IFERROR(IF(INDEX($E$57:$J$57,0,MATCH($B73,$E$56:$J$56,0))=I$56,SUMPRODUCT($E$24:$J$24,--($E$13:$J$13=$B73)),0)/I$59,0)</f>
        <v>0</v>
      </c>
      <c r="J73" s="66" cm="1">
        <f t="array" ref="J73">IFERROR(IF(INDEX($E$57:$J$57,0,MATCH($B73,$E$56:$J$56,0))=J$56,SUMPRODUCT($E$24:$J$24,--($E$13:$J$13=$B73)),0)/J$59,0)</f>
        <v>0</v>
      </c>
      <c r="L73" s="3" t="str">
        <f>IF(ISBLANK(M73),"",MAX(L$5:L72)+1)</f>
        <v/>
      </c>
      <c r="M73" s="52"/>
      <c r="O73" s="2"/>
      <c r="P73" s="2"/>
      <c r="Q73" s="5"/>
      <c r="R73" s="5"/>
    </row>
    <row r="74" spans="2:18" outlineLevel="1">
      <c r="B74" s="5" t="str">
        <f>H56</f>
        <v>Seed</v>
      </c>
      <c r="D74" s="53" t="s">
        <v>12</v>
      </c>
      <c r="E74" s="66" cm="1">
        <f t="array" ref="E74">IFERROR(IF(INDEX($E$57:$J$57,0,MATCH($B74,$E$56:$J$56,0))=E$56,SUMPRODUCT($E$24:$J$24,--($E$13:$J$13=$B74)),0)/E$59,0)</f>
        <v>0</v>
      </c>
      <c r="F74" s="66" cm="1">
        <f t="array" ref="F74">IFERROR(IF(INDEX($E$57:$J$57,0,MATCH($B74,$E$56:$J$56,0))=F$56,SUMPRODUCT($E$24:$J$24,--($E$13:$J$13=$B74)),0)/F$59,0)</f>
        <v>0</v>
      </c>
      <c r="G74" s="66" cm="1">
        <f t="array" ref="G74">IFERROR(IF(INDEX($E$57:$J$57,0,MATCH($B74,$E$56:$J$56,0))=G$56,SUMPRODUCT($E$24:$J$24,--($E$13:$J$13=$B74)),0)/G$59,0)</f>
        <v>0</v>
      </c>
      <c r="H74" s="66" cm="1">
        <f t="array" ref="H74">IFERROR(IF(INDEX($E$57:$J$57,0,MATCH($B74,$E$56:$J$56,0))=H$56,SUMPRODUCT($E$24:$J$24,--($E$13:$J$13=$B74)),0)/H$59,0)</f>
        <v>0</v>
      </c>
      <c r="I74" s="66" cm="1">
        <f t="array" ref="I74">IFERROR(IF(INDEX($E$57:$J$57,0,MATCH($B74,$E$56:$J$56,0))=I$56,SUMPRODUCT($E$24:$J$24,--($E$13:$J$13=$B74)),0)/I$59,0)</f>
        <v>0</v>
      </c>
      <c r="J74" s="66" cm="1">
        <f t="array" ref="J74">IFERROR(IF(INDEX($E$57:$J$57,0,MATCH($B74,$E$56:$J$56,0))=J$56,SUMPRODUCT($E$24:$J$24,--($E$13:$J$13=$B74)),0)/J$59,0)</f>
        <v>0</v>
      </c>
      <c r="L74" s="3" t="str">
        <f>IF(ISBLANK(M74),"",MAX(L$5:L73)+1)</f>
        <v/>
      </c>
      <c r="M74" s="52"/>
      <c r="O74" s="2"/>
      <c r="P74" s="2"/>
      <c r="Q74" s="5"/>
      <c r="R74" s="5"/>
    </row>
    <row r="75" spans="2:18" outlineLevel="1">
      <c r="B75" s="5" t="str">
        <f>I56</f>
        <v>Common</v>
      </c>
      <c r="D75" s="53" t="s">
        <v>12</v>
      </c>
      <c r="E75" s="66" cm="1">
        <f t="array" ref="E75">IFERROR(IF(INDEX($E$57:$J$57,0,MATCH($B75,$E$56:$J$56,0))=E$56,SUMPRODUCT($E$24:$J$24,--($E$13:$J$13=$B75)),0)/E$59,0)</f>
        <v>0</v>
      </c>
      <c r="F75" s="66" cm="1">
        <f t="array" ref="F75">IFERROR(IF(INDEX($E$57:$J$57,0,MATCH($B75,$E$56:$J$56,0))=F$56,SUMPRODUCT($E$24:$J$24,--($E$13:$J$13=$B75)),0)/F$59,0)</f>
        <v>0</v>
      </c>
      <c r="G75" s="66" cm="1">
        <f t="array" ref="G75">IFERROR(IF(INDEX($E$57:$J$57,0,MATCH($B75,$E$56:$J$56,0))=G$56,SUMPRODUCT($E$24:$J$24,--($E$13:$J$13=$B75)),0)/G$59,0)</f>
        <v>0</v>
      </c>
      <c r="H75" s="66" cm="1">
        <f t="array" ref="H75">IFERROR(IF(INDEX($E$57:$J$57,0,MATCH($B75,$E$56:$J$56,0))=H$56,SUMPRODUCT($E$24:$J$24,--($E$13:$J$13=$B75)),0)/H$59,0)</f>
        <v>0</v>
      </c>
      <c r="I75" s="66" cm="1">
        <f t="array" ref="I75">IFERROR(IF(INDEX($E$57:$J$57,0,MATCH($B75,$E$56:$J$56,0))=I$56,SUMPRODUCT($E$24:$J$24,--($E$13:$J$13=$B75)),0)/I$59,0)</f>
        <v>0</v>
      </c>
      <c r="J75" s="66" cm="1">
        <f t="array" ref="J75">IFERROR(IF(INDEX($E$57:$J$57,0,MATCH($B75,$E$56:$J$56,0))=J$56,SUMPRODUCT($E$24:$J$24,--($E$13:$J$13=$B75)),0)/J$59,0)</f>
        <v>0</v>
      </c>
      <c r="L75" s="3" t="str">
        <f>IF(ISBLANK(M75),"",MAX(L$5:L74)+1)</f>
        <v/>
      </c>
      <c r="M75" s="52"/>
      <c r="O75" s="2"/>
      <c r="P75" s="2"/>
      <c r="Q75" s="5"/>
      <c r="R75" s="5"/>
    </row>
    <row r="76" spans="2:18" outlineLevel="1">
      <c r="B76" s="5" t="str">
        <f>J56</f>
        <v>Options</v>
      </c>
      <c r="D76" s="53" t="s">
        <v>12</v>
      </c>
      <c r="E76" s="66" cm="1">
        <f t="array" ref="E76">IFERROR(IF(INDEX($E$57:$J$57,0,MATCH($B76,$E$56:$J$56,0))=E$56,SUMPRODUCT($E$24:$J$24,--($E$13:$J$13=$B76)),0)/E$59,0)</f>
        <v>0</v>
      </c>
      <c r="F76" s="66" cm="1">
        <f t="array" ref="F76">IFERROR(IF(INDEX($E$57:$J$57,0,MATCH($B76,$E$56:$J$56,0))=F$56,SUMPRODUCT($E$24:$J$24,--($E$13:$J$13=$B76)),0)/F$59,0)</f>
        <v>0</v>
      </c>
      <c r="G76" s="66" cm="1">
        <f t="array" ref="G76">IFERROR(IF(INDEX($E$57:$J$57,0,MATCH($B76,$E$56:$J$56,0))=G$56,SUMPRODUCT($E$24:$J$24,--($E$13:$J$13=$B76)),0)/G$59,0)</f>
        <v>0</v>
      </c>
      <c r="H76" s="66" cm="1">
        <f t="array" ref="H76">IFERROR(IF(INDEX($E$57:$J$57,0,MATCH($B76,$E$56:$J$56,0))=H$56,SUMPRODUCT($E$24:$J$24,--($E$13:$J$13=$B76)),0)/H$59,0)</f>
        <v>0</v>
      </c>
      <c r="I76" s="66" cm="1">
        <f t="array" ref="I76">IFERROR(IF(INDEX($E$57:$J$57,0,MATCH($B76,$E$56:$J$56,0))=I$56,SUMPRODUCT($E$24:$J$24,--($E$13:$J$13=$B76)),0)/I$59,0)</f>
        <v>0</v>
      </c>
      <c r="J76" s="66" cm="1">
        <f t="array" ref="J76">IFERROR(IF(INDEX($E$57:$J$57,0,MATCH($B76,$E$56:$J$56,0))=J$56,SUMPRODUCT($E$24:$J$24,--($E$13:$J$13=$B76)),0)/J$59,0)</f>
        <v>0</v>
      </c>
      <c r="L76" s="3" t="str">
        <f>IF(ISBLANK(M76),"",MAX(L$5:L75)+1)</f>
        <v/>
      </c>
      <c r="M76" s="52"/>
      <c r="O76" s="2"/>
      <c r="P76" s="2"/>
      <c r="Q76" s="5"/>
      <c r="R76" s="5"/>
    </row>
    <row r="77" spans="2:18" outlineLevel="1">
      <c r="B77" s="5" t="s">
        <v>141</v>
      </c>
      <c r="D77" s="53" t="s">
        <v>12</v>
      </c>
      <c r="E77" s="39">
        <f>SUM(E71:E76)</f>
        <v>0</v>
      </c>
      <c r="F77" s="39">
        <f t="shared" ref="F77:J77" si="11">SUM(F71:F76)</f>
        <v>0</v>
      </c>
      <c r="G77" s="39">
        <f t="shared" si="11"/>
        <v>0</v>
      </c>
      <c r="H77" s="39">
        <f t="shared" si="11"/>
        <v>0</v>
      </c>
      <c r="I77" s="39">
        <f t="shared" si="11"/>
        <v>0</v>
      </c>
      <c r="J77" s="39">
        <f t="shared" si="11"/>
        <v>0</v>
      </c>
      <c r="L77" s="3" t="str">
        <f>IF(ISBLANK(M77),"",MAX(L$5:L76)+1)</f>
        <v/>
      </c>
      <c r="M77" s="52"/>
      <c r="O77" s="2"/>
      <c r="P77" s="2"/>
      <c r="Q77" s="5"/>
      <c r="R77" s="5"/>
    </row>
    <row r="78" spans="2:18" outlineLevel="1">
      <c r="B78" s="5"/>
      <c r="D78" s="52"/>
      <c r="L78" s="3" t="str">
        <f>IF(ISBLANK(M78),"",MAX(L$5:L77)+1)</f>
        <v/>
      </c>
      <c r="M78" s="52"/>
      <c r="O78" s="2"/>
      <c r="P78" s="2"/>
      <c r="Q78" s="5"/>
      <c r="R78" s="5"/>
    </row>
    <row r="79" spans="2:18" outlineLevel="1">
      <c r="B79" s="65" t="s">
        <v>143</v>
      </c>
      <c r="D79" s="52"/>
      <c r="L79" s="3">
        <f>IF(ISBLANK(M79),"",MAX(L$5:L78)+1)</f>
        <v>37</v>
      </c>
      <c r="M79" s="52" t="s">
        <v>153</v>
      </c>
      <c r="O79" s="2"/>
      <c r="P79" s="2"/>
      <c r="Q79" s="5"/>
      <c r="R79" s="5"/>
    </row>
    <row r="80" spans="2:18" outlineLevel="1">
      <c r="B80" s="5" t="str">
        <f>E56</f>
        <v>C</v>
      </c>
      <c r="D80" s="53" t="s">
        <v>12</v>
      </c>
      <c r="E80" s="66" cm="1">
        <f t="array" ref="E80">IFERROR(IF(INDEX($E$57:$J$57,0,MATCH($B80,$E$56:$J$56,0))=E$56,SUMPRODUCT($E$49:$J$49,--($E$13:$J$13=$B80)),0)/E$61,0)</f>
        <v>0</v>
      </c>
      <c r="F80" s="66" cm="1">
        <f t="array" ref="F80">IFERROR(IF(INDEX($E$57:$J$57,0,MATCH($B80,$E$56:$J$56,0))=F$56,SUMPRODUCT($E$49:$J$49,--($E$13:$J$13=$B80)),0)/F$61,0)</f>
        <v>0</v>
      </c>
      <c r="G80" s="66" cm="1">
        <f t="array" ref="G80">IFERROR(IF(INDEX($E$57:$J$57,0,MATCH($B80,$E$56:$J$56,0))=G$56,SUMPRODUCT($E$49:$J$49,--($E$13:$J$13=$B80)),0)/G$61,0)</f>
        <v>0</v>
      </c>
      <c r="H80" s="66" cm="1">
        <f t="array" ref="H80">IFERROR(IF(INDEX($E$57:$J$57,0,MATCH($B80,$E$56:$J$56,0))=H$56,SUMPRODUCT($E$49:$J$49,--($E$13:$J$13=$B80)),0)/H$61,0)</f>
        <v>0</v>
      </c>
      <c r="I80" s="66" cm="1">
        <f t="array" ref="I80">IFERROR(IF(INDEX($E$57:$J$57,0,MATCH($B80,$E$56:$J$56,0))=I$56,SUMPRODUCT($E$49:$J$49,--($E$13:$J$13=$B80)),0)/I$61,0)</f>
        <v>0</v>
      </c>
      <c r="J80" s="66" cm="1">
        <f t="array" ref="J80">IFERROR(IF(INDEX($E$57:$J$57,0,MATCH($B80,$E$56:$J$56,0))=J$56,SUMPRODUCT($E$49:$J$49,--($E$13:$J$13=$B80)),0)/J$61,0)</f>
        <v>0</v>
      </c>
      <c r="L80" s="3" t="str">
        <f>IF(ISBLANK(M80),"",MAX(L$5:L79)+1)</f>
        <v/>
      </c>
      <c r="M80" s="52"/>
      <c r="O80" s="2"/>
      <c r="P80" s="2"/>
      <c r="Q80" s="5"/>
      <c r="R80" s="5"/>
    </row>
    <row r="81" spans="2:18" outlineLevel="1">
      <c r="B81" s="5" t="str">
        <f>F56</f>
        <v>B</v>
      </c>
      <c r="D81" s="53" t="s">
        <v>12</v>
      </c>
      <c r="E81" s="66" cm="1">
        <f t="array" ref="E81">IFERROR(IF(INDEX($E$57:$J$57,0,MATCH($B81,$E$56:$J$56,0))=E$56,SUMPRODUCT($E$49:$J$49,--($E$13:$J$13=$B81)),0)/E$61,0)</f>
        <v>0</v>
      </c>
      <c r="F81" s="66" cm="1">
        <f t="array" ref="F81">IFERROR(IF(INDEX($E$57:$J$57,0,MATCH($B81,$E$56:$J$56,0))=F$56,SUMPRODUCT($E$49:$J$49,--($E$13:$J$13=$B81)),0)/F$61,0)</f>
        <v>0</v>
      </c>
      <c r="G81" s="66" cm="1">
        <f t="array" ref="G81">IFERROR(IF(INDEX($E$57:$J$57,0,MATCH($B81,$E$56:$J$56,0))=G$56,SUMPRODUCT($E$49:$J$49,--($E$13:$J$13=$B81)),0)/G$61,0)</f>
        <v>0</v>
      </c>
      <c r="H81" s="66" cm="1">
        <f t="array" ref="H81">IFERROR(IF(INDEX($E$57:$J$57,0,MATCH($B81,$E$56:$J$56,0))=H$56,SUMPRODUCT($E$49:$J$49,--($E$13:$J$13=$B81)),0)/H$61,0)</f>
        <v>0</v>
      </c>
      <c r="I81" s="66" cm="1">
        <f t="array" ref="I81">IFERROR(IF(INDEX($E$57:$J$57,0,MATCH($B81,$E$56:$J$56,0))=I$56,SUMPRODUCT($E$49:$J$49,--($E$13:$J$13=$B81)),0)/I$61,0)</f>
        <v>0</v>
      </c>
      <c r="J81" s="66" cm="1">
        <f t="array" ref="J81">IFERROR(IF(INDEX($E$57:$J$57,0,MATCH($B81,$E$56:$J$56,0))=J$56,SUMPRODUCT($E$49:$J$49,--($E$13:$J$13=$B81)),0)/J$61,0)</f>
        <v>0</v>
      </c>
      <c r="L81" s="3" t="str">
        <f>IF(ISBLANK(M81),"",MAX(L$5:L80)+1)</f>
        <v/>
      </c>
      <c r="M81" s="52"/>
      <c r="O81" s="2"/>
      <c r="P81" s="2"/>
      <c r="Q81" s="5"/>
      <c r="R81" s="5"/>
    </row>
    <row r="82" spans="2:18" outlineLevel="1">
      <c r="B82" s="5" t="str">
        <f>G56</f>
        <v>A</v>
      </c>
      <c r="D82" s="53" t="s">
        <v>12</v>
      </c>
      <c r="E82" s="66" cm="1">
        <f t="array" ref="E82">IFERROR(IF(INDEX($E$57:$J$57,0,MATCH($B82,$E$56:$J$56,0))=E$56,SUMPRODUCT($E$49:$J$49,--($E$13:$J$13=$B82)),0)/E$61,0)</f>
        <v>0</v>
      </c>
      <c r="F82" s="66" cm="1">
        <f t="array" ref="F82">IFERROR(IF(INDEX($E$57:$J$57,0,MATCH($B82,$E$56:$J$56,0))=F$56,SUMPRODUCT($E$49:$J$49,--($E$13:$J$13=$B82)),0)/F$61,0)</f>
        <v>0</v>
      </c>
      <c r="G82" s="66" cm="1">
        <f t="array" ref="G82">IFERROR(IF(INDEX($E$57:$J$57,0,MATCH($B82,$E$56:$J$56,0))=G$56,SUMPRODUCT($E$49:$J$49,--($E$13:$J$13=$B82)),0)/G$61,0)</f>
        <v>0</v>
      </c>
      <c r="H82" s="66" cm="1">
        <f t="array" ref="H82">IFERROR(IF(INDEX($E$57:$J$57,0,MATCH($B82,$E$56:$J$56,0))=H$56,SUMPRODUCT($E$49:$J$49,--($E$13:$J$13=$B82)),0)/H$61,0)</f>
        <v>0</v>
      </c>
      <c r="I82" s="66" cm="1">
        <f t="array" ref="I82">IFERROR(IF(INDEX($E$57:$J$57,0,MATCH($B82,$E$56:$J$56,0))=I$56,SUMPRODUCT($E$49:$J$49,--($E$13:$J$13=$B82)),0)/I$61,0)</f>
        <v>0</v>
      </c>
      <c r="J82" s="66" cm="1">
        <f t="array" ref="J82">IFERROR(IF(INDEX($E$57:$J$57,0,MATCH($B82,$E$56:$J$56,0))=J$56,SUMPRODUCT($E$49:$J$49,--($E$13:$J$13=$B82)),0)/J$61,0)</f>
        <v>0</v>
      </c>
      <c r="L82" s="3" t="str">
        <f>IF(ISBLANK(M82),"",MAX(L$5:L81)+1)</f>
        <v/>
      </c>
      <c r="M82" s="52"/>
      <c r="O82" s="2"/>
      <c r="P82" s="2"/>
      <c r="Q82" s="5"/>
      <c r="R82" s="5"/>
    </row>
    <row r="83" spans="2:18" outlineLevel="1">
      <c r="B83" s="5" t="str">
        <f>H56</f>
        <v>Seed</v>
      </c>
      <c r="D83" s="53" t="s">
        <v>12</v>
      </c>
      <c r="E83" s="66" cm="1">
        <f t="array" ref="E83">IFERROR(IF(INDEX($E$57:$J$57,0,MATCH($B83,$E$56:$J$56,0))=E$56,SUMPRODUCT($E$49:$J$49,--($E$13:$J$13=$B83)),0)/E$61,0)</f>
        <v>0</v>
      </c>
      <c r="F83" s="66" cm="1">
        <f t="array" ref="F83">IFERROR(IF(INDEX($E$57:$J$57,0,MATCH($B83,$E$56:$J$56,0))=F$56,SUMPRODUCT($E$49:$J$49,--($E$13:$J$13=$B83)),0)/F$61,0)</f>
        <v>0</v>
      </c>
      <c r="G83" s="66" cm="1">
        <f t="array" ref="G83">IFERROR(IF(INDEX($E$57:$J$57,0,MATCH($B83,$E$56:$J$56,0))=G$56,SUMPRODUCT($E$49:$J$49,--($E$13:$J$13=$B83)),0)/G$61,0)</f>
        <v>0</v>
      </c>
      <c r="H83" s="66" cm="1">
        <f t="array" ref="H83">IFERROR(IF(INDEX($E$57:$J$57,0,MATCH($B83,$E$56:$J$56,0))=H$56,SUMPRODUCT($E$49:$J$49,--($E$13:$J$13=$B83)),0)/H$61,0)</f>
        <v>0</v>
      </c>
      <c r="I83" s="66" cm="1">
        <f t="array" ref="I83">IFERROR(IF(INDEX($E$57:$J$57,0,MATCH($B83,$E$56:$J$56,0))=I$56,SUMPRODUCT($E$49:$J$49,--($E$13:$J$13=$B83)),0)/I$61,0)</f>
        <v>0</v>
      </c>
      <c r="J83" s="66" cm="1">
        <f t="array" ref="J83">IFERROR(IF(INDEX($E$57:$J$57,0,MATCH($B83,$E$56:$J$56,0))=J$56,SUMPRODUCT($E$49:$J$49,--($E$13:$J$13=$B83)),0)/J$61,0)</f>
        <v>0</v>
      </c>
      <c r="L83" s="3" t="str">
        <f>IF(ISBLANK(M83),"",MAX(L$5:L82)+1)</f>
        <v/>
      </c>
      <c r="M83" s="52"/>
      <c r="O83" s="2"/>
      <c r="P83" s="2"/>
      <c r="Q83" s="5"/>
      <c r="R83" s="5"/>
    </row>
    <row r="84" spans="2:18" outlineLevel="1">
      <c r="B84" s="5" t="str">
        <f>I56</f>
        <v>Common</v>
      </c>
      <c r="D84" s="53" t="s">
        <v>12</v>
      </c>
      <c r="E84" s="66" cm="1">
        <f t="array" ref="E84">IFERROR(IF(INDEX($E$57:$J$57,0,MATCH($B84,$E$56:$J$56,0))=E$56,SUMPRODUCT($E$49:$J$49,--($E$13:$J$13=$B84)),0)/E$61,0)</f>
        <v>0</v>
      </c>
      <c r="F84" s="66" cm="1">
        <f t="array" ref="F84">IFERROR(IF(INDEX($E$57:$J$57,0,MATCH($B84,$E$56:$J$56,0))=F$56,SUMPRODUCT($E$49:$J$49,--($E$13:$J$13=$B84)),0)/F$61,0)</f>
        <v>0</v>
      </c>
      <c r="G84" s="66" cm="1">
        <f t="array" ref="G84">IFERROR(IF(INDEX($E$57:$J$57,0,MATCH($B84,$E$56:$J$56,0))=G$56,SUMPRODUCT($E$49:$J$49,--($E$13:$J$13=$B84)),0)/G$61,0)</f>
        <v>0</v>
      </c>
      <c r="H84" s="66" cm="1">
        <f t="array" ref="H84">IFERROR(IF(INDEX($E$57:$J$57,0,MATCH($B84,$E$56:$J$56,0))=H$56,SUMPRODUCT($E$49:$J$49,--($E$13:$J$13=$B84)),0)/H$61,0)</f>
        <v>0</v>
      </c>
      <c r="I84" s="66" cm="1">
        <f t="array" ref="I84">IFERROR(IF(INDEX($E$57:$J$57,0,MATCH($B84,$E$56:$J$56,0))=I$56,SUMPRODUCT($E$49:$J$49,--($E$13:$J$13=$B84)),0)/I$61,0)</f>
        <v>0</v>
      </c>
      <c r="J84" s="66" cm="1">
        <f t="array" ref="J84">IFERROR(IF(INDEX($E$57:$J$57,0,MATCH($B84,$E$56:$J$56,0))=J$56,SUMPRODUCT($E$49:$J$49,--($E$13:$J$13=$B84)),0)/J$61,0)</f>
        <v>0</v>
      </c>
      <c r="L84" s="3" t="str">
        <f>IF(ISBLANK(M84),"",MAX(L$5:L83)+1)</f>
        <v/>
      </c>
      <c r="M84" s="52"/>
      <c r="O84" s="2"/>
      <c r="P84" s="2"/>
      <c r="Q84" s="5"/>
      <c r="R84" s="5"/>
    </row>
    <row r="85" spans="2:18" outlineLevel="1">
      <c r="B85" s="5" t="str">
        <f>J56</f>
        <v>Options</v>
      </c>
      <c r="D85" s="53" t="s">
        <v>12</v>
      </c>
      <c r="E85" s="66" cm="1">
        <f t="array" ref="E85">IFERROR(IF(INDEX($E$57:$J$57,0,MATCH($B85,$E$56:$J$56,0))=E$56,SUMPRODUCT($E$49:$J$49,--($E$13:$J$13=$B85)),0)/E$61,0)</f>
        <v>0</v>
      </c>
      <c r="F85" s="66" cm="1">
        <f t="array" ref="F85">IFERROR(IF(INDEX($E$57:$J$57,0,MATCH($B85,$E$56:$J$56,0))=F$56,SUMPRODUCT($E$49:$J$49,--($E$13:$J$13=$B85)),0)/F$61,0)</f>
        <v>0</v>
      </c>
      <c r="G85" s="66" cm="1">
        <f t="array" ref="G85">IFERROR(IF(INDEX($E$57:$J$57,0,MATCH($B85,$E$56:$J$56,0))=G$56,SUMPRODUCT($E$49:$J$49,--($E$13:$J$13=$B85)),0)/G$61,0)</f>
        <v>0</v>
      </c>
      <c r="H85" s="66" cm="1">
        <f t="array" ref="H85">IFERROR(IF(INDEX($E$57:$J$57,0,MATCH($B85,$E$56:$J$56,0))=H$56,SUMPRODUCT($E$49:$J$49,--($E$13:$J$13=$B85)),0)/H$61,0)</f>
        <v>0</v>
      </c>
      <c r="I85" s="66" cm="1">
        <f t="array" ref="I85">IFERROR(IF(INDEX($E$57:$J$57,0,MATCH($B85,$E$56:$J$56,0))=I$56,SUMPRODUCT($E$49:$J$49,--($E$13:$J$13=$B85)),0)/I$61,0)</f>
        <v>0</v>
      </c>
      <c r="J85" s="66" cm="1">
        <f t="array" ref="J85">IFERROR(IF(INDEX($E$57:$J$57,0,MATCH($B85,$E$56:$J$56,0))=J$56,SUMPRODUCT($E$49:$J$49,--($E$13:$J$13=$B85)),0)/J$61,0)</f>
        <v>0</v>
      </c>
      <c r="L85" s="3" t="str">
        <f>IF(ISBLANK(M85),"",MAX(L$5:L84)+1)</f>
        <v/>
      </c>
      <c r="M85" s="52"/>
      <c r="O85" s="2"/>
      <c r="P85" s="2"/>
      <c r="Q85" s="5"/>
      <c r="R85" s="5"/>
    </row>
    <row r="86" spans="2:18" outlineLevel="1">
      <c r="B86" s="5" t="s">
        <v>141</v>
      </c>
      <c r="D86" s="53" t="s">
        <v>12</v>
      </c>
      <c r="E86" s="39">
        <f>SUM(E80:E85)</f>
        <v>0</v>
      </c>
      <c r="F86" s="39">
        <f t="shared" ref="F86:J86" si="12">SUM(F80:F85)</f>
        <v>0</v>
      </c>
      <c r="G86" s="39">
        <f t="shared" si="12"/>
        <v>0</v>
      </c>
      <c r="H86" s="39">
        <f t="shared" si="12"/>
        <v>0</v>
      </c>
      <c r="I86" s="39">
        <f t="shared" si="12"/>
        <v>0</v>
      </c>
      <c r="J86" s="39">
        <f t="shared" si="12"/>
        <v>0</v>
      </c>
      <c r="L86" s="3" t="str">
        <f>IF(ISBLANK(M86),"",MAX(L$5:L85)+1)</f>
        <v/>
      </c>
      <c r="M86" s="52"/>
      <c r="O86" s="2"/>
      <c r="P86" s="2"/>
      <c r="Q86" s="5"/>
      <c r="R86" s="5"/>
    </row>
    <row r="87" spans="2:18" outlineLevel="1">
      <c r="B87" s="5"/>
      <c r="D87" s="52"/>
      <c r="L87" s="3" t="str">
        <f>IF(ISBLANK(M87),"",MAX(L$5:L86)+1)</f>
        <v/>
      </c>
      <c r="M87" s="52"/>
      <c r="O87" s="2"/>
      <c r="P87" s="2"/>
      <c r="Q87" s="5"/>
      <c r="R87" s="5"/>
    </row>
    <row r="88" spans="2:18">
      <c r="B88" s="5"/>
      <c r="D88" s="52"/>
      <c r="L88" s="3" t="str">
        <f>IF(ISBLANK(M88),"",MAX(L$5:L87)+1)</f>
        <v/>
      </c>
      <c r="M88" s="52"/>
      <c r="O88" s="2"/>
      <c r="P88" s="2"/>
      <c r="Q88" s="5"/>
      <c r="R88" s="5"/>
    </row>
    <row r="89" spans="2:18">
      <c r="B89" s="28" t="s">
        <v>53</v>
      </c>
      <c r="C89" s="29"/>
      <c r="D89" s="2"/>
      <c r="E89" s="29"/>
      <c r="F89" s="29"/>
      <c r="G89" s="29"/>
      <c r="H89" s="29"/>
      <c r="I89" s="29"/>
      <c r="J89" s="29"/>
      <c r="K89" s="29"/>
      <c r="L89" s="3" t="str">
        <f>IF(ISBLANK(M89),"",MAX(L$5:L88)+1)</f>
        <v/>
      </c>
      <c r="M89" s="4"/>
      <c r="N89" s="2"/>
      <c r="O89" s="5"/>
      <c r="P89" s="5"/>
      <c r="Q89" s="5"/>
      <c r="R89" s="5"/>
    </row>
    <row r="90" spans="2:18">
      <c r="C90" s="25"/>
      <c r="E90" s="25"/>
      <c r="F90" s="25"/>
      <c r="G90" s="25"/>
      <c r="H90" s="25"/>
      <c r="I90" s="25"/>
      <c r="J90" s="25"/>
      <c r="K90" s="25"/>
      <c r="L90" s="3" t="str">
        <f>IF(ISBLANK(M90),"",MAX(L$5:L89)+1)</f>
        <v/>
      </c>
      <c r="M90" s="4"/>
      <c r="N90" s="2"/>
      <c r="O90" s="5"/>
      <c r="P90" s="5"/>
    </row>
    <row r="91" spans="2:18">
      <c r="B91" s="5" t="s">
        <v>1</v>
      </c>
      <c r="C91" s="67"/>
      <c r="D91" s="26" t="str">
        <f>D$5</f>
        <v>$</v>
      </c>
      <c r="E91" s="67">
        <f>F91*(1-$E7)</f>
        <v>6250</v>
      </c>
      <c r="F91" s="67">
        <f>G91*(1-$E7)</f>
        <v>12500</v>
      </c>
      <c r="G91" s="67">
        <f>H91*(1-$E7)</f>
        <v>25000</v>
      </c>
      <c r="H91" s="67">
        <f>E5</f>
        <v>50000</v>
      </c>
      <c r="I91" s="67">
        <f>H91*(1+$E7)</f>
        <v>75000</v>
      </c>
      <c r="J91" s="67">
        <f>I91*(1+$E7)</f>
        <v>112500</v>
      </c>
      <c r="K91" s="67">
        <f>J91*(1+$E7)</f>
        <v>168750</v>
      </c>
      <c r="L91" s="3">
        <f>IF(ISBLANK(M91),"",MAX(L$5:L90)+1)</f>
        <v>38</v>
      </c>
      <c r="M91" s="4" t="s">
        <v>120</v>
      </c>
      <c r="N91" s="2"/>
      <c r="O91" s="5"/>
      <c r="P91" s="5"/>
    </row>
    <row r="92" spans="2:18">
      <c r="B92" s="5" t="s">
        <v>121</v>
      </c>
      <c r="C92" s="67"/>
      <c r="D92" s="26" t="str">
        <f>D$5</f>
        <v>$</v>
      </c>
      <c r="E92" s="25">
        <f>E237</f>
        <v>0</v>
      </c>
      <c r="F92" s="25">
        <f t="shared" ref="F92:K92" si="13">F237</f>
        <v>0</v>
      </c>
      <c r="G92" s="25">
        <f t="shared" si="13"/>
        <v>0</v>
      </c>
      <c r="H92" s="25">
        <f t="shared" si="13"/>
        <v>0</v>
      </c>
      <c r="I92" s="25">
        <f t="shared" si="13"/>
        <v>0</v>
      </c>
      <c r="J92" s="25">
        <f t="shared" si="13"/>
        <v>0</v>
      </c>
      <c r="K92" s="25">
        <f t="shared" si="13"/>
        <v>0</v>
      </c>
      <c r="L92" s="3">
        <f>IF(ISBLANK(M92),"",MAX(L$5:L91)+1)</f>
        <v>39</v>
      </c>
      <c r="M92" s="4" t="s">
        <v>122</v>
      </c>
      <c r="N92" s="2"/>
      <c r="O92" s="5"/>
      <c r="P92" s="5"/>
    </row>
    <row r="93" spans="2:18">
      <c r="B93" s="5" t="s">
        <v>123</v>
      </c>
      <c r="C93" s="67"/>
      <c r="D93" s="26" t="str">
        <f>D$5</f>
        <v>$</v>
      </c>
      <c r="E93" s="7">
        <v>0</v>
      </c>
      <c r="F93" s="7">
        <f>E93</f>
        <v>0</v>
      </c>
      <c r="G93" s="7">
        <f t="shared" ref="G93:K93" si="14">F93</f>
        <v>0</v>
      </c>
      <c r="H93" s="7">
        <f t="shared" si="14"/>
        <v>0</v>
      </c>
      <c r="I93" s="7">
        <f t="shared" si="14"/>
        <v>0</v>
      </c>
      <c r="J93" s="7">
        <f t="shared" si="14"/>
        <v>0</v>
      </c>
      <c r="K93" s="7">
        <f t="shared" si="14"/>
        <v>0</v>
      </c>
      <c r="L93" s="3">
        <f>IF(ISBLANK(M93),"",MAX(L$5:L92)+1)</f>
        <v>40</v>
      </c>
      <c r="M93" s="4" t="s">
        <v>124</v>
      </c>
      <c r="N93" s="2"/>
      <c r="O93" s="5"/>
      <c r="P93" s="5"/>
    </row>
    <row r="94" spans="2:18">
      <c r="B94" s="5" t="s">
        <v>4</v>
      </c>
      <c r="C94" s="67"/>
      <c r="D94" s="26" t="str">
        <f>D$5</f>
        <v>$</v>
      </c>
      <c r="E94" s="40">
        <f>MAX(0,E91-ABS(E92)-ABS(E93))</f>
        <v>6250</v>
      </c>
      <c r="F94" s="40">
        <f t="shared" ref="F94:K94" si="15">MAX(0,F91-ABS(F92)-ABS(F93))</f>
        <v>12500</v>
      </c>
      <c r="G94" s="40">
        <f t="shared" si="15"/>
        <v>25000</v>
      </c>
      <c r="H94" s="40">
        <f t="shared" si="15"/>
        <v>50000</v>
      </c>
      <c r="I94" s="40">
        <f t="shared" si="15"/>
        <v>75000</v>
      </c>
      <c r="J94" s="40">
        <f t="shared" si="15"/>
        <v>112500</v>
      </c>
      <c r="K94" s="40">
        <f t="shared" si="15"/>
        <v>168750</v>
      </c>
      <c r="L94" s="3">
        <f>IF(ISBLANK(M94),"",MAX(L$5:L93)+1)</f>
        <v>41</v>
      </c>
      <c r="M94" s="4" t="s">
        <v>54</v>
      </c>
      <c r="N94" s="2"/>
      <c r="O94" s="5"/>
      <c r="P94" s="5"/>
    </row>
    <row r="95" spans="2:18">
      <c r="B95" s="5" t="s">
        <v>32</v>
      </c>
      <c r="C95" s="67"/>
      <c r="D95" s="53" t="s">
        <v>5</v>
      </c>
      <c r="E95" s="59">
        <f>$K24</f>
        <v>0</v>
      </c>
      <c r="F95" s="59">
        <f>$K24</f>
        <v>0</v>
      </c>
      <c r="G95" s="59">
        <f>$K24</f>
        <v>0</v>
      </c>
      <c r="H95" s="59">
        <f>$K24</f>
        <v>0</v>
      </c>
      <c r="I95" s="59">
        <f>$K24</f>
        <v>0</v>
      </c>
      <c r="J95" s="59">
        <f>$K24</f>
        <v>0</v>
      </c>
      <c r="K95" s="59">
        <f>$K24</f>
        <v>0</v>
      </c>
      <c r="L95" s="3">
        <f>IF(ISBLANK(M95),"",MAX(L$5:L94)+1)</f>
        <v>42</v>
      </c>
      <c r="M95" s="4" t="s">
        <v>55</v>
      </c>
      <c r="N95" s="2"/>
      <c r="O95" s="5"/>
      <c r="P95" s="5"/>
    </row>
    <row r="96" spans="2:18">
      <c r="B96" s="5" t="s">
        <v>221</v>
      </c>
      <c r="C96" s="67"/>
      <c r="D96" s="26" t="s">
        <v>12</v>
      </c>
      <c r="E96" s="9" cm="1">
        <f t="array" ref="E96">IF($E8="yes",IFERROR(SUMPRODUCT($J14:$J22,--($C14:$C22&lt;E100))/SUMPRODUCT($J14:$J22,--($C14:$C22&gt;0)),1),0)</f>
        <v>0</v>
      </c>
      <c r="F96" s="9" cm="1">
        <f t="array" ref="F96">IF($E8="yes",IFERROR(SUMPRODUCT($J14:$J22,--($C14:$C22&lt;F100))/SUMPRODUCT($J14:$J22,--($C14:$C22&gt;0)),1),0)</f>
        <v>0</v>
      </c>
      <c r="G96" s="9" cm="1">
        <f t="array" ref="G96">IF($E8="yes",IFERROR(SUMPRODUCT($J14:$J22,--($C14:$C22&lt;G100))/SUMPRODUCT($J14:$J22,--($C14:$C22&gt;0)),1),0)</f>
        <v>0</v>
      </c>
      <c r="H96" s="9" cm="1">
        <f t="array" ref="H96">IF($E8="yes",IFERROR(SUMPRODUCT($J14:$J22,--($C14:$C22&lt;H100))/SUMPRODUCT($J14:$J22,--($C14:$C22&gt;0)),1),0)</f>
        <v>0</v>
      </c>
      <c r="I96" s="9" cm="1">
        <f t="array" ref="I96">IF($E8="yes",IFERROR(SUMPRODUCT($J14:$J22,--($C14:$C22&lt;I100))/SUMPRODUCT($J14:$J22,--($C14:$C22&gt;0)),1),0)</f>
        <v>0</v>
      </c>
      <c r="J96" s="9" cm="1">
        <f t="array" ref="J96">IF($E8="yes",IFERROR(SUMPRODUCT($J14:$J22,--($C14:$C22&lt;J100))/SUMPRODUCT($J14:$J22,--($C14:$C22&gt;0)),1),0)</f>
        <v>0</v>
      </c>
      <c r="K96" s="9" cm="1">
        <f t="array" ref="K96">IF($E8="yes",IFERROR(SUMPRODUCT($J14:$J22,--($C14:$C22&lt;K100))/SUMPRODUCT($J14:$J22,--($C14:$C22&gt;0)),1),0)</f>
        <v>0</v>
      </c>
      <c r="L96" s="3">
        <f>IF(ISBLANK(M96),"",MAX(L$5:L95)+1)</f>
        <v>43</v>
      </c>
      <c r="M96" s="4" t="s">
        <v>226</v>
      </c>
      <c r="N96" s="2"/>
      <c r="O96" s="5"/>
      <c r="P96" s="5"/>
    </row>
    <row r="97" spans="2:16">
      <c r="B97" s="5" t="s">
        <v>227</v>
      </c>
      <c r="C97" s="67"/>
      <c r="D97" s="53" t="s">
        <v>5</v>
      </c>
      <c r="E97" s="86">
        <f>$J24*(1-E96)</f>
        <v>0</v>
      </c>
      <c r="F97" s="86">
        <f t="shared" ref="F97:K97" si="16">$J24*(1-F96)</f>
        <v>0</v>
      </c>
      <c r="G97" s="86">
        <f t="shared" si="16"/>
        <v>0</v>
      </c>
      <c r="H97" s="86">
        <f t="shared" si="16"/>
        <v>0</v>
      </c>
      <c r="I97" s="86">
        <f t="shared" si="16"/>
        <v>0</v>
      </c>
      <c r="J97" s="86">
        <f t="shared" si="16"/>
        <v>0</v>
      </c>
      <c r="K97" s="86">
        <f t="shared" si="16"/>
        <v>0</v>
      </c>
      <c r="L97" s="3">
        <f>IF(ISBLANK(M97),"",MAX(L$5:L96)+1)</f>
        <v>44</v>
      </c>
      <c r="M97" s="4" t="s">
        <v>226</v>
      </c>
      <c r="N97" s="2"/>
      <c r="O97" s="5"/>
      <c r="P97" s="5"/>
    </row>
    <row r="98" spans="2:16">
      <c r="B98" s="5" t="s">
        <v>32</v>
      </c>
      <c r="C98" s="67"/>
      <c r="D98" s="53" t="s">
        <v>5</v>
      </c>
      <c r="E98" s="59">
        <f>E95-E97</f>
        <v>0</v>
      </c>
      <c r="F98" s="59">
        <f t="shared" ref="F98:K98" si="17">F95-F97</f>
        <v>0</v>
      </c>
      <c r="G98" s="59">
        <f t="shared" si="17"/>
        <v>0</v>
      </c>
      <c r="H98" s="59">
        <f t="shared" si="17"/>
        <v>0</v>
      </c>
      <c r="I98" s="59">
        <f t="shared" si="17"/>
        <v>0</v>
      </c>
      <c r="J98" s="59">
        <f t="shared" si="17"/>
        <v>0</v>
      </c>
      <c r="K98" s="59">
        <f t="shared" si="17"/>
        <v>0</v>
      </c>
      <c r="L98" s="3">
        <f>IF(ISBLANK(M98),"",MAX(L$5:L97)+1)</f>
        <v>45</v>
      </c>
      <c r="M98" s="4" t="s">
        <v>55</v>
      </c>
      <c r="N98" s="2"/>
      <c r="O98" s="5"/>
    </row>
    <row r="99" spans="2:16">
      <c r="B99" s="5" t="s">
        <v>56</v>
      </c>
      <c r="C99" s="67"/>
      <c r="D99" s="2" t="s">
        <v>5</v>
      </c>
      <c r="E99" s="29">
        <f t="shared" ref="E99:K99" si="18">IFERROR(E94/$K39,0)</f>
        <v>0</v>
      </c>
      <c r="F99" s="29">
        <f t="shared" si="18"/>
        <v>0</v>
      </c>
      <c r="G99" s="29">
        <f t="shared" si="18"/>
        <v>0</v>
      </c>
      <c r="H99" s="29">
        <f t="shared" si="18"/>
        <v>0</v>
      </c>
      <c r="I99" s="29">
        <f t="shared" si="18"/>
        <v>0</v>
      </c>
      <c r="J99" s="29">
        <f t="shared" si="18"/>
        <v>0</v>
      </c>
      <c r="K99" s="29">
        <f t="shared" si="18"/>
        <v>0</v>
      </c>
      <c r="L99" s="3">
        <f>IF(ISBLANK(M99),"",MAX(L$5:L98)+1)</f>
        <v>46</v>
      </c>
      <c r="M99" s="4" t="s">
        <v>57</v>
      </c>
      <c r="N99" s="2"/>
      <c r="O99" s="5"/>
    </row>
    <row r="100" spans="2:16">
      <c r="B100" s="5" t="s">
        <v>6</v>
      </c>
      <c r="C100" s="67"/>
      <c r="D100" s="2" t="str">
        <f>D5</f>
        <v>$</v>
      </c>
      <c r="E100" s="68">
        <f t="shared" ref="E100:K100" si="19">IFERROR(E94/E98,0)</f>
        <v>0</v>
      </c>
      <c r="F100" s="68">
        <f t="shared" si="19"/>
        <v>0</v>
      </c>
      <c r="G100" s="68">
        <f t="shared" si="19"/>
        <v>0</v>
      </c>
      <c r="H100" s="68">
        <f t="shared" si="19"/>
        <v>0</v>
      </c>
      <c r="I100" s="68">
        <f t="shared" si="19"/>
        <v>0</v>
      </c>
      <c r="J100" s="68">
        <f t="shared" si="19"/>
        <v>0</v>
      </c>
      <c r="K100" s="68">
        <f t="shared" si="19"/>
        <v>0</v>
      </c>
      <c r="L100" s="3">
        <f>IF(ISBLANK(M100),"",MAX(L$5:L99)+1)</f>
        <v>47</v>
      </c>
      <c r="M100" s="4" t="s">
        <v>7</v>
      </c>
      <c r="N100" s="2"/>
      <c r="O100" s="5"/>
    </row>
    <row r="101" spans="2:16">
      <c r="B101" s="5"/>
      <c r="C101" s="67"/>
      <c r="L101" s="3" t="str">
        <f>IF(ISBLANK(M101),"",MAX(L$5:L100)+1)</f>
        <v/>
      </c>
      <c r="M101" s="4"/>
      <c r="N101" s="2"/>
      <c r="O101" s="5"/>
    </row>
    <row r="102" spans="2:16">
      <c r="B102" s="12" t="str">
        <f>"Preferred, "&amp;E68</f>
        <v>Preferred, C</v>
      </c>
      <c r="C102" s="67"/>
      <c r="D102" s="69"/>
      <c r="J102" s="70"/>
      <c r="L102" s="3" t="str">
        <f>IF(ISBLANK(M102),"",MAX(L$5:L101)+1)</f>
        <v/>
      </c>
      <c r="M102" s="4"/>
      <c r="N102" s="2"/>
      <c r="O102" s="5"/>
    </row>
    <row r="103" spans="2:16">
      <c r="B103" s="5" t="s">
        <v>58</v>
      </c>
      <c r="C103" s="67"/>
      <c r="D103" s="2" t="str">
        <f>D5</f>
        <v>$</v>
      </c>
      <c r="E103" s="59">
        <f t="shared" ref="E103:K103" si="20">E94</f>
        <v>6250</v>
      </c>
      <c r="F103" s="59">
        <f t="shared" si="20"/>
        <v>12500</v>
      </c>
      <c r="G103" s="59">
        <f t="shared" si="20"/>
        <v>25000</v>
      </c>
      <c r="H103" s="59">
        <f t="shared" si="20"/>
        <v>50000</v>
      </c>
      <c r="I103" s="59">
        <f t="shared" si="20"/>
        <v>75000</v>
      </c>
      <c r="J103" s="59">
        <f t="shared" si="20"/>
        <v>112500</v>
      </c>
      <c r="K103" s="59">
        <f t="shared" si="20"/>
        <v>168750</v>
      </c>
      <c r="L103" s="3">
        <f>IF(ISBLANK(M103),"",MAX(L$5:L102)+1)</f>
        <v>48</v>
      </c>
      <c r="M103" s="4" t="s">
        <v>59</v>
      </c>
    </row>
    <row r="104" spans="2:16">
      <c r="B104" s="5" t="s">
        <v>60</v>
      </c>
      <c r="C104" s="67"/>
      <c r="D104" s="53" t="s">
        <v>5</v>
      </c>
      <c r="E104" s="59">
        <f t="shared" ref="E104:K104" si="21">E98</f>
        <v>0</v>
      </c>
      <c r="F104" s="59">
        <f t="shared" si="21"/>
        <v>0</v>
      </c>
      <c r="G104" s="59">
        <f t="shared" si="21"/>
        <v>0</v>
      </c>
      <c r="H104" s="59">
        <f t="shared" si="21"/>
        <v>0</v>
      </c>
      <c r="I104" s="59">
        <f t="shared" si="21"/>
        <v>0</v>
      </c>
      <c r="J104" s="59">
        <f t="shared" si="21"/>
        <v>0</v>
      </c>
      <c r="K104" s="59">
        <f t="shared" si="21"/>
        <v>0</v>
      </c>
      <c r="L104" s="3">
        <f>IF(ISBLANK(M104),"",MAX(L$5:L103)+1)</f>
        <v>49</v>
      </c>
      <c r="M104" s="4" t="s">
        <v>61</v>
      </c>
    </row>
    <row r="105" spans="2:16">
      <c r="B105" s="30" t="str">
        <f>"Shares, "&amp;B102</f>
        <v>Shares, Preferred, C</v>
      </c>
      <c r="C105" s="67"/>
      <c r="D105" s="29" t="s">
        <v>5</v>
      </c>
      <c r="E105" s="59">
        <f t="shared" ref="E105:K105" si="22">$E59</f>
        <v>0</v>
      </c>
      <c r="F105" s="59">
        <f t="shared" si="22"/>
        <v>0</v>
      </c>
      <c r="G105" s="59">
        <f t="shared" si="22"/>
        <v>0</v>
      </c>
      <c r="H105" s="59">
        <f t="shared" si="22"/>
        <v>0</v>
      </c>
      <c r="I105" s="59">
        <f t="shared" si="22"/>
        <v>0</v>
      </c>
      <c r="J105" s="59">
        <f t="shared" si="22"/>
        <v>0</v>
      </c>
      <c r="K105" s="59">
        <f t="shared" si="22"/>
        <v>0</v>
      </c>
      <c r="L105" s="3">
        <f>IF(ISBLANK(M105),"",MAX(L$5:L104)+1)</f>
        <v>50</v>
      </c>
      <c r="M105" s="31" t="s">
        <v>62</v>
      </c>
    </row>
    <row r="106" spans="2:16">
      <c r="B106" s="30" t="s">
        <v>63</v>
      </c>
      <c r="C106" s="67"/>
      <c r="D106" s="29" t="str">
        <f>D$5</f>
        <v>$</v>
      </c>
      <c r="E106" s="59">
        <f t="shared" ref="E106:K106" si="23">$E61</f>
        <v>0</v>
      </c>
      <c r="F106" s="59">
        <f t="shared" si="23"/>
        <v>0</v>
      </c>
      <c r="G106" s="59">
        <f t="shared" si="23"/>
        <v>0</v>
      </c>
      <c r="H106" s="59">
        <f t="shared" si="23"/>
        <v>0</v>
      </c>
      <c r="I106" s="59">
        <f t="shared" si="23"/>
        <v>0</v>
      </c>
      <c r="J106" s="59">
        <f t="shared" si="23"/>
        <v>0</v>
      </c>
      <c r="K106" s="59">
        <f t="shared" si="23"/>
        <v>0</v>
      </c>
      <c r="L106" s="3">
        <f>IF(ISBLANK(M106),"",MAX(L$5:L105)+1)</f>
        <v>51</v>
      </c>
      <c r="M106" s="31" t="s">
        <v>64</v>
      </c>
    </row>
    <row r="107" spans="2:16">
      <c r="B107" s="30" t="s">
        <v>65</v>
      </c>
      <c r="C107" s="32"/>
      <c r="D107" s="29" t="str">
        <f>D5</f>
        <v>$</v>
      </c>
      <c r="E107" s="32" t="str">
        <f>IF($E$62=$B$330,$E60*$E$63,IF($E$62=$B$331,0,"na"))</f>
        <v>na</v>
      </c>
      <c r="F107" s="32" t="str">
        <f>IF($E$62=$B$330,$E60*$E$63,IF($E$62=$B$331,0,"na"))</f>
        <v>na</v>
      </c>
      <c r="G107" s="32" t="str">
        <f>IF($E$62=$B$330,$E60*$E$63,IF($E$62=$B$331,0,"na"))</f>
        <v>na</v>
      </c>
      <c r="H107" s="32" t="str">
        <f>IF($E$62=$B$330,$E60*$E$63,IF($E$62=$B$331,0,"na"))</f>
        <v>na</v>
      </c>
      <c r="I107" s="32" t="str">
        <f>IF($E$62=$B$330,$E60*$E$63,IF($E$62=$B$331,0,"na"))</f>
        <v>na</v>
      </c>
      <c r="J107" s="32" t="str">
        <f>IF($E$62=$B$330,$E60*$E$63,IF($E$62=$B$331,0,"na"))</f>
        <v>na</v>
      </c>
      <c r="K107" s="32" t="str">
        <f>IF($E$62=$B$330,$E60*$E$63,IF($E$62=$B$331,0,"na"))</f>
        <v>na</v>
      </c>
      <c r="L107" s="3">
        <f>IF(ISBLANK(M107),"",MAX(L$5:L106)+1)</f>
        <v>52</v>
      </c>
      <c r="M107" s="31" t="s">
        <v>66</v>
      </c>
    </row>
    <row r="108" spans="2:16">
      <c r="B108" s="33" t="str">
        <f>"Note: Implied Proceeds, do not convert to Common, if "&amp;B$329</f>
        <v>Note: Implied Proceeds, do not convert to Common, if Non Participating Preferred</v>
      </c>
      <c r="C108" s="59"/>
      <c r="D108" s="29" t="str">
        <f>D$5</f>
        <v>$</v>
      </c>
      <c r="E108" s="59">
        <f>MIN(E103,E106)</f>
        <v>0</v>
      </c>
      <c r="F108" s="59">
        <f>MIN(F103,F106)</f>
        <v>0</v>
      </c>
      <c r="G108" s="59">
        <f>MIN(G103,G106)</f>
        <v>0</v>
      </c>
      <c r="H108" s="59">
        <f t="shared" ref="H108:K108" si="24">MIN(H103,H106)</f>
        <v>0</v>
      </c>
      <c r="I108" s="59">
        <f t="shared" si="24"/>
        <v>0</v>
      </c>
      <c r="J108" s="59">
        <f t="shared" si="24"/>
        <v>0</v>
      </c>
      <c r="K108" s="59">
        <f t="shared" si="24"/>
        <v>0</v>
      </c>
      <c r="L108" s="3">
        <f>IF(ISBLANK(M108),"",MAX(L$5:L107)+1)</f>
        <v>53</v>
      </c>
      <c r="M108" s="31" t="s">
        <v>154</v>
      </c>
      <c r="N108" s="25"/>
    </row>
    <row r="109" spans="2:16">
      <c r="B109" s="33" t="str">
        <f>"Note: Implied Proceeds, do not convert to Common, if "&amp;B$330</f>
        <v>Note: Implied Proceeds, do not convert to Common, if Participating Preferred with a Cap</v>
      </c>
      <c r="C109" s="59"/>
      <c r="D109" s="29" t="str">
        <f>D$5</f>
        <v>$</v>
      </c>
      <c r="E109" s="59">
        <f t="shared" ref="E109:K109" si="25">IFERROR(IF($E$8="no",MIN(MAX(0,E$94)/E$98*E105+E106,E103,$E$60*$E$63),MIN(E$199*E105+E106,E103,$E$60*$E$63)),0)</f>
        <v>0</v>
      </c>
      <c r="F109" s="59">
        <f t="shared" si="25"/>
        <v>0</v>
      </c>
      <c r="G109" s="59">
        <f t="shared" si="25"/>
        <v>0</v>
      </c>
      <c r="H109" s="59">
        <f t="shared" si="25"/>
        <v>0</v>
      </c>
      <c r="I109" s="59">
        <f t="shared" si="25"/>
        <v>0</v>
      </c>
      <c r="J109" s="59">
        <f t="shared" si="25"/>
        <v>0</v>
      </c>
      <c r="K109" s="59">
        <f t="shared" si="25"/>
        <v>0</v>
      </c>
      <c r="L109" s="3">
        <f>IF(ISBLANK(M109),"",MAX(L$5:L108)+1)</f>
        <v>54</v>
      </c>
      <c r="M109" s="31" t="s">
        <v>156</v>
      </c>
      <c r="N109" s="25"/>
    </row>
    <row r="110" spans="2:16">
      <c r="B110" s="33" t="str">
        <f>"Note: Implied Proceeds, do not convert to Common, if "&amp;B$331</f>
        <v>Note: Implied Proceeds, do not convert to Common, if Full Participating Preferred</v>
      </c>
      <c r="C110" s="59"/>
      <c r="D110" s="29" t="str">
        <f>D$5</f>
        <v>$</v>
      </c>
      <c r="E110" s="59">
        <f t="shared" ref="E110:K110" si="26">IFERROR(MIN(E$199*E105+E106,E103),0)</f>
        <v>0</v>
      </c>
      <c r="F110" s="59">
        <f t="shared" si="26"/>
        <v>0</v>
      </c>
      <c r="G110" s="59">
        <f t="shared" si="26"/>
        <v>0</v>
      </c>
      <c r="H110" s="59">
        <f t="shared" si="26"/>
        <v>0</v>
      </c>
      <c r="I110" s="59">
        <f t="shared" si="26"/>
        <v>0</v>
      </c>
      <c r="J110" s="59">
        <f t="shared" si="26"/>
        <v>0</v>
      </c>
      <c r="K110" s="59">
        <f t="shared" si="26"/>
        <v>0</v>
      </c>
      <c r="L110" s="3">
        <f>IF(ISBLANK(M110),"",MAX(L$5:L109)+1)</f>
        <v>55</v>
      </c>
      <c r="M110" s="31" t="s">
        <v>155</v>
      </c>
      <c r="N110" s="25"/>
    </row>
    <row r="111" spans="2:16">
      <c r="B111" s="33" t="s">
        <v>67</v>
      </c>
      <c r="C111" s="34"/>
      <c r="D111" s="29" t="str">
        <f>D$5</f>
        <v>$</v>
      </c>
      <c r="E111" s="34">
        <f>IFERROR(IF($E$8="no",MAX(0,E$94)/E$98*E105*$E$64,E$199*E105*$E$64),0)</f>
        <v>0</v>
      </c>
      <c r="F111" s="34">
        <f t="shared" ref="F111:K111" si="27">IFERROR(IF($E$8="no",MAX(0,F$94)/F$98*F105*$E$64,F$199*F105*$E$64),0)</f>
        <v>0</v>
      </c>
      <c r="G111" s="34">
        <f t="shared" si="27"/>
        <v>0</v>
      </c>
      <c r="H111" s="34">
        <f t="shared" si="27"/>
        <v>0</v>
      </c>
      <c r="I111" s="34">
        <f t="shared" si="27"/>
        <v>0</v>
      </c>
      <c r="J111" s="34">
        <f t="shared" si="27"/>
        <v>0</v>
      </c>
      <c r="K111" s="34">
        <f t="shared" si="27"/>
        <v>0</v>
      </c>
      <c r="L111" s="3">
        <f>IF(ISBLANK(M111),"",MAX(L$5:L110)+1)</f>
        <v>56</v>
      </c>
      <c r="M111" s="31" t="s">
        <v>68</v>
      </c>
    </row>
    <row r="112" spans="2:16">
      <c r="B112" s="30" t="s">
        <v>69</v>
      </c>
      <c r="C112" s="61"/>
      <c r="D112" s="29" t="s">
        <v>15</v>
      </c>
      <c r="E112" s="61" t="str">
        <f>IF($E$62=$B$329,"no",IF($E$62=$B$331,"yes",IF(E109&gt;E111,"yes","no")))</f>
        <v>no</v>
      </c>
      <c r="F112" s="61" t="str">
        <f>IF($E$62=$B$329,"no",IF($E$62=$B$331,"yes",IF(F109&gt;F111,"yes","no")))</f>
        <v>no</v>
      </c>
      <c r="G112" s="61" t="str">
        <f>IF($E$62=$B$329,"no",IF($E$62=$B$331,"yes",IF(G109&gt;G111,"yes","no")))</f>
        <v>no</v>
      </c>
      <c r="H112" s="61" t="str">
        <f>IF($E$62=$B$329,"no",IF($E$62=$B$331,"yes",IF(H109&gt;H111,"yes","no")))</f>
        <v>no</v>
      </c>
      <c r="I112" s="61" t="str">
        <f>IF($E$62=$B$329,"no",IF($E$62=$B$331,"yes",IF(I109&gt;I111,"yes","no")))</f>
        <v>no</v>
      </c>
      <c r="J112" s="61" t="str">
        <f>IF($E$62=$B$329,"no",IF($E$62=$B$331,"yes",IF(J109&gt;J111,"yes","no")))</f>
        <v>no</v>
      </c>
      <c r="K112" s="61" t="str">
        <f>IF($E$62=$B$329,"no",IF($E$62=$B$331,"yes",IF(K109&gt;K111,"yes","no")))</f>
        <v>no</v>
      </c>
      <c r="L112" s="3">
        <f>IF(ISBLANK(M112),"",MAX(L$5:L111)+1)</f>
        <v>57</v>
      </c>
      <c r="M112" s="31" t="s">
        <v>157</v>
      </c>
    </row>
    <row r="113" spans="2:13">
      <c r="B113" s="30" t="s">
        <v>70</v>
      </c>
      <c r="C113" s="59"/>
      <c r="D113" s="29" t="s">
        <v>5</v>
      </c>
      <c r="E113" s="59">
        <f>IFERROR(IF(E112="yes",INDEX(E114:E116,MATCH($E$62,$B$329:$B$331,0))/E$199,0),0)</f>
        <v>0</v>
      </c>
      <c r="F113" s="59">
        <f>IFERROR(IF(F112="yes",INDEX(F114:F116,MATCH($E$62,$B$329:$B$331,0))/F$199,0),0)</f>
        <v>0</v>
      </c>
      <c r="G113" s="59">
        <f>IFERROR(IF(G112="yes",INDEX(G114:G116,MATCH($E$62,$B$329:$B$331,0))/G$199,0),0)</f>
        <v>0</v>
      </c>
      <c r="H113" s="59">
        <f>IFERROR(IF(H112="yes",INDEX(H114:H116,MATCH($E$62,$B$329:$B$331,0))/H$199,0),0)</f>
        <v>0</v>
      </c>
      <c r="I113" s="59">
        <f>IFERROR(IF(I112="yes",INDEX(I114:I116,MATCH($E$62,$B$329:$B$331,0))/I$199,0),0)</f>
        <v>0</v>
      </c>
      <c r="J113" s="59">
        <f>IFERROR(IF(J112="yes",INDEX(J114:J116,MATCH($E$62,$B$329:$B$331,0))/J$199,0),0)</f>
        <v>0</v>
      </c>
      <c r="K113" s="59">
        <f>IFERROR(IF(K112="yes",INDEX(K114:K116,MATCH($E$62,$B$329:$B$331,0))/K$199,0),0)</f>
        <v>0</v>
      </c>
      <c r="L113" s="3">
        <f>IF(ISBLANK(M113),"",MAX(L$5:L112)+1)</f>
        <v>58</v>
      </c>
      <c r="M113" s="31" t="s">
        <v>71</v>
      </c>
    </row>
    <row r="114" spans="2:13">
      <c r="B114" s="33" t="str">
        <f>"Note: Participation, if "&amp;B329</f>
        <v>Note: Participation, if Non Participating Preferred</v>
      </c>
      <c r="C114" s="59"/>
      <c r="D114" s="29" t="str">
        <f>D$5</f>
        <v>$</v>
      </c>
      <c r="E114" s="59">
        <f t="shared" ref="E114:K116" si="28">MAX(0,E108-E$106)</f>
        <v>0</v>
      </c>
      <c r="F114" s="59">
        <f t="shared" si="28"/>
        <v>0</v>
      </c>
      <c r="G114" s="59">
        <f t="shared" si="28"/>
        <v>0</v>
      </c>
      <c r="H114" s="59">
        <f t="shared" si="28"/>
        <v>0</v>
      </c>
      <c r="I114" s="59">
        <f t="shared" si="28"/>
        <v>0</v>
      </c>
      <c r="J114" s="59">
        <f t="shared" si="28"/>
        <v>0</v>
      </c>
      <c r="K114" s="59">
        <f t="shared" si="28"/>
        <v>0</v>
      </c>
      <c r="L114" s="3">
        <f>IF(ISBLANK(M114),"",MAX(L$5:L113)+1)</f>
        <v>59</v>
      </c>
      <c r="M114" s="31" t="s">
        <v>72</v>
      </c>
    </row>
    <row r="115" spans="2:13">
      <c r="B115" s="33" t="str">
        <f>"Note: Participation, if "&amp;B330</f>
        <v>Note: Participation, if Participating Preferred with a Cap</v>
      </c>
      <c r="C115" s="59"/>
      <c r="D115" s="29" t="str">
        <f>D$5</f>
        <v>$</v>
      </c>
      <c r="E115" s="59">
        <f t="shared" si="28"/>
        <v>0</v>
      </c>
      <c r="F115" s="59">
        <f t="shared" si="28"/>
        <v>0</v>
      </c>
      <c r="G115" s="59">
        <f t="shared" si="28"/>
        <v>0</v>
      </c>
      <c r="H115" s="59">
        <f t="shared" si="28"/>
        <v>0</v>
      </c>
      <c r="I115" s="59">
        <f t="shared" si="28"/>
        <v>0</v>
      </c>
      <c r="J115" s="59">
        <f t="shared" si="28"/>
        <v>0</v>
      </c>
      <c r="K115" s="59">
        <f t="shared" si="28"/>
        <v>0</v>
      </c>
      <c r="L115" s="3">
        <f>IF(ISBLANK(M115),"",MAX(L$5:L114)+1)</f>
        <v>60</v>
      </c>
      <c r="M115" s="31" t="s">
        <v>72</v>
      </c>
    </row>
    <row r="116" spans="2:13">
      <c r="B116" s="33" t="str">
        <f>"Note: Participation, if "&amp;B331</f>
        <v>Note: Participation, if Full Participating Preferred</v>
      </c>
      <c r="C116" s="59"/>
      <c r="D116" s="29" t="str">
        <f>D$5</f>
        <v>$</v>
      </c>
      <c r="E116" s="59">
        <f t="shared" si="28"/>
        <v>0</v>
      </c>
      <c r="F116" s="59">
        <f t="shared" si="28"/>
        <v>0</v>
      </c>
      <c r="G116" s="59">
        <f t="shared" si="28"/>
        <v>0</v>
      </c>
      <c r="H116" s="59">
        <f t="shared" si="28"/>
        <v>0</v>
      </c>
      <c r="I116" s="59">
        <f t="shared" si="28"/>
        <v>0</v>
      </c>
      <c r="J116" s="59">
        <f t="shared" si="28"/>
        <v>0</v>
      </c>
      <c r="K116" s="59">
        <f t="shared" si="28"/>
        <v>0</v>
      </c>
      <c r="L116" s="3">
        <f>IF(ISBLANK(M116),"",MAX(L$5:L115)+1)</f>
        <v>61</v>
      </c>
      <c r="M116" s="31" t="s">
        <v>72</v>
      </c>
    </row>
    <row r="117" spans="2:13">
      <c r="B117" s="30" t="s">
        <v>73</v>
      </c>
      <c r="C117" s="61"/>
      <c r="D117" s="29" t="s">
        <v>15</v>
      </c>
      <c r="E117" s="61" t="str">
        <f>IF($E$62=$B$329,IF(E108&gt;E111,"no","yes"),IF(E112="yes","no","yes"))</f>
        <v>yes</v>
      </c>
      <c r="F117" s="61" t="str">
        <f>IF($E$62=$B$329,IF(F108&gt;F111,"no","yes"),IF(F112="yes","no","yes"))</f>
        <v>yes</v>
      </c>
      <c r="G117" s="61" t="str">
        <f>IF($E$62=$B$329,IF(G108&gt;G111,"no","yes"),IF(G112="yes","no","yes"))</f>
        <v>yes</v>
      </c>
      <c r="H117" s="61" t="str">
        <f>IF($E$62=$B$329,IF(H108&gt;H111,"no","yes"),IF(H112="yes","no","yes"))</f>
        <v>yes</v>
      </c>
      <c r="I117" s="61" t="str">
        <f>IF($E$62=$B$329,IF(I108&gt;I111,"no","yes"),IF(I112="yes","no","yes"))</f>
        <v>yes</v>
      </c>
      <c r="J117" s="61" t="str">
        <f>IF($E$62=$B$329,IF(J108&gt;J111,"no","yes"),IF(J112="yes","no","yes"))</f>
        <v>yes</v>
      </c>
      <c r="K117" s="61" t="str">
        <f>IF($E$62=$B$329,IF(K108&gt;K111,"no","yes"),IF(K112="yes","no","yes"))</f>
        <v>yes</v>
      </c>
      <c r="L117" s="3">
        <f>IF(ISBLANK(M117),"",MAX(L$5:L116)+1)</f>
        <v>62</v>
      </c>
      <c r="M117" s="31" t="s">
        <v>74</v>
      </c>
    </row>
    <row r="118" spans="2:13">
      <c r="B118" s="30" t="s">
        <v>75</v>
      </c>
      <c r="C118" s="59"/>
      <c r="D118" s="29" t="s">
        <v>5</v>
      </c>
      <c r="E118" s="59">
        <f>IF(E117="yes",E105*$E$64,0)</f>
        <v>0</v>
      </c>
      <c r="F118" s="59">
        <f t="shared" ref="F118:K118" si="29">IF(F117="yes",F105*$E$64,0)</f>
        <v>0</v>
      </c>
      <c r="G118" s="59">
        <f t="shared" si="29"/>
        <v>0</v>
      </c>
      <c r="H118" s="59">
        <f t="shared" si="29"/>
        <v>0</v>
      </c>
      <c r="I118" s="59">
        <f t="shared" si="29"/>
        <v>0</v>
      </c>
      <c r="J118" s="59">
        <f t="shared" si="29"/>
        <v>0</v>
      </c>
      <c r="K118" s="59">
        <f t="shared" si="29"/>
        <v>0</v>
      </c>
      <c r="L118" s="3">
        <f>IF(ISBLANK(M118),"",MAX(L$5:L117)+1)</f>
        <v>63</v>
      </c>
      <c r="M118" s="31" t="s">
        <v>76</v>
      </c>
    </row>
    <row r="119" spans="2:13">
      <c r="B119" s="30" t="s">
        <v>77</v>
      </c>
      <c r="C119" s="34"/>
      <c r="D119" s="29" t="str">
        <f>D$5</f>
        <v>$</v>
      </c>
      <c r="E119" s="34">
        <f t="shared" ref="E119:K119" si="30">IF($E8="yes",IFERROR(E118*E$199,0),IFERROR(E118/E$98*E$94,0))</f>
        <v>0</v>
      </c>
      <c r="F119" s="34">
        <f t="shared" si="30"/>
        <v>0</v>
      </c>
      <c r="G119" s="34">
        <f t="shared" si="30"/>
        <v>0</v>
      </c>
      <c r="H119" s="34">
        <f t="shared" si="30"/>
        <v>0</v>
      </c>
      <c r="I119" s="34">
        <f t="shared" si="30"/>
        <v>0</v>
      </c>
      <c r="J119" s="34">
        <f t="shared" si="30"/>
        <v>0</v>
      </c>
      <c r="K119" s="34">
        <f t="shared" si="30"/>
        <v>0</v>
      </c>
      <c r="L119" s="3">
        <f>IF(ISBLANK(M119),"",MAX(L$5:L118)+1)</f>
        <v>64</v>
      </c>
      <c r="M119" s="31" t="s">
        <v>78</v>
      </c>
    </row>
    <row r="120" spans="2:13">
      <c r="B120" s="30" t="s">
        <v>41</v>
      </c>
      <c r="C120" s="34"/>
      <c r="D120" s="29" t="str">
        <f>D$5</f>
        <v>$</v>
      </c>
      <c r="E120" s="34">
        <f>IF(OR(E117="yes",$E$65=$B$336),0,IF($E$65=$B$334,$E$66*$E$60,ROUND(YEARFRAC($E$67,$E$6,1),0)*$E$66*$E$60))</f>
        <v>0</v>
      </c>
      <c r="F120" s="34">
        <f>IF(OR(F117="yes",$E$65=$B$336),0,IF($E$65=$B$334,$E$66*$E$60,ROUND(YEARFRAC($E$67,$E$6,1),0)*$E$66*$E$60))</f>
        <v>0</v>
      </c>
      <c r="G120" s="34">
        <f>IF(OR(G117="yes",$E$65=$B$336),0,IF($E$65=$B$334,$E$66*$E$60,ROUND(YEARFRAC($E$67,$E$6,1),0)*$E$66*$E$60))</f>
        <v>0</v>
      </c>
      <c r="H120" s="34">
        <f>IF(OR(H117="yes",$E$65=$B$336),0,IF($E$65=$B$334,$E$66*$E$60,ROUND(YEARFRAC($E$67,$E$6,1),0)*$E$66*$E$60))</f>
        <v>0</v>
      </c>
      <c r="I120" s="34">
        <f>IF(OR(I117="yes",$E$65=$B$336),0,IF($E$65=$B$334,$E$66*$E$60,ROUND(YEARFRAC($E$67,$E$6,1),0)*$E$66*$E$60))</f>
        <v>0</v>
      </c>
      <c r="J120" s="34">
        <f>IF(OR(J117="yes",$E$65=$B$336),0,IF($E$65=$B$334,$E$66*$E$60,ROUND(YEARFRAC($E$67,$E$6,1),0)*$E$66*$E$60))</f>
        <v>0</v>
      </c>
      <c r="K120" s="34">
        <f>IF(OR(K117="yes",$E$65=$B$336),0,IF($E$65=$B$334,$E$66*$E$60,ROUND(YEARFRAC($E$67,$E$6,1),0)*$E$66*$E$60))</f>
        <v>0</v>
      </c>
      <c r="L120" s="3">
        <f>IF(ISBLANK(M120),"",MAX(L$5:L119)+1)</f>
        <v>65</v>
      </c>
      <c r="M120" s="31" t="s">
        <v>110</v>
      </c>
    </row>
    <row r="121" spans="2:13">
      <c r="B121" s="30" t="str">
        <f>"Proceeds to "&amp;B102</f>
        <v>Proceeds to Preferred, C</v>
      </c>
      <c r="C121" s="59"/>
      <c r="D121" s="29" t="str">
        <f>D5</f>
        <v>$</v>
      </c>
      <c r="E121" s="59">
        <f>MIN(E103,MAX(E120+INDEX(E108:E110,MATCH($E$62,$B$329:$B$331,0)),E119))</f>
        <v>0</v>
      </c>
      <c r="F121" s="59">
        <f>MIN(F103,MAX(F120+INDEX(F108:F110,MATCH($E$62,$B$329:$B$331,0)),F119))</f>
        <v>0</v>
      </c>
      <c r="G121" s="59">
        <f>MIN(G103,MAX(G120+INDEX(G108:G110,MATCH($E$62,$B$329:$B$331,0)),G119))</f>
        <v>0</v>
      </c>
      <c r="H121" s="59">
        <f>MIN(H103,MAX(H120+INDEX(H108:H110,MATCH($E$62,$B$329:$B$331,0)),H119))</f>
        <v>0</v>
      </c>
      <c r="I121" s="59">
        <f>MIN(I103,MAX(I120+INDEX(I108:I110,MATCH($E$62,$B$329:$B$331,0)),I119))</f>
        <v>0</v>
      </c>
      <c r="J121" s="59">
        <f>MIN(J103,MAX(J120+INDEX(J108:J110,MATCH($E$62,$B$329:$B$331,0)),J119))</f>
        <v>0</v>
      </c>
      <c r="K121" s="59">
        <f>MIN(K103,MAX(K120+INDEX(K108:K110,MATCH($E$62,$B$329:$B$331,0)),K119))</f>
        <v>0</v>
      </c>
      <c r="L121" s="3">
        <f>IF(ISBLANK(M121),"",MAX(L$5:L120)+1)</f>
        <v>66</v>
      </c>
      <c r="M121" s="31" t="s">
        <v>79</v>
      </c>
    </row>
    <row r="122" spans="2:13">
      <c r="B122" s="30" t="s">
        <v>80</v>
      </c>
      <c r="C122" s="35"/>
      <c r="D122" s="29" t="str">
        <f>D5</f>
        <v>$</v>
      </c>
      <c r="E122" s="35">
        <f t="shared" ref="E122:K122" si="31">IFERROR(E121/E105,0)</f>
        <v>0</v>
      </c>
      <c r="F122" s="35">
        <f t="shared" si="31"/>
        <v>0</v>
      </c>
      <c r="G122" s="35">
        <f t="shared" si="31"/>
        <v>0</v>
      </c>
      <c r="H122" s="35">
        <f t="shared" si="31"/>
        <v>0</v>
      </c>
      <c r="I122" s="35">
        <f t="shared" si="31"/>
        <v>0</v>
      </c>
      <c r="J122" s="35">
        <f t="shared" si="31"/>
        <v>0</v>
      </c>
      <c r="K122" s="35">
        <f t="shared" si="31"/>
        <v>0</v>
      </c>
      <c r="L122" s="3">
        <f>IF(ISBLANK(M122),"",MAX(L$5:L121)+1)</f>
        <v>67</v>
      </c>
      <c r="M122" s="31" t="s">
        <v>81</v>
      </c>
    </row>
    <row r="123" spans="2:13">
      <c r="B123" s="30"/>
      <c r="I123" s="59"/>
      <c r="J123" s="71"/>
      <c r="L123" s="3" t="str">
        <f>IF(ISBLANK(M123),"",MAX(L$5:L122)+1)</f>
        <v/>
      </c>
    </row>
    <row r="124" spans="2:13">
      <c r="B124" s="33" t="str">
        <f>"Preferred, "&amp;F68</f>
        <v>Preferred, B</v>
      </c>
      <c r="D124" s="69"/>
      <c r="E124" s="59"/>
      <c r="F124" s="59"/>
      <c r="G124" s="59"/>
      <c r="H124" s="59"/>
      <c r="I124" s="59"/>
      <c r="J124" s="59"/>
      <c r="L124" s="3" t="str">
        <f>IF(ISBLANK(M124),"",MAX(L$5:L123)+1)</f>
        <v/>
      </c>
    </row>
    <row r="125" spans="2:13">
      <c r="B125" s="30" t="s">
        <v>58</v>
      </c>
      <c r="C125" s="59"/>
      <c r="D125" s="29" t="str">
        <f>D$5</f>
        <v>$</v>
      </c>
      <c r="E125" s="59">
        <f>IF(E117="no",MAX(0,E103-E106-E120),IF($E$62=$B$331,MAX(0,E103-E106-E120),IF(AND($E$62=$B$330,E119=0),MAX(0,E103-E106-E120),E103)))</f>
        <v>6250</v>
      </c>
      <c r="F125" s="59">
        <f>IF(F117="no",MAX(0,F103-F106-F120),IF($E62=$B$331,MAX(0,F103-F106-F120),IF(AND($E62=$B$330,F119=0),MAX(0,F103-F106-F120),F103)))</f>
        <v>12500</v>
      </c>
      <c r="G125" s="59">
        <f>IF(G117="no",MAX(0,G103-G106-G120),IF($E62=$B$331,MAX(0,G103-G106-G120),IF(AND($E62=$B$330,G119=0),MAX(0,G103-G106-G120),G103)))</f>
        <v>25000</v>
      </c>
      <c r="H125" s="59">
        <f>IF(H117="no",MAX(0,H103-H106-H120),IF($E62=$B$331,MAX(0,H103-H106-H120),IF(AND($E62=$B$330,H119=0),MAX(0,H103-H106-H120),H103)))</f>
        <v>50000</v>
      </c>
      <c r="I125" s="59">
        <f>IF(I117="no",MAX(0,I103-I106-I120),IF($E62=$B$331,MAX(0,I103-I106-I120),IF(AND($E62=$B$330,I119=0),MAX(0,I103-I106-I120),I103)))</f>
        <v>75000</v>
      </c>
      <c r="J125" s="59">
        <f>IF(J117="no",MAX(0,J103-J106-J120),IF($E62=$B$331,MAX(0,J103-J106-J120),IF(AND($E62=$B$330,J119=0),MAX(0,J103-J106-J120),J103)))</f>
        <v>112500</v>
      </c>
      <c r="K125" s="59">
        <f>IF(K117="no",MAX(0,K103-K106-K120),IF($E62=$B$331,MAX(0,K103-K106-K120),IF(AND($E62=$B$330,K119=0),MAX(0,K103-K106-K120),K103)))</f>
        <v>168750</v>
      </c>
      <c r="L125" s="3" t="str">
        <f>IF(ISBLANK(M125),"",MAX(L$5:L124)+1)</f>
        <v/>
      </c>
      <c r="M125" s="31"/>
    </row>
    <row r="126" spans="2:13">
      <c r="B126" s="30" t="s">
        <v>60</v>
      </c>
      <c r="C126" s="59"/>
      <c r="D126" s="53" t="s">
        <v>5</v>
      </c>
      <c r="E126" s="59">
        <f t="shared" ref="E126:K126" si="32">E104-E118</f>
        <v>0</v>
      </c>
      <c r="F126" s="59">
        <f t="shared" si="32"/>
        <v>0</v>
      </c>
      <c r="G126" s="59">
        <f t="shared" si="32"/>
        <v>0</v>
      </c>
      <c r="H126" s="59">
        <f t="shared" si="32"/>
        <v>0</v>
      </c>
      <c r="I126" s="59">
        <f t="shared" si="32"/>
        <v>0</v>
      </c>
      <c r="J126" s="59">
        <f t="shared" si="32"/>
        <v>0</v>
      </c>
      <c r="K126" s="59">
        <f t="shared" si="32"/>
        <v>0</v>
      </c>
      <c r="L126" s="3" t="str">
        <f>IF(ISBLANK(M126),"",MAX(L$5:L125)+1)</f>
        <v/>
      </c>
    </row>
    <row r="127" spans="2:13">
      <c r="B127" s="30" t="str">
        <f>"Shares, "&amp;B124</f>
        <v>Shares, Preferred, B</v>
      </c>
      <c r="C127" s="59"/>
      <c r="D127" s="29" t="s">
        <v>5</v>
      </c>
      <c r="E127" s="59">
        <f t="shared" ref="E127:K127" si="33">$F59</f>
        <v>0</v>
      </c>
      <c r="F127" s="59">
        <f t="shared" si="33"/>
        <v>0</v>
      </c>
      <c r="G127" s="59">
        <f t="shared" si="33"/>
        <v>0</v>
      </c>
      <c r="H127" s="59">
        <f t="shared" si="33"/>
        <v>0</v>
      </c>
      <c r="I127" s="59">
        <f t="shared" si="33"/>
        <v>0</v>
      </c>
      <c r="J127" s="59">
        <f t="shared" si="33"/>
        <v>0</v>
      </c>
      <c r="K127" s="59">
        <f t="shared" si="33"/>
        <v>0</v>
      </c>
      <c r="L127" s="3" t="str">
        <f>IF(ISBLANK(M127),"",MAX(L$5:L126)+1)</f>
        <v/>
      </c>
    </row>
    <row r="128" spans="2:13">
      <c r="B128" s="30" t="s">
        <v>63</v>
      </c>
      <c r="C128" s="32"/>
      <c r="D128" s="29" t="str">
        <f t="shared" ref="D128:D133" si="34">D$5</f>
        <v>$</v>
      </c>
      <c r="E128" s="32">
        <f t="shared" ref="E128:K128" si="35">$F61</f>
        <v>0</v>
      </c>
      <c r="F128" s="32">
        <f t="shared" si="35"/>
        <v>0</v>
      </c>
      <c r="G128" s="32">
        <f t="shared" si="35"/>
        <v>0</v>
      </c>
      <c r="H128" s="32">
        <f t="shared" si="35"/>
        <v>0</v>
      </c>
      <c r="I128" s="32">
        <f t="shared" si="35"/>
        <v>0</v>
      </c>
      <c r="J128" s="32">
        <f t="shared" si="35"/>
        <v>0</v>
      </c>
      <c r="K128" s="32">
        <f t="shared" si="35"/>
        <v>0</v>
      </c>
      <c r="L128" s="3" t="str">
        <f>IF(ISBLANK(M128),"",MAX(L$5:L127)+1)</f>
        <v/>
      </c>
    </row>
    <row r="129" spans="2:14">
      <c r="B129" s="30" t="s">
        <v>65</v>
      </c>
      <c r="C129" s="32"/>
      <c r="D129" s="29" t="str">
        <f t="shared" si="34"/>
        <v>$</v>
      </c>
      <c r="E129" s="32" t="str">
        <f>IF($F$62=$B$330,$F60*$F$63,IF($F$62=$B$331,0,"na"))</f>
        <v>na</v>
      </c>
      <c r="F129" s="32" t="str">
        <f>IF($F$62=$B$330,$F60*$F$63,IF($F$62=$B$331,0,"na"))</f>
        <v>na</v>
      </c>
      <c r="G129" s="32" t="str">
        <f>IF($F$62=$B$330,$F60*$F$63,IF($F$62=$B$331,0,"na"))</f>
        <v>na</v>
      </c>
      <c r="H129" s="32" t="str">
        <f>IF($F$62=$B$330,$F60*$F$63,IF($F$62=$B$331,0,"na"))</f>
        <v>na</v>
      </c>
      <c r="I129" s="32" t="str">
        <f>IF($F$62=$B$330,$F60*$F$63,IF($F$62=$B$331,0,"na"))</f>
        <v>na</v>
      </c>
      <c r="J129" s="32" t="str">
        <f>IF($F$62=$B$330,$F60*$F$63,IF($F$62=$B$331,0,"na"))</f>
        <v>na</v>
      </c>
      <c r="K129" s="32" t="str">
        <f>IF($F$62=$B$330,$F60*$F$63,IF($F$62=$B$331,0,"na"))</f>
        <v>na</v>
      </c>
      <c r="L129" s="3" t="str">
        <f>IF(ISBLANK(M129),"",MAX(L$5:L128)+1)</f>
        <v/>
      </c>
    </row>
    <row r="130" spans="2:14">
      <c r="B130" s="33" t="str">
        <f>"Note: Implied Proceeds, do not convert to Common, if "&amp;B$329</f>
        <v>Note: Implied Proceeds, do not convert to Common, if Non Participating Preferred</v>
      </c>
      <c r="C130" s="59"/>
      <c r="D130" s="29" t="str">
        <f t="shared" si="34"/>
        <v>$</v>
      </c>
      <c r="E130" s="59">
        <f>MIN(E125,E128)</f>
        <v>0</v>
      </c>
      <c r="F130" s="59">
        <f t="shared" ref="F130:K130" si="36">MIN(F125,F128)</f>
        <v>0</v>
      </c>
      <c r="G130" s="59">
        <f t="shared" si="36"/>
        <v>0</v>
      </c>
      <c r="H130" s="59">
        <f t="shared" si="36"/>
        <v>0</v>
      </c>
      <c r="I130" s="59">
        <f t="shared" si="36"/>
        <v>0</v>
      </c>
      <c r="J130" s="59">
        <f t="shared" si="36"/>
        <v>0</v>
      </c>
      <c r="K130" s="59">
        <f t="shared" si="36"/>
        <v>0</v>
      </c>
      <c r="L130" s="3" t="str">
        <f>IF(ISBLANK(M130),"",MAX(L$5:L129)+1)</f>
        <v/>
      </c>
    </row>
    <row r="131" spans="2:14">
      <c r="B131" s="33" t="str">
        <f>"Note: Implied Proceeds, do not convert to Common, if "&amp;B$330</f>
        <v>Note: Implied Proceeds, do not convert to Common, if Participating Preferred with a Cap</v>
      </c>
      <c r="C131" s="59"/>
      <c r="D131" s="29" t="str">
        <f t="shared" si="34"/>
        <v>$</v>
      </c>
      <c r="E131" s="59">
        <f t="shared" ref="E131:K131" si="37">IFERROR(IF($E$8="no",MIN(MAX(0,E$94)/E$98*E127+E128,E125,$F$60*$F$63),MIN(E$199*E127+E128,E125,$F$60*$F$63)),0)</f>
        <v>0</v>
      </c>
      <c r="F131" s="59">
        <f t="shared" si="37"/>
        <v>0</v>
      </c>
      <c r="G131" s="59">
        <f t="shared" si="37"/>
        <v>0</v>
      </c>
      <c r="H131" s="59">
        <f t="shared" si="37"/>
        <v>0</v>
      </c>
      <c r="I131" s="59">
        <f t="shared" si="37"/>
        <v>0</v>
      </c>
      <c r="J131" s="59">
        <f t="shared" si="37"/>
        <v>0</v>
      </c>
      <c r="K131" s="59">
        <f t="shared" si="37"/>
        <v>0</v>
      </c>
      <c r="L131" s="3" t="str">
        <f>IF(ISBLANK(M131),"",MAX(L$5:L130)+1)</f>
        <v/>
      </c>
    </row>
    <row r="132" spans="2:14">
      <c r="B132" s="33" t="str">
        <f>"Note: Implied Proceeds, do not convert to Common, if "&amp;B$331</f>
        <v>Note: Implied Proceeds, do not convert to Common, if Full Participating Preferred</v>
      </c>
      <c r="C132" s="59"/>
      <c r="D132" s="29" t="str">
        <f t="shared" si="34"/>
        <v>$</v>
      </c>
      <c r="E132" s="59">
        <f>IFERROR(MIN(E$199*E127+E128,E125),0)</f>
        <v>0</v>
      </c>
      <c r="F132" s="59">
        <f t="shared" ref="F132:K132" si="38">IFERROR(MIN(F$199*F127+F128,F125),0)</f>
        <v>0</v>
      </c>
      <c r="G132" s="59">
        <f t="shared" si="38"/>
        <v>0</v>
      </c>
      <c r="H132" s="59">
        <f t="shared" si="38"/>
        <v>0</v>
      </c>
      <c r="I132" s="59">
        <f t="shared" si="38"/>
        <v>0</v>
      </c>
      <c r="J132" s="59">
        <f t="shared" si="38"/>
        <v>0</v>
      </c>
      <c r="K132" s="59">
        <f t="shared" si="38"/>
        <v>0</v>
      </c>
      <c r="L132" s="3" t="str">
        <f>IF(ISBLANK(M132),"",MAX(L$5:L131)+1)</f>
        <v/>
      </c>
    </row>
    <row r="133" spans="2:14">
      <c r="B133" s="33" t="s">
        <v>67</v>
      </c>
      <c r="C133" s="34"/>
      <c r="D133" s="29" t="str">
        <f t="shared" si="34"/>
        <v>$</v>
      </c>
      <c r="E133" s="34">
        <f>IFERROR(IF($E$8="no",MAX(0,E$94)/E$98*E127*$F$64,E$199*E127*$F$64),0)</f>
        <v>0</v>
      </c>
      <c r="F133" s="34">
        <f t="shared" ref="F133:K133" si="39">IFERROR(IF($E$8="no",MAX(0,F$94)/F$98*F127*$F$64,F$199*F127*$F$64),0)</f>
        <v>0</v>
      </c>
      <c r="G133" s="34">
        <f t="shared" si="39"/>
        <v>0</v>
      </c>
      <c r="H133" s="34">
        <f t="shared" si="39"/>
        <v>0</v>
      </c>
      <c r="I133" s="34">
        <f t="shared" si="39"/>
        <v>0</v>
      </c>
      <c r="J133" s="34">
        <f t="shared" si="39"/>
        <v>0</v>
      </c>
      <c r="K133" s="34">
        <f t="shared" si="39"/>
        <v>0</v>
      </c>
      <c r="L133" s="3" t="str">
        <f>IF(ISBLANK(M133),"",MAX(L$5:L132)+1)</f>
        <v/>
      </c>
      <c r="N133" s="72"/>
    </row>
    <row r="134" spans="2:14">
      <c r="B134" s="30" t="s">
        <v>69</v>
      </c>
      <c r="C134" s="61"/>
      <c r="D134" s="29" t="s">
        <v>15</v>
      </c>
      <c r="E134" s="61" t="str">
        <f>IF($F$62=$B$329,"no",IF($F$62=$B$331,"yes",IF(E131&gt;E133,"yes","no")))</f>
        <v>no</v>
      </c>
      <c r="F134" s="61" t="str">
        <f>IF($F$62=$B$329,"no",IF($F$62=$B$331,"yes",IF(F131&gt;F133,"yes","no")))</f>
        <v>no</v>
      </c>
      <c r="G134" s="61" t="str">
        <f>IF($F$62=$B$329,"no",IF($F$62=$B$331,"yes",IF(G131&gt;G133,"yes","no")))</f>
        <v>no</v>
      </c>
      <c r="H134" s="61" t="str">
        <f>IF($F$62=$B$329,"no",IF($F$62=$B$331,"yes",IF(H131&gt;H133,"yes","no")))</f>
        <v>no</v>
      </c>
      <c r="I134" s="61" t="str">
        <f>IF($F$62=$B$329,"no",IF($F$62=$B$331,"yes",IF(I131&gt;I133,"yes","no")))</f>
        <v>no</v>
      </c>
      <c r="J134" s="61" t="str">
        <f>IF($F$62=$B$329,"no",IF($F$62=$B$331,"yes",IF(J131&gt;J133,"yes","no")))</f>
        <v>no</v>
      </c>
      <c r="K134" s="61" t="str">
        <f>IF($F$62=$B$329,"no",IF($F$62=$B$331,"yes",IF(K131&gt;K133,"yes","no")))</f>
        <v>no</v>
      </c>
      <c r="L134" s="3" t="str">
        <f>IF(ISBLANK(M134),"",MAX(L$5:L133)+1)</f>
        <v/>
      </c>
    </row>
    <row r="135" spans="2:14">
      <c r="B135" s="30" t="s">
        <v>70</v>
      </c>
      <c r="C135" s="59"/>
      <c r="D135" s="29" t="s">
        <v>5</v>
      </c>
      <c r="E135" s="59">
        <f>IFERROR(IF(E134="yes",INDEX(E136:E138,MATCH($F$62,$B$329:$B$331,0))/E$199,0),0)</f>
        <v>0</v>
      </c>
      <c r="F135" s="59">
        <f>IFERROR(IF(F134="yes",INDEX(F136:F138,MATCH($F$62,$B$329:$B$331,0))/F$199,0),0)</f>
        <v>0</v>
      </c>
      <c r="G135" s="59">
        <f>IFERROR(IF(G134="yes",INDEX(G136:G138,MATCH($F$62,$B$329:$B$331,0))/G$199,0),0)</f>
        <v>0</v>
      </c>
      <c r="H135" s="59">
        <f>IFERROR(IF(H134="yes",INDEX(H136:H138,MATCH($F$62,$B$329:$B$331,0))/H$199,0),0)</f>
        <v>0</v>
      </c>
      <c r="I135" s="59">
        <f>IFERROR(IF(I134="yes",INDEX(I136:I138,MATCH($F$62,$B$329:$B$331,0))/I$199,0),0)</f>
        <v>0</v>
      </c>
      <c r="J135" s="59">
        <f>IFERROR(IF(J134="yes",INDEX(J136:J138,MATCH($F$62,$B$329:$B$331,0))/J$199,0),0)</f>
        <v>0</v>
      </c>
      <c r="K135" s="59">
        <f>IFERROR(IF(K134="yes",INDEX(K136:K138,MATCH($F$62,$B$329:$B$331,0))/K$199,0),0)</f>
        <v>0</v>
      </c>
      <c r="L135" s="3" t="str">
        <f>IF(ISBLANK(M135),"",MAX(L$5:L134)+1)</f>
        <v/>
      </c>
    </row>
    <row r="136" spans="2:14">
      <c r="B136" s="33" t="str">
        <f>"Note: Participation, if "&amp;B329</f>
        <v>Note: Participation, if Non Participating Preferred</v>
      </c>
      <c r="C136" s="59"/>
      <c r="D136" s="29" t="str">
        <f>D$5</f>
        <v>$</v>
      </c>
      <c r="E136" s="59">
        <f>MAX(0,E130-E$128)</f>
        <v>0</v>
      </c>
      <c r="F136" s="59">
        <f t="shared" ref="F136:K138" si="40">MAX(0,F130-F$128)</f>
        <v>0</v>
      </c>
      <c r="G136" s="59">
        <f t="shared" si="40"/>
        <v>0</v>
      </c>
      <c r="H136" s="59">
        <f t="shared" si="40"/>
        <v>0</v>
      </c>
      <c r="I136" s="59">
        <f t="shared" si="40"/>
        <v>0</v>
      </c>
      <c r="J136" s="59">
        <f t="shared" si="40"/>
        <v>0</v>
      </c>
      <c r="K136" s="59">
        <f t="shared" si="40"/>
        <v>0</v>
      </c>
      <c r="L136" s="3" t="str">
        <f>IF(ISBLANK(M136),"",MAX(L$5:L135)+1)</f>
        <v/>
      </c>
    </row>
    <row r="137" spans="2:14">
      <c r="B137" s="33" t="str">
        <f>"Note: Participation, if "&amp;B330</f>
        <v>Note: Participation, if Participating Preferred with a Cap</v>
      </c>
      <c r="C137" s="59"/>
      <c r="D137" s="29" t="str">
        <f>D$5</f>
        <v>$</v>
      </c>
      <c r="E137" s="59">
        <f>MAX(0,E131-E$128)</f>
        <v>0</v>
      </c>
      <c r="F137" s="59">
        <f t="shared" si="40"/>
        <v>0</v>
      </c>
      <c r="G137" s="59">
        <f t="shared" si="40"/>
        <v>0</v>
      </c>
      <c r="H137" s="59">
        <f t="shared" si="40"/>
        <v>0</v>
      </c>
      <c r="I137" s="59">
        <f t="shared" si="40"/>
        <v>0</v>
      </c>
      <c r="J137" s="59">
        <f t="shared" si="40"/>
        <v>0</v>
      </c>
      <c r="K137" s="59">
        <f t="shared" si="40"/>
        <v>0</v>
      </c>
      <c r="L137" s="3" t="str">
        <f>IF(ISBLANK(M137),"",MAX(L$5:L136)+1)</f>
        <v/>
      </c>
    </row>
    <row r="138" spans="2:14" s="55" customFormat="1">
      <c r="B138" s="33" t="str">
        <f>"Note: Participation, if "&amp;B331</f>
        <v>Note: Participation, if Full Participating Preferred</v>
      </c>
      <c r="C138" s="59"/>
      <c r="D138" s="29" t="str">
        <f>D$5</f>
        <v>$</v>
      </c>
      <c r="E138" s="59">
        <f>MAX(0,E132-E$128)</f>
        <v>0</v>
      </c>
      <c r="F138" s="59">
        <f t="shared" si="40"/>
        <v>0</v>
      </c>
      <c r="G138" s="59">
        <f t="shared" si="40"/>
        <v>0</v>
      </c>
      <c r="H138" s="59">
        <f t="shared" si="40"/>
        <v>0</v>
      </c>
      <c r="I138" s="59">
        <f t="shared" si="40"/>
        <v>0</v>
      </c>
      <c r="J138" s="59">
        <f t="shared" si="40"/>
        <v>0</v>
      </c>
      <c r="K138" s="59">
        <f t="shared" si="40"/>
        <v>0</v>
      </c>
      <c r="L138" s="3" t="str">
        <f>IF(ISBLANK(M138),"",MAX(L$5:L137)+1)</f>
        <v/>
      </c>
    </row>
    <row r="139" spans="2:14" s="55" customFormat="1">
      <c r="B139" s="30" t="s">
        <v>73</v>
      </c>
      <c r="C139" s="61"/>
      <c r="D139" s="29" t="s">
        <v>15</v>
      </c>
      <c r="E139" s="61" t="str">
        <f>IF($F$62=$B$329,IF(E130&gt;E133,"no","yes"),IF(E134="yes","no","yes"))</f>
        <v>yes</v>
      </c>
      <c r="F139" s="61" t="str">
        <f>IF($F$62=$B$329,IF(F130&gt;F133,"no","yes"),IF(F134="yes","no","yes"))</f>
        <v>yes</v>
      </c>
      <c r="G139" s="61" t="str">
        <f>IF($F$62=$B$329,IF(G130&gt;G133,"no","yes"),IF(G134="yes","no","yes"))</f>
        <v>yes</v>
      </c>
      <c r="H139" s="61" t="str">
        <f>IF($F$62=$B$329,IF(H130&gt;H133,"no","yes"),IF(H134="yes","no","yes"))</f>
        <v>yes</v>
      </c>
      <c r="I139" s="61" t="str">
        <f>IF($F$62=$B$329,IF(I130&gt;I133,"no","yes"),IF(I134="yes","no","yes"))</f>
        <v>yes</v>
      </c>
      <c r="J139" s="61" t="str">
        <f>IF($F$62=$B$329,IF(J130&gt;J133,"no","yes"),IF(J134="yes","no","yes"))</f>
        <v>yes</v>
      </c>
      <c r="K139" s="61" t="str">
        <f>IF($F$62=$B$329,IF(K130&gt;K133,"no","yes"),IF(K134="yes","no","yes"))</f>
        <v>yes</v>
      </c>
      <c r="L139" s="3" t="str">
        <f>IF(ISBLANK(M139),"",MAX(L$5:L138)+1)</f>
        <v/>
      </c>
    </row>
    <row r="140" spans="2:14" s="55" customFormat="1">
      <c r="B140" s="30" t="s">
        <v>75</v>
      </c>
      <c r="C140" s="59"/>
      <c r="D140" s="29" t="s">
        <v>5</v>
      </c>
      <c r="E140" s="59">
        <f>IF(E139="yes",E127*$F$64,0)</f>
        <v>0</v>
      </c>
      <c r="F140" s="59">
        <f t="shared" ref="F140:K140" si="41">IF(F139="yes",F127*$F$64,0)</f>
        <v>0</v>
      </c>
      <c r="G140" s="59">
        <f t="shared" si="41"/>
        <v>0</v>
      </c>
      <c r="H140" s="59">
        <f t="shared" si="41"/>
        <v>0</v>
      </c>
      <c r="I140" s="59">
        <f t="shared" si="41"/>
        <v>0</v>
      </c>
      <c r="J140" s="59">
        <f t="shared" si="41"/>
        <v>0</v>
      </c>
      <c r="K140" s="59">
        <f t="shared" si="41"/>
        <v>0</v>
      </c>
      <c r="L140" s="3" t="str">
        <f>IF(ISBLANK(M140),"",MAX(L$5:L139)+1)</f>
        <v/>
      </c>
    </row>
    <row r="141" spans="2:14" s="55" customFormat="1">
      <c r="B141" s="30" t="s">
        <v>77</v>
      </c>
      <c r="C141" s="34"/>
      <c r="D141" s="29" t="str">
        <f>D$5</f>
        <v>$</v>
      </c>
      <c r="E141" s="34">
        <f t="shared" ref="E141:K141" si="42">IF($E$8="yes",IFERROR(E140*E$199,0),IFERROR(E140/E$98*E$94,0))</f>
        <v>0</v>
      </c>
      <c r="F141" s="34">
        <f t="shared" si="42"/>
        <v>0</v>
      </c>
      <c r="G141" s="34">
        <f t="shared" si="42"/>
        <v>0</v>
      </c>
      <c r="H141" s="34">
        <f t="shared" si="42"/>
        <v>0</v>
      </c>
      <c r="I141" s="34">
        <f t="shared" si="42"/>
        <v>0</v>
      </c>
      <c r="J141" s="34">
        <f t="shared" si="42"/>
        <v>0</v>
      </c>
      <c r="K141" s="34">
        <f t="shared" si="42"/>
        <v>0</v>
      </c>
      <c r="L141" s="3" t="str">
        <f>IF(ISBLANK(M141),"",MAX(L$5:L140)+1)</f>
        <v/>
      </c>
    </row>
    <row r="142" spans="2:14" s="55" customFormat="1">
      <c r="B142" s="30" t="s">
        <v>41</v>
      </c>
      <c r="C142" s="34"/>
      <c r="D142" s="29" t="str">
        <f>D$5</f>
        <v>$</v>
      </c>
      <c r="E142" s="34">
        <f>IF(OR(E139="yes",$F$65=$B$336),0,IF($F$65=$B$334,$F$66*$F$60,ROUND(YEARFRAC($F$67,$E$6,1),0)*$F$66*$F$60))</f>
        <v>0</v>
      </c>
      <c r="F142" s="34">
        <f>IF(OR(F139="yes",$F$65=$B$336),0,IF($F$65=$B$334,$F$66*$F$60,ROUND(YEARFRAC($F$67,$E$6,1),0)*$F$66*$F$60))</f>
        <v>0</v>
      </c>
      <c r="G142" s="34">
        <f>IF(OR(G139="yes",$F$65=$B$336),0,IF($F$65=$B$334,$F$66*$F$60,ROUND(YEARFRAC($F$67,$E$6,1),0)*$F$66*$F$60))</f>
        <v>0</v>
      </c>
      <c r="H142" s="34">
        <f>IF(OR(H139="yes",$F$65=$B$336),0,IF($F$65=$B$334,$F$66*$F$60,ROUND(YEARFRAC($F$67,$E$6,1),0)*$F$66*$F$60))</f>
        <v>0</v>
      </c>
      <c r="I142" s="34">
        <f>IF(OR(I139="yes",$F$65=$B$336),0,IF($F$65=$B$334,$F$66*$F$60,ROUND(YEARFRAC($F$67,$E$6,1),0)*$F$66*$F$60))</f>
        <v>0</v>
      </c>
      <c r="J142" s="34">
        <f>IF(OR(J139="yes",$F$65=$B$336),0,IF($F$65=$B$334,$F$66*$F$60,ROUND(YEARFRAC($F$67,$E$6,1),0)*$F$66*$F$60))</f>
        <v>0</v>
      </c>
      <c r="K142" s="34">
        <f>IF(OR(K139="yes",$F$65=$B$336),0,IF($F$65=$B$334,$F$66*$F$60,ROUND(YEARFRAC($F$67,$E$6,1),0)*$F$66*$F$60))</f>
        <v>0</v>
      </c>
      <c r="L142" s="3" t="str">
        <f>IF(ISBLANK(M142),"",MAX(L$5:L141)+1)</f>
        <v/>
      </c>
    </row>
    <row r="143" spans="2:14" s="55" customFormat="1">
      <c r="B143" s="30" t="str">
        <f>"Proceeds to "&amp;B124</f>
        <v>Proceeds to Preferred, B</v>
      </c>
      <c r="C143" s="59"/>
      <c r="D143" s="29" t="str">
        <f>D$5</f>
        <v>$</v>
      </c>
      <c r="E143" s="59">
        <f>MIN(E125,MAX(E142+INDEX(E130:E132,MATCH($F$62,$B$329:$B$331,0)),E141))</f>
        <v>0</v>
      </c>
      <c r="F143" s="59">
        <f>MIN(F125,MAX(F142+INDEX(F130:F132,MATCH($F$62,$B$329:$B$331,0)),F141))</f>
        <v>0</v>
      </c>
      <c r="G143" s="59">
        <f>MIN(G125,MAX(G142+INDEX(G130:G132,MATCH($F$62,$B$329:$B$331,0)),G141))</f>
        <v>0</v>
      </c>
      <c r="H143" s="59">
        <f>MIN(H125,MAX(H142+INDEX(H130:H132,MATCH($F$62,$B$329:$B$331,0)),H141))</f>
        <v>0</v>
      </c>
      <c r="I143" s="59">
        <f>MIN(I125,MAX(I142+INDEX(I130:I132,MATCH($F$62,$B$329:$B$331,0)),I141))</f>
        <v>0</v>
      </c>
      <c r="J143" s="59">
        <f>MIN(J125,MAX(J142+INDEX(J130:J132,MATCH($F$62,$B$329:$B$331,0)),J141))</f>
        <v>0</v>
      </c>
      <c r="K143" s="59">
        <f>MIN(K125,MAX(K142+INDEX(K130:K132,MATCH($F$62,$B$329:$B$331,0)),K141))</f>
        <v>0</v>
      </c>
      <c r="L143" s="3" t="str">
        <f>IF(ISBLANK(M143),"",MAX(L$5:L142)+1)</f>
        <v/>
      </c>
    </row>
    <row r="144" spans="2:14" s="55" customFormat="1">
      <c r="B144" s="30" t="s">
        <v>80</v>
      </c>
      <c r="C144" s="35"/>
      <c r="D144" s="29" t="str">
        <f>D$5</f>
        <v>$</v>
      </c>
      <c r="E144" s="35">
        <f>IFERROR(E143/E127,0)</f>
        <v>0</v>
      </c>
      <c r="F144" s="35">
        <f t="shared" ref="F144:K144" si="43">IFERROR(F143/F127,0)</f>
        <v>0</v>
      </c>
      <c r="G144" s="35">
        <f t="shared" si="43"/>
        <v>0</v>
      </c>
      <c r="H144" s="35">
        <f t="shared" si="43"/>
        <v>0</v>
      </c>
      <c r="I144" s="35">
        <f t="shared" si="43"/>
        <v>0</v>
      </c>
      <c r="J144" s="35">
        <f t="shared" si="43"/>
        <v>0</v>
      </c>
      <c r="K144" s="35">
        <f t="shared" si="43"/>
        <v>0</v>
      </c>
      <c r="L144" s="3" t="str">
        <f>IF(ISBLANK(M144),"",MAX(L$5:L143)+1)</f>
        <v/>
      </c>
    </row>
    <row r="145" spans="2:14" s="55" customFormat="1">
      <c r="B145" s="52"/>
      <c r="C145" s="52"/>
      <c r="D145" s="53"/>
      <c r="E145" s="52"/>
      <c r="F145" s="52"/>
      <c r="G145" s="52"/>
      <c r="H145" s="52"/>
      <c r="I145" s="52"/>
      <c r="J145" s="52"/>
      <c r="K145" s="52"/>
      <c r="L145" s="3" t="str">
        <f>IF(ISBLANK(M145),"",MAX(L$5:L144)+1)</f>
        <v/>
      </c>
    </row>
    <row r="146" spans="2:14">
      <c r="B146" s="33" t="str">
        <f>"Preferred, "&amp;G68</f>
        <v>Preferred, A</v>
      </c>
      <c r="C146" s="59"/>
      <c r="D146" s="69"/>
      <c r="E146" s="59"/>
      <c r="F146" s="59"/>
      <c r="G146" s="59"/>
      <c r="H146" s="59"/>
      <c r="I146" s="59"/>
      <c r="J146" s="59"/>
      <c r="K146" s="59"/>
      <c r="L146" s="3" t="str">
        <f>IF(ISBLANK(M146),"",MAX(L$5:L145)+1)</f>
        <v/>
      </c>
    </row>
    <row r="147" spans="2:14">
      <c r="B147" s="30" t="s">
        <v>58</v>
      </c>
      <c r="C147" s="59"/>
      <c r="D147" s="29" t="str">
        <f>D$5</f>
        <v>$</v>
      </c>
      <c r="E147" s="59">
        <f>IF(E139="no",MAX(0,E125-E128-E142),IF($F$62=$B$331,MAX(0,E125-E128-E142),IF(AND($F$62=$B$330,E141=0),MAX(0,E125-E128-E142),E125)))</f>
        <v>6250</v>
      </c>
      <c r="F147" s="59">
        <f>IF(F139="no",MAX(0,F125-F128-F142),IF($F$62=$B$331,MAX(0,F125-F128-F142),IF(AND($F$62=$B$330,F141=0),MAX(0,F125-F128-F142),F125)))</f>
        <v>12500</v>
      </c>
      <c r="G147" s="59">
        <f>IF(G139="no",MAX(0,G125-G128-G142),IF($F$62=$B$331,MAX(0,G125-G128-G142),IF(AND($F$62=$B$330,G141=0),MAX(0,G125-G128-G142),G125)))</f>
        <v>25000</v>
      </c>
      <c r="H147" s="59">
        <f>IF(H139="no",MAX(0,H125-H128-H142),IF($F$62=$B$331,MAX(0,H125-H128-H142),IF(AND($F$62=$B$330,H141=0),MAX(0,H125-H128-H142),H125)))</f>
        <v>50000</v>
      </c>
      <c r="I147" s="59">
        <f>IF(I139="no",MAX(0,I125-I128-I142),IF($F$62=$B$331,MAX(0,I125-I128-I142),IF(AND($F$62=$B$330,I141=0),MAX(0,I125-I128-I142),I125)))</f>
        <v>75000</v>
      </c>
      <c r="J147" s="59">
        <f>IF(J139="no",MAX(0,J125-J128-J142),IF($F$62=$B$331,MAX(0,J125-J128-J142),IF(AND($F$62=$B$330,J141=0),MAX(0,J125-J128-J142),J125)))</f>
        <v>112500</v>
      </c>
      <c r="K147" s="59">
        <f>IF(K139="no",MAX(0,K125-K128-K142),IF($F$62=$B$331,MAX(0,K125-K128-K142),IF(AND($F$62=$B$330,K141=0),MAX(0,K125-K128-K142),K125)))</f>
        <v>168750</v>
      </c>
      <c r="L147" s="3" t="str">
        <f>IF(ISBLANK(M147),"",MAX(L$5:L146)+1)</f>
        <v/>
      </c>
      <c r="M147" s="31"/>
    </row>
    <row r="148" spans="2:14">
      <c r="B148" s="30" t="s">
        <v>60</v>
      </c>
      <c r="C148" s="59"/>
      <c r="D148" s="53" t="s">
        <v>5</v>
      </c>
      <c r="E148" s="59">
        <f>E126-E140</f>
        <v>0</v>
      </c>
      <c r="F148" s="59">
        <f t="shared" ref="F148:K148" si="44">F126-F140</f>
        <v>0</v>
      </c>
      <c r="G148" s="59">
        <f t="shared" si="44"/>
        <v>0</v>
      </c>
      <c r="H148" s="59">
        <f t="shared" si="44"/>
        <v>0</v>
      </c>
      <c r="I148" s="59">
        <f t="shared" si="44"/>
        <v>0</v>
      </c>
      <c r="J148" s="59">
        <f t="shared" si="44"/>
        <v>0</v>
      </c>
      <c r="K148" s="59">
        <f t="shared" si="44"/>
        <v>0</v>
      </c>
      <c r="L148" s="3" t="str">
        <f>IF(ISBLANK(M148),"",MAX(L$5:L147)+1)</f>
        <v/>
      </c>
    </row>
    <row r="149" spans="2:14">
      <c r="B149" s="30" t="str">
        <f>"Shares, "&amp;B146</f>
        <v>Shares, Preferred, A</v>
      </c>
      <c r="C149" s="59"/>
      <c r="D149" s="29" t="s">
        <v>5</v>
      </c>
      <c r="E149" s="59">
        <f t="shared" ref="E149:K149" si="45">$G59</f>
        <v>0</v>
      </c>
      <c r="F149" s="59">
        <f t="shared" si="45"/>
        <v>0</v>
      </c>
      <c r="G149" s="59">
        <f t="shared" si="45"/>
        <v>0</v>
      </c>
      <c r="H149" s="59">
        <f t="shared" si="45"/>
        <v>0</v>
      </c>
      <c r="I149" s="59">
        <f t="shared" si="45"/>
        <v>0</v>
      </c>
      <c r="J149" s="59">
        <f t="shared" si="45"/>
        <v>0</v>
      </c>
      <c r="K149" s="59">
        <f t="shared" si="45"/>
        <v>0</v>
      </c>
      <c r="L149" s="3" t="str">
        <f>IF(ISBLANK(M149),"",MAX(L$5:L148)+1)</f>
        <v/>
      </c>
    </row>
    <row r="150" spans="2:14">
      <c r="B150" s="30" t="s">
        <v>63</v>
      </c>
      <c r="C150" s="32"/>
      <c r="D150" s="29" t="str">
        <f t="shared" ref="D150:D155" si="46">D$5</f>
        <v>$</v>
      </c>
      <c r="E150" s="32">
        <f t="shared" ref="E150:K150" si="47">$G61</f>
        <v>0</v>
      </c>
      <c r="F150" s="32">
        <f t="shared" si="47"/>
        <v>0</v>
      </c>
      <c r="G150" s="32">
        <f t="shared" si="47"/>
        <v>0</v>
      </c>
      <c r="H150" s="32">
        <f t="shared" si="47"/>
        <v>0</v>
      </c>
      <c r="I150" s="32">
        <f t="shared" si="47"/>
        <v>0</v>
      </c>
      <c r="J150" s="32">
        <f t="shared" si="47"/>
        <v>0</v>
      </c>
      <c r="K150" s="32">
        <f t="shared" si="47"/>
        <v>0</v>
      </c>
      <c r="L150" s="3" t="str">
        <f>IF(ISBLANK(M150),"",MAX(L$5:L149)+1)</f>
        <v/>
      </c>
    </row>
    <row r="151" spans="2:14">
      <c r="B151" s="30" t="s">
        <v>65</v>
      </c>
      <c r="C151" s="32"/>
      <c r="D151" s="29" t="str">
        <f t="shared" si="46"/>
        <v>$</v>
      </c>
      <c r="E151" s="32" t="str">
        <f>IF($G$62=$B$330,$G60*$G$63,IF($G$62=$B$331,0,"na"))</f>
        <v>na</v>
      </c>
      <c r="F151" s="32" t="str">
        <f>IF($G$62=$B$330,$G60*$G$63,IF($G$62=$B$331,0,"na"))</f>
        <v>na</v>
      </c>
      <c r="G151" s="32" t="str">
        <f>IF($G$62=$B$330,$G60*$G$63,IF($G$62=$B$331,0,"na"))</f>
        <v>na</v>
      </c>
      <c r="H151" s="32" t="str">
        <f>IF($G$62=$B$330,$G60*$G$63,IF($G$62=$B$331,0,"na"))</f>
        <v>na</v>
      </c>
      <c r="I151" s="32" t="str">
        <f>IF($G$62=$B$330,$G60*$G$63,IF($G$62=$B$331,0,"na"))</f>
        <v>na</v>
      </c>
      <c r="J151" s="32" t="str">
        <f>IF($G$62=$B$330,$G60*$G$63,IF($G$62=$B$331,0,"na"))</f>
        <v>na</v>
      </c>
      <c r="K151" s="32" t="str">
        <f>IF($G$62=$B$330,$G60*$G$63,IF($G$62=$B$331,0,"na"))</f>
        <v>na</v>
      </c>
      <c r="L151" s="3" t="str">
        <f>IF(ISBLANK(M151),"",MAX(L$5:L150)+1)</f>
        <v/>
      </c>
    </row>
    <row r="152" spans="2:14">
      <c r="B152" s="33" t="str">
        <f>"Note: Implied Proceeds, do not convert to Common, if "&amp;B$329</f>
        <v>Note: Implied Proceeds, do not convert to Common, if Non Participating Preferred</v>
      </c>
      <c r="C152" s="59"/>
      <c r="D152" s="29" t="str">
        <f t="shared" si="46"/>
        <v>$</v>
      </c>
      <c r="E152" s="59">
        <f>MIN(E147,E150)</f>
        <v>0</v>
      </c>
      <c r="F152" s="59">
        <f t="shared" ref="F152:K152" si="48">MIN(F147,F150)</f>
        <v>0</v>
      </c>
      <c r="G152" s="59">
        <f t="shared" si="48"/>
        <v>0</v>
      </c>
      <c r="H152" s="59">
        <f t="shared" si="48"/>
        <v>0</v>
      </c>
      <c r="I152" s="59">
        <f t="shared" si="48"/>
        <v>0</v>
      </c>
      <c r="J152" s="59">
        <f t="shared" si="48"/>
        <v>0</v>
      </c>
      <c r="K152" s="59">
        <f t="shared" si="48"/>
        <v>0</v>
      </c>
      <c r="L152" s="3" t="str">
        <f>IF(ISBLANK(M152),"",MAX(L$5:L151)+1)</f>
        <v/>
      </c>
    </row>
    <row r="153" spans="2:14">
      <c r="B153" s="33" t="str">
        <f>"Note: Implied Proceeds, do not convert to Common, if "&amp;B$330</f>
        <v>Note: Implied Proceeds, do not convert to Common, if Participating Preferred with a Cap</v>
      </c>
      <c r="C153" s="59"/>
      <c r="D153" s="29" t="str">
        <f t="shared" si="46"/>
        <v>$</v>
      </c>
      <c r="E153" s="59">
        <f t="shared" ref="E153:K153" si="49">IFERROR(IF($E$8="no",MIN(MAX(0,E$94)/E$98*E149+E150,E147,$G$60*$G$63),MIN(E$199*E149+E150,E147,$G$60*$G$63)),0)</f>
        <v>0</v>
      </c>
      <c r="F153" s="59">
        <f t="shared" si="49"/>
        <v>0</v>
      </c>
      <c r="G153" s="59">
        <f t="shared" si="49"/>
        <v>0</v>
      </c>
      <c r="H153" s="59">
        <f t="shared" si="49"/>
        <v>0</v>
      </c>
      <c r="I153" s="59">
        <f t="shared" si="49"/>
        <v>0</v>
      </c>
      <c r="J153" s="59">
        <f t="shared" si="49"/>
        <v>0</v>
      </c>
      <c r="K153" s="59">
        <f t="shared" si="49"/>
        <v>0</v>
      </c>
      <c r="L153" s="3" t="str">
        <f>IF(ISBLANK(M153),"",MAX(L$5:L152)+1)</f>
        <v/>
      </c>
    </row>
    <row r="154" spans="2:14">
      <c r="B154" s="33" t="str">
        <f>"Note: Implied Proceeds, do not convert to Common, if "&amp;B$331</f>
        <v>Note: Implied Proceeds, do not convert to Common, if Full Participating Preferred</v>
      </c>
      <c r="C154" s="59"/>
      <c r="D154" s="29" t="str">
        <f t="shared" si="46"/>
        <v>$</v>
      </c>
      <c r="E154" s="59">
        <f>IFERROR(MIN(E$199*E149+E150,E147),0)</f>
        <v>0</v>
      </c>
      <c r="F154" s="59">
        <f t="shared" ref="F154:K154" si="50">IFERROR(MIN(F$199*F149+F150,F147),0)</f>
        <v>0</v>
      </c>
      <c r="G154" s="59">
        <f t="shared" si="50"/>
        <v>0</v>
      </c>
      <c r="H154" s="59">
        <f t="shared" si="50"/>
        <v>0</v>
      </c>
      <c r="I154" s="59">
        <f t="shared" si="50"/>
        <v>0</v>
      </c>
      <c r="J154" s="59">
        <f t="shared" si="50"/>
        <v>0</v>
      </c>
      <c r="K154" s="59">
        <f t="shared" si="50"/>
        <v>0</v>
      </c>
      <c r="L154" s="3" t="str">
        <f>IF(ISBLANK(M154),"",MAX(L$5:L153)+1)</f>
        <v/>
      </c>
    </row>
    <row r="155" spans="2:14">
      <c r="B155" s="33" t="s">
        <v>67</v>
      </c>
      <c r="C155" s="34"/>
      <c r="D155" s="29" t="str">
        <f t="shared" si="46"/>
        <v>$</v>
      </c>
      <c r="E155" s="34">
        <f>IFERROR(IF($E$8="no",MAX(0,E$94)/E$98*E149*$G$64,E$199*E149*$G$64),0)</f>
        <v>0</v>
      </c>
      <c r="F155" s="34">
        <f t="shared" ref="F155:K155" si="51">IFERROR(IF($E$8="no",MAX(0,F$94)/F$98*F149*$G$64,F$199*F149*$G$64),0)</f>
        <v>0</v>
      </c>
      <c r="G155" s="34">
        <f t="shared" si="51"/>
        <v>0</v>
      </c>
      <c r="H155" s="34">
        <f t="shared" si="51"/>
        <v>0</v>
      </c>
      <c r="I155" s="34">
        <f t="shared" si="51"/>
        <v>0</v>
      </c>
      <c r="J155" s="34">
        <f t="shared" si="51"/>
        <v>0</v>
      </c>
      <c r="K155" s="34">
        <f t="shared" si="51"/>
        <v>0</v>
      </c>
      <c r="L155" s="3" t="str">
        <f>IF(ISBLANK(M155),"",MAX(L$5:L154)+1)</f>
        <v/>
      </c>
      <c r="N155" s="72"/>
    </row>
    <row r="156" spans="2:14">
      <c r="B156" s="30" t="s">
        <v>69</v>
      </c>
      <c r="C156" s="61"/>
      <c r="D156" s="29" t="s">
        <v>15</v>
      </c>
      <c r="E156" s="61" t="str">
        <f>IF($G$62=$B$329,"no",IF($G$62=$B$331,"yes",IF(E153&gt;E155,"yes","no")))</f>
        <v>no</v>
      </c>
      <c r="F156" s="61" t="str">
        <f>IF($G$62=$B$329,"no",IF($G$62=$B$331,"yes",IF(F153&gt;F155,"yes","no")))</f>
        <v>no</v>
      </c>
      <c r="G156" s="61" t="str">
        <f>IF($G$62=$B$329,"no",IF($G$62=$B$331,"yes",IF(G153&gt;G155,"yes","no")))</f>
        <v>no</v>
      </c>
      <c r="H156" s="61" t="str">
        <f>IF($G$62=$B$329,"no",IF($G$62=$B$331,"yes",IF(H153&gt;H155,"yes","no")))</f>
        <v>no</v>
      </c>
      <c r="I156" s="61" t="str">
        <f>IF($G$62=$B$329,"no",IF($G$62=$B$331,"yes",IF(I153&gt;I155,"yes","no")))</f>
        <v>no</v>
      </c>
      <c r="J156" s="61" t="str">
        <f>IF($G$62=$B$329,"no",IF($G$62=$B$331,"yes",IF(J153&gt;J155,"yes","no")))</f>
        <v>no</v>
      </c>
      <c r="K156" s="61" t="str">
        <f>IF($G$62=$B$329,"no",IF($G$62=$B$331,"yes",IF(K153&gt;K155,"yes","no")))</f>
        <v>no</v>
      </c>
      <c r="L156" s="3" t="str">
        <f>IF(ISBLANK(M156),"",MAX(L$5:L155)+1)</f>
        <v/>
      </c>
    </row>
    <row r="157" spans="2:14">
      <c r="B157" s="30" t="s">
        <v>70</v>
      </c>
      <c r="C157" s="59"/>
      <c r="D157" s="29" t="s">
        <v>5</v>
      </c>
      <c r="E157" s="59">
        <f>IFERROR(IF(E156="yes",INDEX(E158:E160,MATCH($G$62,$B$329:$B$331,0))/E$199,0),0)</f>
        <v>0</v>
      </c>
      <c r="F157" s="59">
        <f>IFERROR(IF(F156="yes",INDEX(F158:F160,MATCH($G$62,$B$329:$B$331,0))/F$199,0),0)</f>
        <v>0</v>
      </c>
      <c r="G157" s="59">
        <f>IFERROR(IF(G156="yes",INDEX(G158:G160,MATCH($G$62,$B$329:$B$331,0))/G$199,0),0)</f>
        <v>0</v>
      </c>
      <c r="H157" s="59">
        <f>IFERROR(IF(H156="yes",INDEX(H158:H160,MATCH($G$62,$B$329:$B$331,0))/H$199,0),0)</f>
        <v>0</v>
      </c>
      <c r="I157" s="59">
        <f>IFERROR(IF(I156="yes",INDEX(I158:I160,MATCH($G$62,$B$329:$B$331,0))/I$199,0),0)</f>
        <v>0</v>
      </c>
      <c r="J157" s="59">
        <f>IFERROR(IF(J156="yes",INDEX(J158:J160,MATCH($G$62,$B$329:$B$331,0))/J$199,0),0)</f>
        <v>0</v>
      </c>
      <c r="K157" s="59">
        <f>IFERROR(IF(K156="yes",INDEX(K158:K160,MATCH($G$62,$B$329:$B$331,0))/K$199,0),0)</f>
        <v>0</v>
      </c>
      <c r="L157" s="3" t="str">
        <f>IF(ISBLANK(M157),"",MAX(L$5:L156)+1)</f>
        <v/>
      </c>
    </row>
    <row r="158" spans="2:14">
      <c r="B158" s="33" t="str">
        <f>"Note: Participation, if "&amp;B329</f>
        <v>Note: Participation, if Non Participating Preferred</v>
      </c>
      <c r="C158" s="59"/>
      <c r="D158" s="29" t="str">
        <f>D$5</f>
        <v>$</v>
      </c>
      <c r="E158" s="59">
        <f>MAX(0,E152-E$150)</f>
        <v>0</v>
      </c>
      <c r="F158" s="59">
        <f t="shared" ref="F158:K160" si="52">MAX(0,F152-F$150)</f>
        <v>0</v>
      </c>
      <c r="G158" s="59">
        <f t="shared" si="52"/>
        <v>0</v>
      </c>
      <c r="H158" s="59">
        <f t="shared" si="52"/>
        <v>0</v>
      </c>
      <c r="I158" s="59">
        <f t="shared" si="52"/>
        <v>0</v>
      </c>
      <c r="J158" s="59">
        <f t="shared" si="52"/>
        <v>0</v>
      </c>
      <c r="K158" s="59">
        <f t="shared" si="52"/>
        <v>0</v>
      </c>
      <c r="L158" s="3" t="str">
        <f>IF(ISBLANK(M158),"",MAX(L$5:L157)+1)</f>
        <v/>
      </c>
    </row>
    <row r="159" spans="2:14">
      <c r="B159" s="33" t="str">
        <f>"Note: Participation, if "&amp;B330</f>
        <v>Note: Participation, if Participating Preferred with a Cap</v>
      </c>
      <c r="C159" s="59"/>
      <c r="D159" s="29" t="str">
        <f>D$5</f>
        <v>$</v>
      </c>
      <c r="E159" s="59">
        <f>MAX(0,E153-E$150)</f>
        <v>0</v>
      </c>
      <c r="F159" s="59">
        <f t="shared" si="52"/>
        <v>0</v>
      </c>
      <c r="G159" s="59">
        <f t="shared" si="52"/>
        <v>0</v>
      </c>
      <c r="H159" s="59">
        <f t="shared" si="52"/>
        <v>0</v>
      </c>
      <c r="I159" s="59">
        <f t="shared" si="52"/>
        <v>0</v>
      </c>
      <c r="J159" s="59">
        <f t="shared" si="52"/>
        <v>0</v>
      </c>
      <c r="K159" s="59">
        <f t="shared" si="52"/>
        <v>0</v>
      </c>
      <c r="L159" s="3" t="str">
        <f>IF(ISBLANK(M159),"",MAX(L$5:L158)+1)</f>
        <v/>
      </c>
    </row>
    <row r="160" spans="2:14" s="55" customFormat="1">
      <c r="B160" s="33" t="str">
        <f>"Note: Participation, if "&amp;B331</f>
        <v>Note: Participation, if Full Participating Preferred</v>
      </c>
      <c r="C160" s="59"/>
      <c r="D160" s="29" t="str">
        <f>D$5</f>
        <v>$</v>
      </c>
      <c r="E160" s="59">
        <f>MAX(0,E154-E$150)</f>
        <v>0</v>
      </c>
      <c r="F160" s="59">
        <f t="shared" si="52"/>
        <v>0</v>
      </c>
      <c r="G160" s="59">
        <f t="shared" si="52"/>
        <v>0</v>
      </c>
      <c r="H160" s="59">
        <f t="shared" si="52"/>
        <v>0</v>
      </c>
      <c r="I160" s="59">
        <f t="shared" si="52"/>
        <v>0</v>
      </c>
      <c r="J160" s="59">
        <f t="shared" si="52"/>
        <v>0</v>
      </c>
      <c r="K160" s="59">
        <f t="shared" si="52"/>
        <v>0</v>
      </c>
      <c r="L160" s="3" t="str">
        <f>IF(ISBLANK(M160),"",MAX(L$5:L159)+1)</f>
        <v/>
      </c>
    </row>
    <row r="161" spans="2:13" s="55" customFormat="1">
      <c r="B161" s="30" t="s">
        <v>73</v>
      </c>
      <c r="C161" s="61"/>
      <c r="D161" s="29" t="s">
        <v>15</v>
      </c>
      <c r="E161" s="61" t="str">
        <f>IF($G$62=$B$329,IF(E152&gt;E155,"no","yes"),IF(E156="yes","no","yes"))</f>
        <v>yes</v>
      </c>
      <c r="F161" s="61" t="str">
        <f>IF($G$62=$B$329,IF(F152&gt;F155,"no","yes"),IF(F156="yes","no","yes"))</f>
        <v>yes</v>
      </c>
      <c r="G161" s="61" t="str">
        <f>IF($G$62=$B$329,IF(G152&gt;G155,"no","yes"),IF(G156="yes","no","yes"))</f>
        <v>yes</v>
      </c>
      <c r="H161" s="61" t="str">
        <f>IF($G$62=$B$329,IF(H152&gt;H155,"no","yes"),IF(H156="yes","no","yes"))</f>
        <v>yes</v>
      </c>
      <c r="I161" s="61" t="str">
        <f>IF($G$62=$B$329,IF(I152&gt;I155,"no","yes"),IF(I156="yes","no","yes"))</f>
        <v>yes</v>
      </c>
      <c r="J161" s="61" t="str">
        <f>IF($G$62=$B$329,IF(J152&gt;J155,"no","yes"),IF(J156="yes","no","yes"))</f>
        <v>yes</v>
      </c>
      <c r="K161" s="61" t="str">
        <f>IF($G$62=$B$329,IF(K152&gt;K155,"no","yes"),IF(K156="yes","no","yes"))</f>
        <v>yes</v>
      </c>
      <c r="L161" s="3" t="str">
        <f>IF(ISBLANK(M161),"",MAX(L$5:L160)+1)</f>
        <v/>
      </c>
    </row>
    <row r="162" spans="2:13" s="55" customFormat="1">
      <c r="B162" s="30" t="s">
        <v>75</v>
      </c>
      <c r="C162" s="59"/>
      <c r="D162" s="29" t="s">
        <v>5</v>
      </c>
      <c r="E162" s="59">
        <f>IF(E161="yes",E149*$G$64,0)</f>
        <v>0</v>
      </c>
      <c r="F162" s="59">
        <f t="shared" ref="F162:K162" si="53">IF(F161="yes",F149*$G$64,0)</f>
        <v>0</v>
      </c>
      <c r="G162" s="59">
        <f t="shared" si="53"/>
        <v>0</v>
      </c>
      <c r="H162" s="59">
        <f t="shared" si="53"/>
        <v>0</v>
      </c>
      <c r="I162" s="59">
        <f t="shared" si="53"/>
        <v>0</v>
      </c>
      <c r="J162" s="59">
        <f t="shared" si="53"/>
        <v>0</v>
      </c>
      <c r="K162" s="59">
        <f t="shared" si="53"/>
        <v>0</v>
      </c>
      <c r="L162" s="3" t="str">
        <f>IF(ISBLANK(M162),"",MAX(L$5:L161)+1)</f>
        <v/>
      </c>
    </row>
    <row r="163" spans="2:13" s="55" customFormat="1">
      <c r="B163" s="30" t="s">
        <v>77</v>
      </c>
      <c r="C163" s="34"/>
      <c r="D163" s="29" t="str">
        <f>D$5</f>
        <v>$</v>
      </c>
      <c r="E163" s="34">
        <f t="shared" ref="E163:K163" si="54">IF($E$8="yes",IFERROR(E162*E$199,0),IFERROR(E162/E$98*E$94,0))</f>
        <v>0</v>
      </c>
      <c r="F163" s="34">
        <f t="shared" si="54"/>
        <v>0</v>
      </c>
      <c r="G163" s="34">
        <f t="shared" si="54"/>
        <v>0</v>
      </c>
      <c r="H163" s="34">
        <f t="shared" si="54"/>
        <v>0</v>
      </c>
      <c r="I163" s="34">
        <f t="shared" si="54"/>
        <v>0</v>
      </c>
      <c r="J163" s="34">
        <f t="shared" si="54"/>
        <v>0</v>
      </c>
      <c r="K163" s="34">
        <f t="shared" si="54"/>
        <v>0</v>
      </c>
      <c r="L163" s="3" t="str">
        <f>IF(ISBLANK(M163),"",MAX(L$5:L162)+1)</f>
        <v/>
      </c>
    </row>
    <row r="164" spans="2:13" s="55" customFormat="1">
      <c r="B164" s="30" t="s">
        <v>41</v>
      </c>
      <c r="C164" s="34"/>
      <c r="D164" s="29" t="str">
        <f>D$5</f>
        <v>$</v>
      </c>
      <c r="E164" s="34">
        <f>IF(OR(E161="yes",$G$65=$B$336),0,IF($G$65=$B$334,$G$66*$G$60,ROUND(YEARFRAC($G$67,$E$6,1),0)*$G$66*$G$60))</f>
        <v>0</v>
      </c>
      <c r="F164" s="34">
        <f>IF(OR(F161="yes",$G$65=$B$336),0,IF($G$65=$B$334,$G$66*$G$60,ROUND(YEARFRAC($G$67,$E$6,1),0)*$G$66*$G$60))</f>
        <v>0</v>
      </c>
      <c r="G164" s="34">
        <f>IF(OR(G161="yes",$G$65=$B$336),0,IF($G$65=$B$334,$G$66*$G$60,ROUND(YEARFRAC($G$67,$E$6,1),0)*$G$66*$G$60))</f>
        <v>0</v>
      </c>
      <c r="H164" s="34">
        <f>IF(OR(H161="yes",$G$65=$B$336),0,IF($G$65=$B$334,$G$66*$G$60,ROUND(YEARFRAC($G$67,$E$6,1),0)*$G$66*$G$60))</f>
        <v>0</v>
      </c>
      <c r="I164" s="34">
        <f>IF(OR(I161="yes",$G$65=$B$336),0,IF($G$65=$B$334,$G$66*$G$60,ROUND(YEARFRAC($G$67,$E$6,1),0)*$G$66*$G$60))</f>
        <v>0</v>
      </c>
      <c r="J164" s="34">
        <f>IF(OR(J161="yes",$G$65=$B$336),0,IF($G$65=$B$334,$G$66*$G$60,ROUND(YEARFRAC($G$67,$E$6,1),0)*$G$66*$G$60))</f>
        <v>0</v>
      </c>
      <c r="K164" s="34">
        <f>IF(OR(K161="yes",$G$65=$B$336),0,IF($G$65=$B$334,$G$66*$G$60,ROUND(YEARFRAC($G$67,$E$6,1),0)*$G$66*$G$60))</f>
        <v>0</v>
      </c>
      <c r="L164" s="3" t="str">
        <f>IF(ISBLANK(M164),"",MAX(L$5:L163)+1)</f>
        <v/>
      </c>
    </row>
    <row r="165" spans="2:13" s="55" customFormat="1">
      <c r="B165" s="30" t="str">
        <f>"Proceeds to "&amp;B146</f>
        <v>Proceeds to Preferred, A</v>
      </c>
      <c r="C165" s="59"/>
      <c r="D165" s="29" t="str">
        <f>D$5</f>
        <v>$</v>
      </c>
      <c r="E165" s="59">
        <f>MIN(E147,MAX(E164+INDEX(E152:E154,MATCH($G$62,$B$329:$B$331,0)),E163))</f>
        <v>0</v>
      </c>
      <c r="F165" s="59">
        <f>MIN(F147,MAX(F164+INDEX(F152:F154,MATCH($G$62,$B$329:$B$331,0)),F163))</f>
        <v>0</v>
      </c>
      <c r="G165" s="59">
        <f>MIN(G147,MAX(G164+INDEX(G152:G154,MATCH($G$62,$B$329:$B$331,0)),G163))</f>
        <v>0</v>
      </c>
      <c r="H165" s="59">
        <f>MIN(H147,MAX(H164+INDEX(H152:H154,MATCH($G$62,$B$329:$B$331,0)),H163))</f>
        <v>0</v>
      </c>
      <c r="I165" s="59">
        <f>MIN(I147,MAX(I164+INDEX(I152:I154,MATCH($G$62,$B$329:$B$331,0)),I163))</f>
        <v>0</v>
      </c>
      <c r="J165" s="59">
        <f>MIN(J147,MAX(J164+INDEX(J152:J154,MATCH($G$62,$B$329:$B$331,0)),J163))</f>
        <v>0</v>
      </c>
      <c r="K165" s="59">
        <f>MIN(K147,MAX(K164+INDEX(K152:K154,MATCH($G$62,$B$329:$B$331,0)),K163))</f>
        <v>0</v>
      </c>
      <c r="L165" s="3" t="str">
        <f>IF(ISBLANK(M165),"",MAX(L$5:L164)+1)</f>
        <v/>
      </c>
    </row>
    <row r="166" spans="2:13" s="55" customFormat="1">
      <c r="B166" s="30" t="s">
        <v>80</v>
      </c>
      <c r="C166" s="35"/>
      <c r="D166" s="29" t="str">
        <f>D$5</f>
        <v>$</v>
      </c>
      <c r="E166" s="35">
        <f>IFERROR(E165/E149,0)</f>
        <v>0</v>
      </c>
      <c r="F166" s="35">
        <f t="shared" ref="F166:K166" si="55">IFERROR(F165/F149,0)</f>
        <v>0</v>
      </c>
      <c r="G166" s="35">
        <f t="shared" si="55"/>
        <v>0</v>
      </c>
      <c r="H166" s="35">
        <f t="shared" si="55"/>
        <v>0</v>
      </c>
      <c r="I166" s="35">
        <f t="shared" si="55"/>
        <v>0</v>
      </c>
      <c r="J166" s="35">
        <f t="shared" si="55"/>
        <v>0</v>
      </c>
      <c r="K166" s="35">
        <f t="shared" si="55"/>
        <v>0</v>
      </c>
      <c r="L166" s="3" t="str">
        <f>IF(ISBLANK(M166),"",MAX(L$5:L165)+1)</f>
        <v/>
      </c>
    </row>
    <row r="167" spans="2:13" s="55" customFormat="1">
      <c r="B167" s="52"/>
      <c r="C167" s="52"/>
      <c r="D167" s="53"/>
      <c r="E167" s="52"/>
      <c r="F167" s="52"/>
      <c r="G167" s="52"/>
      <c r="H167" s="52"/>
      <c r="I167" s="34"/>
      <c r="J167" s="52"/>
      <c r="K167" s="52"/>
      <c r="L167" s="3" t="str">
        <f>IF(ISBLANK(M167),"",MAX(L$5:L166)+1)</f>
        <v/>
      </c>
    </row>
    <row r="168" spans="2:13">
      <c r="B168" s="33" t="str">
        <f>"Preferred, "&amp;H68</f>
        <v>Preferred, Seed</v>
      </c>
      <c r="D168" s="69"/>
      <c r="E168" s="59"/>
      <c r="F168" s="59"/>
      <c r="G168" s="59"/>
      <c r="H168" s="59"/>
      <c r="I168" s="59"/>
      <c r="J168" s="59"/>
      <c r="L168" s="3" t="str">
        <f>IF(ISBLANK(M168),"",MAX(L$5:L167)+1)</f>
        <v/>
      </c>
    </row>
    <row r="169" spans="2:13">
      <c r="B169" s="30" t="s">
        <v>58</v>
      </c>
      <c r="C169" s="59"/>
      <c r="D169" s="29" t="str">
        <f>D$5</f>
        <v>$</v>
      </c>
      <c r="E169" s="59">
        <f>IF(E161="no",MAX(0,E147-E150-E164),IF($G$62=$B$331,MAX(0,E147-E150-E164),IF(AND($G$62=$B$330,E163=0),MAX(0,E147-E150-E164),E147)))</f>
        <v>6250</v>
      </c>
      <c r="F169" s="59">
        <f>IF(F161="no",MAX(0,F147-F150-F164),IF($G$62=$B$331,MAX(0,F147-F150-F164),IF(AND($G$62=$B$330,F163=0),MAX(0,F147-F150-F164),F147)))</f>
        <v>12500</v>
      </c>
      <c r="G169" s="59">
        <f>IF(G161="no",MAX(0,G147-G150-G164),IF($G$62=$B$331,MAX(0,G147-G150-G164),IF(AND($G$62=$B$330,G163=0),MAX(0,G147-G150-G164),G147)))</f>
        <v>25000</v>
      </c>
      <c r="H169" s="59">
        <f>IF(H161="no",MAX(0,H147-H150-H164),IF($G$62=$B$331,MAX(0,H147-H150-H164),IF(AND($G$62=$B$330,H163=0),MAX(0,H147-H150-H164),H147)))</f>
        <v>50000</v>
      </c>
      <c r="I169" s="59">
        <f>IF(I161="no",MAX(0,I147-I150-I164),IF($G$62=$B$331,MAX(0,I147-I150-I164),IF(AND($G$62=$B$330,I163=0),MAX(0,I147-I150-I164),I147)))</f>
        <v>75000</v>
      </c>
      <c r="J169" s="59">
        <f>IF(J161="no",MAX(0,J147-J150-J164),IF($G$62=$B$331,MAX(0,J147-J150-J164),IF(AND($G$62=$B$330,J163=0),MAX(0,J147-J150-J164),J147)))</f>
        <v>112500</v>
      </c>
      <c r="K169" s="59">
        <f>IF(K161="no",MAX(0,K147-K150-K164),IF($G$62=$B$331,MAX(0,K147-K150-K164),IF(AND($G$62=$B$330,K163=0),MAX(0,K147-K150-K164),K147)))</f>
        <v>168750</v>
      </c>
      <c r="L169" s="3" t="str">
        <f>IF(ISBLANK(M169),"",MAX(L$5:L168)+1)</f>
        <v/>
      </c>
      <c r="M169" s="31"/>
    </row>
    <row r="170" spans="2:13">
      <c r="B170" s="30" t="s">
        <v>60</v>
      </c>
      <c r="C170" s="59"/>
      <c r="D170" s="53" t="s">
        <v>5</v>
      </c>
      <c r="E170" s="59">
        <f>E148-E162</f>
        <v>0</v>
      </c>
      <c r="F170" s="59">
        <f t="shared" ref="F170:K170" si="56">F148-F162</f>
        <v>0</v>
      </c>
      <c r="G170" s="59">
        <f t="shared" si="56"/>
        <v>0</v>
      </c>
      <c r="H170" s="59">
        <f t="shared" si="56"/>
        <v>0</v>
      </c>
      <c r="I170" s="59">
        <f t="shared" si="56"/>
        <v>0</v>
      </c>
      <c r="J170" s="59">
        <f t="shared" si="56"/>
        <v>0</v>
      </c>
      <c r="K170" s="59">
        <f t="shared" si="56"/>
        <v>0</v>
      </c>
      <c r="L170" s="3" t="str">
        <f>IF(ISBLANK(M170),"",MAX(L$5:L169)+1)</f>
        <v/>
      </c>
    </row>
    <row r="171" spans="2:13">
      <c r="B171" s="30" t="str">
        <f>"Shares, "&amp;B168</f>
        <v>Shares, Preferred, Seed</v>
      </c>
      <c r="C171" s="59"/>
      <c r="D171" s="29" t="s">
        <v>5</v>
      </c>
      <c r="E171" s="59">
        <f t="shared" ref="E171:K171" si="57">$H59</f>
        <v>0</v>
      </c>
      <c r="F171" s="59">
        <f t="shared" si="57"/>
        <v>0</v>
      </c>
      <c r="G171" s="59">
        <f t="shared" si="57"/>
        <v>0</v>
      </c>
      <c r="H171" s="59">
        <f t="shared" si="57"/>
        <v>0</v>
      </c>
      <c r="I171" s="59">
        <f t="shared" si="57"/>
        <v>0</v>
      </c>
      <c r="J171" s="59">
        <f t="shared" si="57"/>
        <v>0</v>
      </c>
      <c r="K171" s="59">
        <f t="shared" si="57"/>
        <v>0</v>
      </c>
      <c r="L171" s="3" t="str">
        <f>IF(ISBLANK(M171),"",MAX(L$5:L170)+1)</f>
        <v/>
      </c>
    </row>
    <row r="172" spans="2:13">
      <c r="B172" s="30" t="s">
        <v>63</v>
      </c>
      <c r="C172" s="32"/>
      <c r="D172" s="29" t="str">
        <f>D5</f>
        <v>$</v>
      </c>
      <c r="E172" s="32">
        <f t="shared" ref="E172:K172" si="58">$H61</f>
        <v>0</v>
      </c>
      <c r="F172" s="32">
        <f t="shared" si="58"/>
        <v>0</v>
      </c>
      <c r="G172" s="32">
        <f t="shared" si="58"/>
        <v>0</v>
      </c>
      <c r="H172" s="32">
        <f t="shared" si="58"/>
        <v>0</v>
      </c>
      <c r="I172" s="32">
        <f t="shared" si="58"/>
        <v>0</v>
      </c>
      <c r="J172" s="32">
        <f t="shared" si="58"/>
        <v>0</v>
      </c>
      <c r="K172" s="32">
        <f t="shared" si="58"/>
        <v>0</v>
      </c>
      <c r="L172" s="3" t="str">
        <f>IF(ISBLANK(M172),"",MAX(L$5:L171)+1)</f>
        <v/>
      </c>
    </row>
    <row r="173" spans="2:13">
      <c r="B173" s="30" t="s">
        <v>65</v>
      </c>
      <c r="C173" s="32"/>
      <c r="D173" s="29" t="str">
        <f>D$5</f>
        <v>$</v>
      </c>
      <c r="E173" s="32" t="str">
        <f>IF($H$62=$B$330,$H60*$H$63,IF($H$62=$B$331,0,"na"))</f>
        <v>na</v>
      </c>
      <c r="F173" s="32" t="str">
        <f>IF($H$62=$B$330,$H60*$H$63,IF($H$62=$B$331,0,"na"))</f>
        <v>na</v>
      </c>
      <c r="G173" s="32" t="str">
        <f>IF($H$62=$B$330,$H60*$H$63,IF($H$62=$B$331,0,"na"))</f>
        <v>na</v>
      </c>
      <c r="H173" s="32" t="str">
        <f>IF($H$62=$B$330,$H60*$H$63,IF($H$62=$B$331,0,"na"))</f>
        <v>na</v>
      </c>
      <c r="I173" s="32" t="str">
        <f>IF($H$62=$B$330,$H60*$H$63,IF($H$62=$B$331,0,"na"))</f>
        <v>na</v>
      </c>
      <c r="J173" s="32" t="str">
        <f>IF($H$62=$B$330,$H60*$H$63,IF($H$62=$B$331,0,"na"))</f>
        <v>na</v>
      </c>
      <c r="K173" s="32" t="str">
        <f>IF($H$62=$B$330,$H60*$H$63,IF($H$62=$B$331,0,"na"))</f>
        <v>na</v>
      </c>
      <c r="L173" s="3" t="str">
        <f>IF(ISBLANK(M173),"",MAX(L$5:L172)+1)</f>
        <v/>
      </c>
    </row>
    <row r="174" spans="2:13">
      <c r="B174" s="33" t="str">
        <f>"Note: Implied Proceeds, do not convert to Common, if "&amp;B$329</f>
        <v>Note: Implied Proceeds, do not convert to Common, if Non Participating Preferred</v>
      </c>
      <c r="C174" s="59"/>
      <c r="D174" s="29" t="str">
        <f>D$5</f>
        <v>$</v>
      </c>
      <c r="E174" s="59">
        <f>MIN(E169,E172)</f>
        <v>0</v>
      </c>
      <c r="F174" s="59">
        <f t="shared" ref="F174:K174" si="59">MIN(F169,F172)</f>
        <v>0</v>
      </c>
      <c r="G174" s="59">
        <f t="shared" si="59"/>
        <v>0</v>
      </c>
      <c r="H174" s="59">
        <f t="shared" si="59"/>
        <v>0</v>
      </c>
      <c r="I174" s="59">
        <f t="shared" si="59"/>
        <v>0</v>
      </c>
      <c r="J174" s="59">
        <f t="shared" si="59"/>
        <v>0</v>
      </c>
      <c r="K174" s="59">
        <f t="shared" si="59"/>
        <v>0</v>
      </c>
      <c r="L174" s="3" t="str">
        <f>IF(ISBLANK(M174),"",MAX(L$5:L173)+1)</f>
        <v/>
      </c>
    </row>
    <row r="175" spans="2:13">
      <c r="B175" s="33" t="str">
        <f>"Note: Implied Proceeds, do not convert to Common, if "&amp;B$330</f>
        <v>Note: Implied Proceeds, do not convert to Common, if Participating Preferred with a Cap</v>
      </c>
      <c r="C175" s="59"/>
      <c r="D175" s="29" t="str">
        <f>D$5</f>
        <v>$</v>
      </c>
      <c r="E175" s="59">
        <f t="shared" ref="E175:K175" si="60">IFERROR(IF($E$8="no",MIN(MAX(0,E$94)/E$98*E171+E172,E169,$H$60*$H$63),MIN(E$199*E171+E172,E169,$H$60*$H$63)),0)</f>
        <v>0</v>
      </c>
      <c r="F175" s="59">
        <f t="shared" si="60"/>
        <v>0</v>
      </c>
      <c r="G175" s="59">
        <f t="shared" si="60"/>
        <v>0</v>
      </c>
      <c r="H175" s="59">
        <f t="shared" si="60"/>
        <v>0</v>
      </c>
      <c r="I175" s="59">
        <f t="shared" si="60"/>
        <v>0</v>
      </c>
      <c r="J175" s="59">
        <f t="shared" si="60"/>
        <v>0</v>
      </c>
      <c r="K175" s="59">
        <f t="shared" si="60"/>
        <v>0</v>
      </c>
      <c r="L175" s="3" t="str">
        <f>IF(ISBLANK(M175),"",MAX(L$5:L174)+1)</f>
        <v/>
      </c>
    </row>
    <row r="176" spans="2:13">
      <c r="B176" s="33" t="str">
        <f>"Note: Implied Proceeds, do not convert to Common, if "&amp;B$331</f>
        <v>Note: Implied Proceeds, do not convert to Common, if Full Participating Preferred</v>
      </c>
      <c r="C176" s="59"/>
      <c r="D176" s="29" t="str">
        <f>D$5</f>
        <v>$</v>
      </c>
      <c r="E176" s="59">
        <f>IFERROR(MIN(E$199*E171+E172,E169),0)</f>
        <v>0</v>
      </c>
      <c r="F176" s="59">
        <f t="shared" ref="F176:K176" si="61">IFERROR(MIN(F$199*F171+F172,F169),0)</f>
        <v>0</v>
      </c>
      <c r="G176" s="59">
        <f t="shared" si="61"/>
        <v>0</v>
      </c>
      <c r="H176" s="59">
        <f t="shared" si="61"/>
        <v>0</v>
      </c>
      <c r="I176" s="59">
        <f t="shared" si="61"/>
        <v>0</v>
      </c>
      <c r="J176" s="59">
        <f t="shared" si="61"/>
        <v>0</v>
      </c>
      <c r="K176" s="59">
        <f t="shared" si="61"/>
        <v>0</v>
      </c>
      <c r="L176" s="3" t="str">
        <f>IF(ISBLANK(M176),"",MAX(L$5:L175)+1)</f>
        <v/>
      </c>
    </row>
    <row r="177" spans="1:26">
      <c r="B177" s="33" t="s">
        <v>67</v>
      </c>
      <c r="C177" s="34"/>
      <c r="D177" s="29" t="str">
        <f>D5</f>
        <v>$</v>
      </c>
      <c r="E177" s="34">
        <f>IFERROR(IF($E$8="no",MAX(0,E$94)/E$98*E171*$H$64,E$199*E171*$H$64),0)</f>
        <v>0</v>
      </c>
      <c r="F177" s="34">
        <f t="shared" ref="F177:K177" si="62">IFERROR(IF($E$8="no",MAX(0,F$94)/F$98*F171*$H$64,F$199*F171*$H$64),0)</f>
        <v>0</v>
      </c>
      <c r="G177" s="34">
        <f t="shared" si="62"/>
        <v>0</v>
      </c>
      <c r="H177" s="34">
        <f t="shared" si="62"/>
        <v>0</v>
      </c>
      <c r="I177" s="34">
        <f t="shared" si="62"/>
        <v>0</v>
      </c>
      <c r="J177" s="34">
        <f t="shared" si="62"/>
        <v>0</v>
      </c>
      <c r="K177" s="34">
        <f t="shared" si="62"/>
        <v>0</v>
      </c>
      <c r="L177" s="3" t="str">
        <f>IF(ISBLANK(M177),"",MAX(L$5:L176)+1)</f>
        <v/>
      </c>
      <c r="N177" s="72"/>
    </row>
    <row r="178" spans="1:26">
      <c r="B178" s="30" t="s">
        <v>69</v>
      </c>
      <c r="C178" s="61"/>
      <c r="D178" s="29" t="s">
        <v>15</v>
      </c>
      <c r="E178" s="61" t="str">
        <f>IF($H$62=$B$329,"no",IF($H$62=$B$331,"yes",IF(E175&gt;E177,"yes","no")))</f>
        <v>no</v>
      </c>
      <c r="F178" s="61" t="str">
        <f>IF($H$62=$B$329,"no",IF($H$62=$B$331,"yes",IF(F175&gt;F177,"yes","no")))</f>
        <v>no</v>
      </c>
      <c r="G178" s="61" t="str">
        <f>IF($H$62=$B$329,"no",IF($H$62=$B$331,"yes",IF(G175&gt;G177,"yes","no")))</f>
        <v>no</v>
      </c>
      <c r="H178" s="61" t="str">
        <f>IF($H$62=$B$329,"no",IF($H$62=$B$331,"yes",IF(H175&gt;H177,"yes","no")))</f>
        <v>no</v>
      </c>
      <c r="I178" s="61" t="str">
        <f>IF($H$62=$B$329,"no",IF($H$62=$B$331,"yes",IF(I175&gt;I177,"yes","no")))</f>
        <v>no</v>
      </c>
      <c r="J178" s="61" t="str">
        <f>IF($H$62=$B$329,"no",IF($H$62=$B$331,"yes",IF(J175&gt;J177,"yes","no")))</f>
        <v>no</v>
      </c>
      <c r="K178" s="61" t="str">
        <f>IF($H$62=$B$329,"no",IF($H$62=$B$331,"yes",IF(K175&gt;K177,"yes","no")))</f>
        <v>no</v>
      </c>
      <c r="L178" s="3" t="str">
        <f>IF(ISBLANK(M178),"",MAX(L$5:L177)+1)</f>
        <v/>
      </c>
    </row>
    <row r="179" spans="1:26">
      <c r="B179" s="30" t="s">
        <v>70</v>
      </c>
      <c r="C179" s="59"/>
      <c r="D179" s="29" t="s">
        <v>5</v>
      </c>
      <c r="E179" s="59">
        <f>IFERROR(IF(E178="yes",INDEX(E180:E182,MATCH($H$62,$B$329:$B$331,0))/E$199,0),0)</f>
        <v>0</v>
      </c>
      <c r="F179" s="59">
        <f>IFERROR(IF(F178="yes",INDEX(F180:F182,MATCH($H$62,$B$329:$B$331,0))/F$199,0),0)</f>
        <v>0</v>
      </c>
      <c r="G179" s="59">
        <f>IFERROR(IF(G178="yes",INDEX(G180:G182,MATCH($H$62,$B$329:$B$331,0))/G$199,0),0)</f>
        <v>0</v>
      </c>
      <c r="H179" s="59">
        <f>IFERROR(IF(H178="yes",INDEX(H180:H182,MATCH($H$62,$B$329:$B$331,0))/H$199,0),0)</f>
        <v>0</v>
      </c>
      <c r="I179" s="59">
        <f>IFERROR(IF(I178="yes",INDEX(I180:I182,MATCH($H$62,$B$329:$B$331,0))/I$199,0),0)</f>
        <v>0</v>
      </c>
      <c r="J179" s="59">
        <f>IFERROR(IF(J178="yes",INDEX(J180:J182,MATCH($H$62,$B$329:$B$331,0))/J$199,0),0)</f>
        <v>0</v>
      </c>
      <c r="K179" s="59">
        <f>IFERROR(IF(K178="yes",INDEX(K180:K182,MATCH($H$62,$B$329:$B$331,0))/K$199,0),0)</f>
        <v>0</v>
      </c>
      <c r="L179" s="3" t="str">
        <f>IF(ISBLANK(M179),"",MAX(L$5:L178)+1)</f>
        <v/>
      </c>
    </row>
    <row r="180" spans="1:26">
      <c r="B180" s="33" t="str">
        <f>"Note: Participation, if "&amp;B329</f>
        <v>Note: Participation, if Non Participating Preferred</v>
      </c>
      <c r="C180" s="59"/>
      <c r="D180" s="29" t="str">
        <f>D$5</f>
        <v>$</v>
      </c>
      <c r="E180" s="59">
        <f>MAX(0,E174-E$172)</f>
        <v>0</v>
      </c>
      <c r="F180" s="59">
        <f t="shared" ref="F180:K182" si="63">MAX(0,F174-F$172)</f>
        <v>0</v>
      </c>
      <c r="G180" s="59">
        <f t="shared" si="63"/>
        <v>0</v>
      </c>
      <c r="H180" s="59">
        <f t="shared" si="63"/>
        <v>0</v>
      </c>
      <c r="I180" s="59">
        <f t="shared" si="63"/>
        <v>0</v>
      </c>
      <c r="J180" s="59">
        <f t="shared" si="63"/>
        <v>0</v>
      </c>
      <c r="K180" s="59">
        <f t="shared" si="63"/>
        <v>0</v>
      </c>
      <c r="L180" s="3" t="str">
        <f>IF(ISBLANK(M180),"",MAX(L$5:L179)+1)</f>
        <v/>
      </c>
    </row>
    <row r="181" spans="1:26" s="55" customFormat="1">
      <c r="A181" s="52"/>
      <c r="B181" s="33" t="str">
        <f>"Note: Participation, if "&amp;B330</f>
        <v>Note: Participation, if Participating Preferred with a Cap</v>
      </c>
      <c r="C181" s="59"/>
      <c r="D181" s="29" t="str">
        <f>D$5</f>
        <v>$</v>
      </c>
      <c r="E181" s="59">
        <f>MAX(0,E175-E$172)</f>
        <v>0</v>
      </c>
      <c r="F181" s="59">
        <f t="shared" si="63"/>
        <v>0</v>
      </c>
      <c r="G181" s="59">
        <f t="shared" si="63"/>
        <v>0</v>
      </c>
      <c r="H181" s="59">
        <f t="shared" si="63"/>
        <v>0</v>
      </c>
      <c r="I181" s="59">
        <f t="shared" si="63"/>
        <v>0</v>
      </c>
      <c r="J181" s="59">
        <f t="shared" si="63"/>
        <v>0</v>
      </c>
      <c r="K181" s="59">
        <f t="shared" si="63"/>
        <v>0</v>
      </c>
      <c r="L181" s="3" t="str">
        <f>IF(ISBLANK(M181),"",MAX(L$5:L180)+1)</f>
        <v/>
      </c>
      <c r="N181" s="52"/>
      <c r="O181" s="52"/>
      <c r="P181" s="52"/>
      <c r="Q181" s="52"/>
      <c r="R181" s="52"/>
      <c r="S181" s="52"/>
      <c r="T181" s="52"/>
      <c r="U181" s="52"/>
      <c r="V181" s="52"/>
      <c r="W181" s="52"/>
      <c r="X181" s="52"/>
      <c r="Y181" s="52"/>
      <c r="Z181" s="52"/>
    </row>
    <row r="182" spans="1:26" s="55" customFormat="1">
      <c r="B182" s="33" t="str">
        <f>"Note: Participation, if "&amp;B331</f>
        <v>Note: Participation, if Full Participating Preferred</v>
      </c>
      <c r="C182" s="59"/>
      <c r="D182" s="29" t="str">
        <f>D$5</f>
        <v>$</v>
      </c>
      <c r="E182" s="59">
        <f>MAX(0,E176-E$172)</f>
        <v>0</v>
      </c>
      <c r="F182" s="59">
        <f t="shared" si="63"/>
        <v>0</v>
      </c>
      <c r="G182" s="59">
        <f t="shared" si="63"/>
        <v>0</v>
      </c>
      <c r="H182" s="59">
        <f t="shared" si="63"/>
        <v>0</v>
      </c>
      <c r="I182" s="59">
        <f t="shared" si="63"/>
        <v>0</v>
      </c>
      <c r="J182" s="59">
        <f t="shared" si="63"/>
        <v>0</v>
      </c>
      <c r="K182" s="59">
        <f t="shared" si="63"/>
        <v>0</v>
      </c>
      <c r="L182" s="3" t="str">
        <f>IF(ISBLANK(M182),"",MAX(L$5:L181)+1)</f>
        <v/>
      </c>
    </row>
    <row r="183" spans="1:26" s="55" customFormat="1">
      <c r="B183" s="30" t="s">
        <v>73</v>
      </c>
      <c r="C183" s="61"/>
      <c r="D183" s="29" t="s">
        <v>15</v>
      </c>
      <c r="E183" s="61" t="str">
        <f>IF($H$62=$B$329,IF(E174&gt;E177,"no","yes"),IF(E178="yes","no","yes"))</f>
        <v>yes</v>
      </c>
      <c r="F183" s="61" t="str">
        <f>IF($H$62=$B$329,IF(F174&gt;F177,"no","yes"),IF(F178="yes","no","yes"))</f>
        <v>yes</v>
      </c>
      <c r="G183" s="61" t="str">
        <f>IF($H$62=$B$329,IF(G174&gt;G177,"no","yes"),IF(G178="yes","no","yes"))</f>
        <v>yes</v>
      </c>
      <c r="H183" s="61" t="str">
        <f>IF($H$62=$B$329,IF(H174&gt;H177,"no","yes"),IF(H178="yes","no","yes"))</f>
        <v>yes</v>
      </c>
      <c r="I183" s="61" t="str">
        <f>IF($H$62=$B$329,IF(I174&gt;I177,"no","yes"),IF(I178="yes","no","yes"))</f>
        <v>yes</v>
      </c>
      <c r="J183" s="61" t="str">
        <f>IF($H$62=$B$329,IF(J174&gt;J177,"no","yes"),IF(J178="yes","no","yes"))</f>
        <v>yes</v>
      </c>
      <c r="K183" s="61" t="str">
        <f>IF($H$62=$B$329,IF(K174&gt;K177,"no","yes"),IF(K178="yes","no","yes"))</f>
        <v>yes</v>
      </c>
      <c r="L183" s="3" t="str">
        <f>IF(ISBLANK(M183),"",MAX(L$5:L182)+1)</f>
        <v/>
      </c>
    </row>
    <row r="184" spans="1:26" s="55" customFormat="1">
      <c r="B184" s="30" t="s">
        <v>75</v>
      </c>
      <c r="C184" s="59"/>
      <c r="D184" s="29" t="s">
        <v>5</v>
      </c>
      <c r="E184" s="59">
        <f>IF(E183="yes",E171*$H$64,0)</f>
        <v>0</v>
      </c>
      <c r="F184" s="59">
        <f t="shared" ref="F184:K184" si="64">IF(F183="yes",F171*$H$64,0)</f>
        <v>0</v>
      </c>
      <c r="G184" s="59">
        <f t="shared" si="64"/>
        <v>0</v>
      </c>
      <c r="H184" s="59">
        <f t="shared" si="64"/>
        <v>0</v>
      </c>
      <c r="I184" s="59">
        <f t="shared" si="64"/>
        <v>0</v>
      </c>
      <c r="J184" s="59">
        <f t="shared" si="64"/>
        <v>0</v>
      </c>
      <c r="K184" s="59">
        <f t="shared" si="64"/>
        <v>0</v>
      </c>
      <c r="L184" s="3" t="str">
        <f>IF(ISBLANK(M184),"",MAX(L$5:L183)+1)</f>
        <v/>
      </c>
    </row>
    <row r="185" spans="1:26" s="55" customFormat="1">
      <c r="B185" s="30" t="s">
        <v>77</v>
      </c>
      <c r="C185" s="34"/>
      <c r="D185" s="29" t="str">
        <f>D5</f>
        <v>$</v>
      </c>
      <c r="E185" s="34">
        <f t="shared" ref="E185:K185" si="65">IF($E$8="yes",IFERROR(E184*E$199,0),IFERROR(E184/E$98*E$94,0))</f>
        <v>0</v>
      </c>
      <c r="F185" s="34">
        <f t="shared" si="65"/>
        <v>0</v>
      </c>
      <c r="G185" s="34">
        <f t="shared" si="65"/>
        <v>0</v>
      </c>
      <c r="H185" s="34">
        <f t="shared" si="65"/>
        <v>0</v>
      </c>
      <c r="I185" s="34">
        <f t="shared" si="65"/>
        <v>0</v>
      </c>
      <c r="J185" s="34">
        <f t="shared" si="65"/>
        <v>0</v>
      </c>
      <c r="K185" s="34">
        <f t="shared" si="65"/>
        <v>0</v>
      </c>
      <c r="L185" s="3" t="str">
        <f>IF(ISBLANK(M185),"",MAX(L$5:L184)+1)</f>
        <v/>
      </c>
    </row>
    <row r="186" spans="1:26" s="55" customFormat="1">
      <c r="B186" s="30" t="s">
        <v>41</v>
      </c>
      <c r="C186" s="34"/>
      <c r="D186" s="29" t="str">
        <f>D$5</f>
        <v>$</v>
      </c>
      <c r="E186" s="34">
        <f>IF(OR(E183="yes",$H$65=$B$336),0,IF($H$65=$B$334,$H$66*$H$60,ROUND(YEARFRAC($H$67,$E$6,1),0)*$H$66*$H$60))</f>
        <v>0</v>
      </c>
      <c r="F186" s="34">
        <f>IF(OR(F183="yes",$H$65=$B$336),0,IF($H$65=$B$334,$H$66*$H$60,ROUND(YEARFRAC($H$67,$E$6,1),0)*$H$66*$H$60))</f>
        <v>0</v>
      </c>
      <c r="G186" s="34">
        <f>IF(OR(G183="yes",$H$65=$B$336),0,IF($H$65=$B$334,$H$66*$H$60,ROUND(YEARFRAC($H$67,$E$6,1),0)*$H$66*$H$60))</f>
        <v>0</v>
      </c>
      <c r="H186" s="34">
        <f>IF(OR(H183="yes",$H$65=$B$336),0,IF($H$65=$B$334,$H$66*$H$60,ROUND(YEARFRAC($H$67,$E$6,1),0)*$H$66*$H$60))</f>
        <v>0</v>
      </c>
      <c r="I186" s="34">
        <f>IF(OR(I183="yes",$H$65=$B$336),0,IF($H$65=$B$334,$H$66*$H$60,ROUND(YEARFRAC($H$67,$E$6,1),0)*$H$66*$H$60))</f>
        <v>0</v>
      </c>
      <c r="J186" s="34">
        <f>IF(OR(J183="yes",$H$65=$B$336),0,IF($H$65=$B$334,$H$66*$H$60,ROUND(YEARFRAC($H$67,$E$6,1),0)*$H$66*$H$60))</f>
        <v>0</v>
      </c>
      <c r="K186" s="34">
        <f>IF(OR(K183="yes",$H$65=$B$336),0,IF($H$65=$B$334,$H$66*$H$60,ROUND(YEARFRAC($H$67,$E$6,1),0)*$H$66*$H$60))</f>
        <v>0</v>
      </c>
      <c r="L186" s="3" t="str">
        <f>IF(ISBLANK(M186),"",MAX(L$5:L185)+1)</f>
        <v/>
      </c>
    </row>
    <row r="187" spans="1:26" s="55" customFormat="1">
      <c r="B187" s="30" t="str">
        <f>"Proceeds to "&amp;B168</f>
        <v>Proceeds to Preferred, Seed</v>
      </c>
      <c r="C187" s="59"/>
      <c r="D187" s="29" t="str">
        <f>D5</f>
        <v>$</v>
      </c>
      <c r="E187" s="59">
        <f>MIN(E169,MAX(E186+INDEX(E174:E176,MATCH($H$62,$B$329:$B$331,0)),E185))</f>
        <v>0</v>
      </c>
      <c r="F187" s="59">
        <f>MIN(F169,MAX(F186+INDEX(F174:F176,MATCH($H$62,$B$329:$B$331,0)),F185))</f>
        <v>0</v>
      </c>
      <c r="G187" s="59">
        <f>MIN(G169,MAX(G186+INDEX(G174:G176,MATCH($H$62,$B$329:$B$331,0)),G185))</f>
        <v>0</v>
      </c>
      <c r="H187" s="59">
        <f>MIN(H169,MAX(H186+INDEX(H174:H176,MATCH($H$62,$B$329:$B$331,0)),H185))</f>
        <v>0</v>
      </c>
      <c r="I187" s="59">
        <f>MIN(I169,MAX(I186+INDEX(I174:I176,MATCH($H$62,$B$329:$B$331,0)),I185))</f>
        <v>0</v>
      </c>
      <c r="J187" s="59">
        <f>MIN(J169,MAX(J186+INDEX(J174:J176,MATCH($H$62,$B$329:$B$331,0)),J185))</f>
        <v>0</v>
      </c>
      <c r="K187" s="59">
        <f>MIN(K169,MAX(K186+INDEX(K174:K176,MATCH($H$62,$B$329:$B$331,0)),K185))</f>
        <v>0</v>
      </c>
      <c r="L187" s="3" t="str">
        <f>IF(ISBLANK(M187),"",MAX(L$5:L186)+1)</f>
        <v/>
      </c>
    </row>
    <row r="188" spans="1:26" s="55" customFormat="1">
      <c r="B188" s="30" t="s">
        <v>80</v>
      </c>
      <c r="C188" s="35"/>
      <c r="D188" s="29" t="str">
        <f>D5</f>
        <v>$</v>
      </c>
      <c r="E188" s="35">
        <f>IFERROR(E187/E171,0)</f>
        <v>0</v>
      </c>
      <c r="F188" s="35">
        <f t="shared" ref="F188:K188" si="66">IFERROR(F187/F171,0)</f>
        <v>0</v>
      </c>
      <c r="G188" s="35">
        <f t="shared" si="66"/>
        <v>0</v>
      </c>
      <c r="H188" s="35">
        <f t="shared" si="66"/>
        <v>0</v>
      </c>
      <c r="I188" s="35">
        <f t="shared" si="66"/>
        <v>0</v>
      </c>
      <c r="J188" s="35">
        <f t="shared" si="66"/>
        <v>0</v>
      </c>
      <c r="K188" s="35">
        <f t="shared" si="66"/>
        <v>0</v>
      </c>
      <c r="L188" s="3" t="str">
        <f>IF(ISBLANK(M188),"",MAX(L$5:L187)+1)</f>
        <v/>
      </c>
    </row>
    <row r="189" spans="1:26" s="55" customFormat="1">
      <c r="B189" s="52"/>
      <c r="C189" s="52"/>
      <c r="D189" s="53"/>
      <c r="E189" s="52"/>
      <c r="F189" s="52"/>
      <c r="G189" s="52"/>
      <c r="H189" s="52"/>
      <c r="I189" s="34"/>
      <c r="J189" s="52"/>
      <c r="K189" s="52"/>
      <c r="L189" s="3" t="str">
        <f>IF(ISBLANK(M189),"",MAX(L$5:L188)+1)</f>
        <v/>
      </c>
    </row>
    <row r="190" spans="1:26" s="55" customFormat="1">
      <c r="B190" s="33" t="str">
        <f>I68</f>
        <v>Common</v>
      </c>
      <c r="C190" s="52"/>
      <c r="D190" s="72"/>
      <c r="E190" s="52"/>
      <c r="F190" s="52"/>
      <c r="G190" s="52"/>
      <c r="H190" s="52"/>
      <c r="I190" s="34"/>
      <c r="J190" s="52"/>
      <c r="K190" s="52"/>
      <c r="L190" s="3" t="str">
        <f>IF(ISBLANK(M190),"",MAX(L$5:L189)+1)</f>
        <v/>
      </c>
    </row>
    <row r="191" spans="1:26" s="55" customFormat="1">
      <c r="B191" s="30" t="s">
        <v>58</v>
      </c>
      <c r="C191" s="59"/>
      <c r="D191" s="29" t="str">
        <f>D5</f>
        <v>$</v>
      </c>
      <c r="E191" s="59">
        <f>IF(E183="no",MAX(0,E169-E172-E186),IF($H50=$B$331,MAX(0,E169-E172-E186),IF(AND($H50=$B$330,E185=0),MAX(0,E169-E172-E186),E169)))</f>
        <v>6250</v>
      </c>
      <c r="F191" s="59">
        <f>IF(F183="no",MAX(0,F169-F172-F186),IF($H50=$B$331,MAX(0,F169-F172-F186),IF(AND($H50=$B$330,F185=0),MAX(0,F169-F172-F186),F169)))</f>
        <v>12500</v>
      </c>
      <c r="G191" s="59">
        <f>IF(G183="no",MAX(0,G169-G172-G186),IF($H50=$B$331,MAX(0,G169-G172-G186),IF(AND($H50=$B$330,G185=0),MAX(0,G169-G172-G186),G169)))</f>
        <v>25000</v>
      </c>
      <c r="H191" s="59">
        <f>IF(H183="no",MAX(0,H169-H172-H186),IF($H50=$B$331,MAX(0,H169-H172-H186),IF(AND($H50=$B$330,H185=0),MAX(0,H169-H172-H186),H169)))</f>
        <v>50000</v>
      </c>
      <c r="I191" s="59">
        <f>IF(I183="no",MAX(0,I169-I172-I186),IF($H50=$B$331,MAX(0,I169-I172-I186),IF(AND($H50=$B$330,I185=0),MAX(0,I169-I172-I186),I169)))</f>
        <v>75000</v>
      </c>
      <c r="J191" s="59">
        <f>IF(J183="no",MAX(0,J169-J172-J186),IF($H50=$B$331,MAX(0,J169-J172-J186),IF(AND($H50=$B$330,J185=0),MAX(0,J169-J172-J186),J169)))</f>
        <v>112500</v>
      </c>
      <c r="K191" s="59">
        <f>IF(K183="no",MAX(0,K169-K172-K186),IF($H50=$B$331,MAX(0,K169-K172-K186),IF(AND($H50=$B$330,K185=0),MAX(0,K169-K172-K186),K169)))</f>
        <v>168750</v>
      </c>
      <c r="L191" s="3" t="str">
        <f>IF(ISBLANK(M191),"",MAX(L$5:L190)+1)</f>
        <v/>
      </c>
    </row>
    <row r="192" spans="1:26" s="55" customFormat="1">
      <c r="B192" s="30" t="s">
        <v>60</v>
      </c>
      <c r="C192" s="59"/>
      <c r="D192" s="53" t="s">
        <v>5</v>
      </c>
      <c r="E192" s="59">
        <f t="shared" ref="E192:K192" si="67">E170-E184</f>
        <v>0</v>
      </c>
      <c r="F192" s="59">
        <f t="shared" si="67"/>
        <v>0</v>
      </c>
      <c r="G192" s="59">
        <f t="shared" si="67"/>
        <v>0</v>
      </c>
      <c r="H192" s="59">
        <f t="shared" si="67"/>
        <v>0</v>
      </c>
      <c r="I192" s="59">
        <f t="shared" si="67"/>
        <v>0</v>
      </c>
      <c r="J192" s="59">
        <f t="shared" si="67"/>
        <v>0</v>
      </c>
      <c r="K192" s="59">
        <f t="shared" si="67"/>
        <v>0</v>
      </c>
      <c r="L192" s="3" t="str">
        <f>IF(ISBLANK(M192),"",MAX(L$5:L191)+1)</f>
        <v/>
      </c>
    </row>
    <row r="193" spans="2:13" s="55" customFormat="1">
      <c r="B193" s="30" t="s">
        <v>82</v>
      </c>
      <c r="C193" s="34"/>
      <c r="D193" s="29" t="s">
        <v>5</v>
      </c>
      <c r="E193" s="34">
        <f>$I59+$J59-E97</f>
        <v>0</v>
      </c>
      <c r="F193" s="34">
        <f t="shared" ref="F193:K193" si="68">$I59+$J59-F97</f>
        <v>0</v>
      </c>
      <c r="G193" s="34">
        <f t="shared" si="68"/>
        <v>0</v>
      </c>
      <c r="H193" s="34">
        <f t="shared" si="68"/>
        <v>0</v>
      </c>
      <c r="I193" s="34">
        <f t="shared" si="68"/>
        <v>0</v>
      </c>
      <c r="J193" s="34">
        <f t="shared" si="68"/>
        <v>0</v>
      </c>
      <c r="K193" s="34">
        <f t="shared" si="68"/>
        <v>0</v>
      </c>
      <c r="L193" s="3" t="str">
        <f>IF(ISBLANK(M193),"",MAX(L$5:L192)+1)</f>
        <v/>
      </c>
    </row>
    <row r="194" spans="2:13" s="55" customFormat="1">
      <c r="B194" s="30" t="s">
        <v>83</v>
      </c>
      <c r="C194" s="34"/>
      <c r="D194" s="29" t="s">
        <v>5</v>
      </c>
      <c r="E194" s="34">
        <f>E179+E113+E157+E135</f>
        <v>0</v>
      </c>
      <c r="F194" s="34">
        <f t="shared" ref="F194:K194" si="69">F179+F113+F157+F135</f>
        <v>0</v>
      </c>
      <c r="G194" s="34">
        <f t="shared" si="69"/>
        <v>0</v>
      </c>
      <c r="H194" s="34">
        <f t="shared" si="69"/>
        <v>0</v>
      </c>
      <c r="I194" s="34">
        <f t="shared" si="69"/>
        <v>0</v>
      </c>
      <c r="J194" s="34">
        <f t="shared" si="69"/>
        <v>0</v>
      </c>
      <c r="K194" s="34">
        <f t="shared" si="69"/>
        <v>0</v>
      </c>
      <c r="L194" s="3" t="str">
        <f>IF(ISBLANK(M194),"",MAX(L$5:L193)+1)</f>
        <v/>
      </c>
    </row>
    <row r="195" spans="2:13" s="55" customFormat="1">
      <c r="B195" s="30" t="s">
        <v>84</v>
      </c>
      <c r="C195" s="34"/>
      <c r="D195" s="29" t="s">
        <v>5</v>
      </c>
      <c r="E195" s="34">
        <f>E118+E184+E162+E140</f>
        <v>0</v>
      </c>
      <c r="F195" s="34">
        <f t="shared" ref="F195:K195" si="70">F118+F184+F162+F140</f>
        <v>0</v>
      </c>
      <c r="G195" s="34">
        <f t="shared" si="70"/>
        <v>0</v>
      </c>
      <c r="H195" s="34">
        <f t="shared" si="70"/>
        <v>0</v>
      </c>
      <c r="I195" s="34">
        <f t="shared" si="70"/>
        <v>0</v>
      </c>
      <c r="J195" s="34">
        <f t="shared" si="70"/>
        <v>0</v>
      </c>
      <c r="K195" s="34">
        <f t="shared" si="70"/>
        <v>0</v>
      </c>
      <c r="L195" s="3" t="str">
        <f>IF(ISBLANK(M195),"",MAX(L$5:L194)+1)</f>
        <v/>
      </c>
    </row>
    <row r="196" spans="2:13" s="55" customFormat="1">
      <c r="B196" s="30" t="s">
        <v>85</v>
      </c>
      <c r="C196" s="59"/>
      <c r="D196" s="29" t="s">
        <v>5</v>
      </c>
      <c r="E196" s="59">
        <f t="shared" ref="E196:K196" si="71">E195+E193+E194</f>
        <v>0</v>
      </c>
      <c r="F196" s="59">
        <f t="shared" si="71"/>
        <v>0</v>
      </c>
      <c r="G196" s="59">
        <f t="shared" si="71"/>
        <v>0</v>
      </c>
      <c r="H196" s="59">
        <f t="shared" si="71"/>
        <v>0</v>
      </c>
      <c r="I196" s="59">
        <f t="shared" si="71"/>
        <v>0</v>
      </c>
      <c r="J196" s="59">
        <f t="shared" si="71"/>
        <v>0</v>
      </c>
      <c r="K196" s="59">
        <f t="shared" si="71"/>
        <v>0</v>
      </c>
      <c r="L196" s="3" t="str">
        <f>IF(ISBLANK(M196),"",MAX(L$5:L195)+1)</f>
        <v/>
      </c>
    </row>
    <row r="197" spans="2:13" s="55" customFormat="1">
      <c r="B197" s="30" t="s">
        <v>86</v>
      </c>
      <c r="C197" s="59"/>
      <c r="D197" s="29" t="str">
        <f>D$5</f>
        <v>$</v>
      </c>
      <c r="E197" s="59">
        <f t="shared" ref="E197:K197" si="72">E191</f>
        <v>6250</v>
      </c>
      <c r="F197" s="59">
        <f t="shared" si="72"/>
        <v>12500</v>
      </c>
      <c r="G197" s="59">
        <f t="shared" si="72"/>
        <v>25000</v>
      </c>
      <c r="H197" s="59">
        <f t="shared" si="72"/>
        <v>50000</v>
      </c>
      <c r="I197" s="59">
        <f t="shared" si="72"/>
        <v>75000</v>
      </c>
      <c r="J197" s="59">
        <f t="shared" si="72"/>
        <v>112500</v>
      </c>
      <c r="K197" s="59">
        <f t="shared" si="72"/>
        <v>168750</v>
      </c>
      <c r="L197" s="3" t="str">
        <f>IF(ISBLANK(M197),"",MAX(L$5:L196)+1)</f>
        <v/>
      </c>
    </row>
    <row r="198" spans="2:13" s="55" customFormat="1">
      <c r="B198" s="30" t="str">
        <f>"Proceeds to "&amp;B190</f>
        <v>Proceeds to Common</v>
      </c>
      <c r="C198" s="59"/>
      <c r="D198" s="29" t="str">
        <f>D$5</f>
        <v>$</v>
      </c>
      <c r="E198" s="59">
        <f t="shared" ref="E198:K198" si="73">E199*E193</f>
        <v>0</v>
      </c>
      <c r="F198" s="59">
        <f t="shared" si="73"/>
        <v>0</v>
      </c>
      <c r="G198" s="59">
        <f t="shared" si="73"/>
        <v>0</v>
      </c>
      <c r="H198" s="59">
        <f t="shared" si="73"/>
        <v>0</v>
      </c>
      <c r="I198" s="59">
        <f t="shared" si="73"/>
        <v>0</v>
      </c>
      <c r="J198" s="59">
        <f t="shared" si="73"/>
        <v>0</v>
      </c>
      <c r="K198" s="59">
        <f t="shared" si="73"/>
        <v>0</v>
      </c>
      <c r="L198" s="3" t="str">
        <f>IF(ISBLANK(M198),"",MAX(L$5:L197)+1)</f>
        <v/>
      </c>
    </row>
    <row r="199" spans="2:13">
      <c r="B199" s="30" t="s">
        <v>80</v>
      </c>
      <c r="C199" s="35"/>
      <c r="D199" s="29" t="str">
        <f>D$5</f>
        <v>$</v>
      </c>
      <c r="E199" s="35">
        <f>IFERROR(E197/E196,0)</f>
        <v>0</v>
      </c>
      <c r="F199" s="35">
        <f t="shared" ref="F199:K199" si="74">IFERROR(F197/F196,0)</f>
        <v>0</v>
      </c>
      <c r="G199" s="35">
        <f t="shared" si="74"/>
        <v>0</v>
      </c>
      <c r="H199" s="35">
        <f t="shared" si="74"/>
        <v>0</v>
      </c>
      <c r="I199" s="35">
        <f t="shared" si="74"/>
        <v>0</v>
      </c>
      <c r="J199" s="35">
        <f t="shared" si="74"/>
        <v>0</v>
      </c>
      <c r="K199" s="35">
        <f t="shared" si="74"/>
        <v>0</v>
      </c>
      <c r="L199" s="3" t="str">
        <f>IF(ISBLANK(M199),"",MAX(L$5:L198)+1)</f>
        <v/>
      </c>
      <c r="M199" s="31"/>
    </row>
    <row r="200" spans="2:13">
      <c r="L200" s="3" t="str">
        <f>IF(ISBLANK(M200),"",MAX(L$5:L199)+1)</f>
        <v/>
      </c>
      <c r="M200" s="31"/>
    </row>
    <row r="201" spans="2:13">
      <c r="B201" s="30" t="s">
        <v>87</v>
      </c>
      <c r="C201" s="83"/>
      <c r="D201" s="29" t="str">
        <f>D5</f>
        <v>$</v>
      </c>
      <c r="E201" s="73">
        <f>E198+E187+E121+E165+E143</f>
        <v>0</v>
      </c>
      <c r="F201" s="73">
        <f t="shared" ref="F201:K201" si="75">F198+F187+F121+F165+F143</f>
        <v>0</v>
      </c>
      <c r="G201" s="73">
        <f t="shared" si="75"/>
        <v>0</v>
      </c>
      <c r="H201" s="73">
        <f t="shared" si="75"/>
        <v>0</v>
      </c>
      <c r="I201" s="73">
        <f t="shared" si="75"/>
        <v>0</v>
      </c>
      <c r="J201" s="73">
        <f t="shared" si="75"/>
        <v>0</v>
      </c>
      <c r="K201" s="73">
        <f t="shared" si="75"/>
        <v>0</v>
      </c>
      <c r="L201" s="3">
        <f>IF(ISBLANK(M201),"",MAX(L$5:L200)+1)</f>
        <v>68</v>
      </c>
      <c r="M201" s="31" t="s">
        <v>88</v>
      </c>
    </row>
    <row r="202" spans="2:13" s="65" customFormat="1">
      <c r="B202" s="33" t="s">
        <v>89</v>
      </c>
      <c r="C202" s="74"/>
      <c r="D202" s="36" t="str">
        <f>D$5</f>
        <v>$</v>
      </c>
      <c r="E202" s="74">
        <f t="shared" ref="E202:K202" si="76">ROUND(E94-E201,1)</f>
        <v>6250</v>
      </c>
      <c r="F202" s="74">
        <f t="shared" si="76"/>
        <v>12500</v>
      </c>
      <c r="G202" s="74">
        <f t="shared" si="76"/>
        <v>25000</v>
      </c>
      <c r="H202" s="74">
        <f t="shared" si="76"/>
        <v>50000</v>
      </c>
      <c r="I202" s="74">
        <f t="shared" si="76"/>
        <v>75000</v>
      </c>
      <c r="J202" s="74">
        <f t="shared" si="76"/>
        <v>112500</v>
      </c>
      <c r="K202" s="74">
        <f t="shared" si="76"/>
        <v>168750</v>
      </c>
      <c r="L202" s="3">
        <f>IF(ISBLANK(M202),"",MAX(L$5:L201)+1)</f>
        <v>69</v>
      </c>
      <c r="M202" s="37" t="s">
        <v>90</v>
      </c>
    </row>
    <row r="203" spans="2:13">
      <c r="E203" s="59"/>
      <c r="F203" s="59"/>
      <c r="G203" s="59"/>
      <c r="L203" s="3" t="str">
        <f>IF(ISBLANK(M203),"",MAX(L$5:L202)+1)</f>
        <v/>
      </c>
      <c r="M203" s="31"/>
    </row>
    <row r="204" spans="2:13">
      <c r="B204" s="33" t="s">
        <v>91</v>
      </c>
      <c r="G204" s="59"/>
      <c r="L204" s="3" t="str">
        <f>IF(ISBLANK(M204),"",MAX(L$5:L203)+1)</f>
        <v/>
      </c>
      <c r="M204" s="31"/>
    </row>
    <row r="205" spans="2:13">
      <c r="B205" s="30" t="str">
        <f>B102</f>
        <v>Preferred, C</v>
      </c>
      <c r="C205" s="59"/>
      <c r="D205" s="29" t="str">
        <f t="shared" ref="D205:D210" si="77">D$5</f>
        <v>$</v>
      </c>
      <c r="E205" s="59">
        <f>E$121*$E71+E$143*$F71+E$165*$G71+E$187*$H71+E$198*$I71</f>
        <v>0</v>
      </c>
      <c r="F205" s="59">
        <f>F$121*$E71+F$143*$F71+F$165*$G71+F$187*$H71+F$198*$I71</f>
        <v>0</v>
      </c>
      <c r="G205" s="59">
        <f>G$121*$E71+G$143*$F71+G$165*$G71+G$187*$H71+G$198*$I71</f>
        <v>0</v>
      </c>
      <c r="H205" s="59">
        <f>H$121*$E71+H$143*$F71+H$165*$G71+H$187*$H71+H$198*$I71</f>
        <v>0</v>
      </c>
      <c r="I205" s="59">
        <f>I$121*$E71+I$143*$F71+I$165*$G71+I$187*$H71+I$198*$I71</f>
        <v>0</v>
      </c>
      <c r="J205" s="59">
        <f>J$121*$E71+J$143*$F71+J$165*$G71+J$187*$H71+J$198*$I71</f>
        <v>0</v>
      </c>
      <c r="K205" s="59">
        <f>K$121*$E71+K$143*$F71+K$165*$G71+K$187*$H71+K$198*$I71</f>
        <v>0</v>
      </c>
      <c r="L205" s="3" t="str">
        <f>IF(ISBLANK(M205),"",MAX(L$5:L204)+1)</f>
        <v/>
      </c>
      <c r="M205" s="31"/>
    </row>
    <row r="206" spans="2:13">
      <c r="B206" s="30" t="str">
        <f>B124</f>
        <v>Preferred, B</v>
      </c>
      <c r="C206" s="59"/>
      <c r="D206" s="29" t="str">
        <f t="shared" si="77"/>
        <v>$</v>
      </c>
      <c r="E206" s="59">
        <f>E$121*$E72+E$143*$F72+E$165*$G72+E$187*$H72+E$198*$I72</f>
        <v>0</v>
      </c>
      <c r="F206" s="59">
        <f>F$121*$E72+F$143*$F72+F$165*$G72+F$187*$H72+F$198*$I72</f>
        <v>0</v>
      </c>
      <c r="G206" s="59">
        <f>G$121*$E72+G$143*$F72+G$165*$G72+G$187*$H72+G$198*$I72</f>
        <v>0</v>
      </c>
      <c r="H206" s="59">
        <f>H$121*$E72+H$143*$F72+H$165*$G72+H$187*$H72+H$198*$I72</f>
        <v>0</v>
      </c>
      <c r="I206" s="59">
        <f>I$121*$E72+I$143*$F72+I$165*$G72+I$187*$H72+I$198*$I72</f>
        <v>0</v>
      </c>
      <c r="J206" s="59">
        <f>J$121*$E72+J$143*$F72+J$165*$G72+J$187*$H72+J$198*$I72</f>
        <v>0</v>
      </c>
      <c r="K206" s="59">
        <f>K$121*$E72+K$143*$F72+K$165*$G72+K$187*$H72+K$198*$I72</f>
        <v>0</v>
      </c>
      <c r="L206" s="3" t="str">
        <f>IF(ISBLANK(M206),"",MAX(L$5:L205)+1)</f>
        <v/>
      </c>
      <c r="M206" s="31"/>
    </row>
    <row r="207" spans="2:13">
      <c r="B207" s="30" t="str">
        <f>B146</f>
        <v>Preferred, A</v>
      </c>
      <c r="C207" s="59"/>
      <c r="D207" s="29" t="str">
        <f t="shared" si="77"/>
        <v>$</v>
      </c>
      <c r="E207" s="59">
        <f>E$121*$E73+E$143*$F73+E$165*$G73+E$187*$H73+E$198*$I73</f>
        <v>0</v>
      </c>
      <c r="F207" s="59">
        <f>F$121*$E73+F$143*$F73+F$165*$G73+F$187*$H73+F$198*$I73</f>
        <v>0</v>
      </c>
      <c r="G207" s="59">
        <f>G$121*$E73+G$143*$F73+G$165*$G73+G$187*$H73+G$198*$I73</f>
        <v>0</v>
      </c>
      <c r="H207" s="59">
        <f>H$121*$E73+H$143*$F73+H$165*$G73+H$187*$H73+H$198*$I73</f>
        <v>0</v>
      </c>
      <c r="I207" s="59">
        <f>I$121*$E73+I$143*$F73+I$165*$G73+I$187*$H73+I$198*$I73</f>
        <v>0</v>
      </c>
      <c r="J207" s="59">
        <f>J$121*$E73+J$143*$F73+J$165*$G73+J$187*$H73+J$198*$I73</f>
        <v>0</v>
      </c>
      <c r="K207" s="59">
        <f>K$121*$E73+K$143*$F73+K$165*$G73+K$187*$H73+K$198*$I73</f>
        <v>0</v>
      </c>
      <c r="L207" s="3" t="str">
        <f>IF(ISBLANK(M207),"",MAX(L$5:L206)+1)</f>
        <v/>
      </c>
      <c r="M207" s="31"/>
    </row>
    <row r="208" spans="2:13">
      <c r="B208" s="30" t="str">
        <f>B168</f>
        <v>Preferred, Seed</v>
      </c>
      <c r="C208" s="59"/>
      <c r="D208" s="29" t="str">
        <f t="shared" si="77"/>
        <v>$</v>
      </c>
      <c r="E208" s="59">
        <f>E$121*$E74+E$143*$F74+E$165*$G74+E$187*$H74+E$198*$I74</f>
        <v>0</v>
      </c>
      <c r="F208" s="59">
        <f>F$121*$E74+F$143*$F74+F$165*$G74+F$187*$H74+F$198*$I74</f>
        <v>0</v>
      </c>
      <c r="G208" s="59">
        <f>G$121*$E74+G$143*$F74+G$165*$G74+G$187*$H74+G$198*$I74</f>
        <v>0</v>
      </c>
      <c r="H208" s="59">
        <f>H$121*$E74+H$143*$F74+H$165*$G74+H$187*$H74+H$198*$I74</f>
        <v>0</v>
      </c>
      <c r="I208" s="59">
        <f>I$121*$E74+I$143*$F74+I$165*$G74+I$187*$H74+I$198*$I74</f>
        <v>0</v>
      </c>
      <c r="J208" s="59">
        <f>J$121*$E74+J$143*$F74+J$165*$G74+J$187*$H74+J$198*$I74</f>
        <v>0</v>
      </c>
      <c r="K208" s="59">
        <f>K$121*$E74+K$143*$F74+K$165*$G74+K$187*$H74+K$198*$I74</f>
        <v>0</v>
      </c>
      <c r="L208" s="3" t="str">
        <f>IF(ISBLANK(M208),"",MAX(L$5:L207)+1)</f>
        <v/>
      </c>
      <c r="M208" s="31"/>
    </row>
    <row r="209" spans="2:13">
      <c r="B209" s="30" t="str">
        <f>B190&amp;" (including Options)"</f>
        <v>Common (including Options)</v>
      </c>
      <c r="C209" s="59"/>
      <c r="D209" s="29" t="str">
        <f t="shared" si="77"/>
        <v>$</v>
      </c>
      <c r="E209" s="59">
        <f>E$121*$E75+E$143*$F75+E$165*$G75+E$187*$H75+E$198*($I75+$I76)</f>
        <v>0</v>
      </c>
      <c r="F209" s="59">
        <f t="shared" ref="F209:K209" si="78">F$121*$E75+F$143*$F75+F$165*$G75+F$187*$H75+F$198*($I75+$I76)</f>
        <v>0</v>
      </c>
      <c r="G209" s="59">
        <f t="shared" si="78"/>
        <v>0</v>
      </c>
      <c r="H209" s="59">
        <f t="shared" si="78"/>
        <v>0</v>
      </c>
      <c r="I209" s="59">
        <f t="shared" si="78"/>
        <v>0</v>
      </c>
      <c r="J209" s="59">
        <f t="shared" si="78"/>
        <v>0</v>
      </c>
      <c r="K209" s="59">
        <f t="shared" si="78"/>
        <v>0</v>
      </c>
      <c r="L209" s="3" t="str">
        <f>IF(ISBLANK(M209),"",MAX(L$5:L208)+1)</f>
        <v/>
      </c>
      <c r="M209" s="31"/>
    </row>
    <row r="210" spans="2:13">
      <c r="B210" s="30" t="s">
        <v>28</v>
      </c>
      <c r="C210" s="83"/>
      <c r="D210" s="29" t="str">
        <f t="shared" si="77"/>
        <v>$</v>
      </c>
      <c r="E210" s="73">
        <f t="shared" ref="E210:K210" si="79">SUM(E205:E209)</f>
        <v>0</v>
      </c>
      <c r="F210" s="73">
        <f t="shared" si="79"/>
        <v>0</v>
      </c>
      <c r="G210" s="73">
        <f t="shared" si="79"/>
        <v>0</v>
      </c>
      <c r="H210" s="73">
        <f t="shared" si="79"/>
        <v>0</v>
      </c>
      <c r="I210" s="73">
        <f t="shared" si="79"/>
        <v>0</v>
      </c>
      <c r="J210" s="73">
        <f t="shared" si="79"/>
        <v>0</v>
      </c>
      <c r="K210" s="73">
        <f t="shared" si="79"/>
        <v>0</v>
      </c>
      <c r="L210" s="3">
        <f>IF(ISBLANK(M210),"",MAX(L$5:L209)+1)</f>
        <v>70</v>
      </c>
      <c r="M210" s="31" t="s">
        <v>88</v>
      </c>
    </row>
    <row r="211" spans="2:13">
      <c r="B211" s="33" t="s">
        <v>146</v>
      </c>
      <c r="C211" s="74"/>
      <c r="D211" s="36" t="str">
        <f>D$5</f>
        <v>$</v>
      </c>
      <c r="E211" s="74">
        <f>E210-E201</f>
        <v>0</v>
      </c>
      <c r="F211" s="74">
        <f t="shared" ref="F211:K211" si="80">F210-F201</f>
        <v>0</v>
      </c>
      <c r="G211" s="74">
        <f t="shared" si="80"/>
        <v>0</v>
      </c>
      <c r="H211" s="74">
        <f t="shared" si="80"/>
        <v>0</v>
      </c>
      <c r="I211" s="74">
        <f t="shared" si="80"/>
        <v>0</v>
      </c>
      <c r="J211" s="74">
        <f t="shared" si="80"/>
        <v>0</v>
      </c>
      <c r="K211" s="74">
        <f t="shared" si="80"/>
        <v>0</v>
      </c>
      <c r="L211" s="3">
        <f>IF(ISBLANK(M211),"",MAX(L$5:L210)+1)</f>
        <v>71</v>
      </c>
      <c r="M211" s="31" t="s">
        <v>147</v>
      </c>
    </row>
    <row r="212" spans="2:13">
      <c r="L212" s="3" t="str">
        <f>IF(ISBLANK(M212),"",MAX(L$5:L211)+1)</f>
        <v/>
      </c>
      <c r="M212" s="31"/>
    </row>
    <row r="213" spans="2:13">
      <c r="B213" s="12" t="s">
        <v>148</v>
      </c>
      <c r="L213" s="3" t="str">
        <f>IF(ISBLANK(M213),"",MAX(L$5:L212)+1)</f>
        <v/>
      </c>
      <c r="M213" s="31"/>
    </row>
    <row r="214" spans="2:13">
      <c r="B214" s="71" t="str">
        <f>B205</f>
        <v>Preferred, C</v>
      </c>
      <c r="C214" s="75"/>
      <c r="D214" s="29" t="str">
        <f t="shared" ref="D214:D218" si="81">D$5</f>
        <v>$</v>
      </c>
      <c r="E214" s="75">
        <f t="shared" ref="E214:K214" si="82">IFERROR(E205/$E24,0)</f>
        <v>0</v>
      </c>
      <c r="F214" s="75">
        <f t="shared" si="82"/>
        <v>0</v>
      </c>
      <c r="G214" s="75">
        <f t="shared" si="82"/>
        <v>0</v>
      </c>
      <c r="H214" s="75">
        <f t="shared" si="82"/>
        <v>0</v>
      </c>
      <c r="I214" s="75">
        <f t="shared" si="82"/>
        <v>0</v>
      </c>
      <c r="J214" s="75">
        <f t="shared" si="82"/>
        <v>0</v>
      </c>
      <c r="K214" s="75">
        <f t="shared" si="82"/>
        <v>0</v>
      </c>
      <c r="L214" s="3" t="str">
        <f>IF(ISBLANK(M214),"",MAX(L$5:L213)+1)</f>
        <v/>
      </c>
      <c r="M214" s="31"/>
    </row>
    <row r="215" spans="2:13">
      <c r="B215" s="71" t="str">
        <f>B206</f>
        <v>Preferred, B</v>
      </c>
      <c r="C215" s="75"/>
      <c r="D215" s="29" t="str">
        <f t="shared" si="81"/>
        <v>$</v>
      </c>
      <c r="E215" s="75">
        <f t="shared" ref="E215:K215" si="83">IFERROR(E206/$F24,0)</f>
        <v>0</v>
      </c>
      <c r="F215" s="75">
        <f t="shared" si="83"/>
        <v>0</v>
      </c>
      <c r="G215" s="75">
        <f t="shared" si="83"/>
        <v>0</v>
      </c>
      <c r="H215" s="75">
        <f t="shared" si="83"/>
        <v>0</v>
      </c>
      <c r="I215" s="75">
        <f t="shared" si="83"/>
        <v>0</v>
      </c>
      <c r="J215" s="75">
        <f t="shared" si="83"/>
        <v>0</v>
      </c>
      <c r="K215" s="75">
        <f t="shared" si="83"/>
        <v>0</v>
      </c>
      <c r="L215" s="3" t="str">
        <f>IF(ISBLANK(M215),"",MAX(L$5:L214)+1)</f>
        <v/>
      </c>
      <c r="M215" s="31"/>
    </row>
    <row r="216" spans="2:13">
      <c r="B216" s="71" t="str">
        <f>B207</f>
        <v>Preferred, A</v>
      </c>
      <c r="C216" s="75"/>
      <c r="D216" s="29" t="str">
        <f t="shared" si="81"/>
        <v>$</v>
      </c>
      <c r="E216" s="75">
        <f t="shared" ref="E216:K216" si="84">IFERROR(E207/$G24,0)</f>
        <v>0</v>
      </c>
      <c r="F216" s="75">
        <f t="shared" si="84"/>
        <v>0</v>
      </c>
      <c r="G216" s="75">
        <f t="shared" si="84"/>
        <v>0</v>
      </c>
      <c r="H216" s="75">
        <f t="shared" si="84"/>
        <v>0</v>
      </c>
      <c r="I216" s="75">
        <f t="shared" si="84"/>
        <v>0</v>
      </c>
      <c r="J216" s="75">
        <f t="shared" si="84"/>
        <v>0</v>
      </c>
      <c r="K216" s="75">
        <f t="shared" si="84"/>
        <v>0</v>
      </c>
      <c r="L216" s="3" t="str">
        <f>IF(ISBLANK(M216),"",MAX(L$5:L215)+1)</f>
        <v/>
      </c>
      <c r="M216" s="31"/>
    </row>
    <row r="217" spans="2:13">
      <c r="B217" s="71" t="str">
        <f>B208</f>
        <v>Preferred, Seed</v>
      </c>
      <c r="C217" s="75"/>
      <c r="D217" s="29" t="str">
        <f t="shared" si="81"/>
        <v>$</v>
      </c>
      <c r="E217" s="75">
        <f t="shared" ref="E217:K217" si="85">IFERROR(E208/$H24,0)</f>
        <v>0</v>
      </c>
      <c r="F217" s="75">
        <f t="shared" si="85"/>
        <v>0</v>
      </c>
      <c r="G217" s="75">
        <f t="shared" si="85"/>
        <v>0</v>
      </c>
      <c r="H217" s="75">
        <f t="shared" si="85"/>
        <v>0</v>
      </c>
      <c r="I217" s="75">
        <f t="shared" si="85"/>
        <v>0</v>
      </c>
      <c r="J217" s="75">
        <f t="shared" si="85"/>
        <v>0</v>
      </c>
      <c r="K217" s="75">
        <f t="shared" si="85"/>
        <v>0</v>
      </c>
      <c r="L217" s="3" t="str">
        <f>IF(ISBLANK(M217),"",MAX(L$5:L216)+1)</f>
        <v/>
      </c>
      <c r="M217" s="31"/>
    </row>
    <row r="218" spans="2:13">
      <c r="B218" s="71" t="str">
        <f>B209</f>
        <v>Common (including Options)</v>
      </c>
      <c r="C218" s="75"/>
      <c r="D218" s="29" t="str">
        <f t="shared" si="81"/>
        <v>$</v>
      </c>
      <c r="E218" s="75">
        <f t="shared" ref="E218:K218" si="86">IFERROR(E209/($I24+$J24),0)</f>
        <v>0</v>
      </c>
      <c r="F218" s="75">
        <f t="shared" si="86"/>
        <v>0</v>
      </c>
      <c r="G218" s="75">
        <f t="shared" si="86"/>
        <v>0</v>
      </c>
      <c r="H218" s="75">
        <f t="shared" si="86"/>
        <v>0</v>
      </c>
      <c r="I218" s="75">
        <f t="shared" si="86"/>
        <v>0</v>
      </c>
      <c r="J218" s="75">
        <f t="shared" si="86"/>
        <v>0</v>
      </c>
      <c r="K218" s="75">
        <f t="shared" si="86"/>
        <v>0</v>
      </c>
      <c r="L218" s="3" t="str">
        <f>IF(ISBLANK(M218),"",MAX(L$5:L217)+1)</f>
        <v/>
      </c>
      <c r="M218" s="31"/>
    </row>
    <row r="219" spans="2:13">
      <c r="L219" s="3" t="str">
        <f>IF(ISBLANK(M219),"",MAX(L$5:L218)+1)</f>
        <v/>
      </c>
      <c r="M219" s="31"/>
    </row>
    <row r="220" spans="2:13">
      <c r="B220" s="33" t="s">
        <v>92</v>
      </c>
      <c r="C220" s="27"/>
      <c r="E220" s="27"/>
      <c r="F220" s="27"/>
      <c r="G220" s="27"/>
      <c r="H220" s="27"/>
      <c r="I220" s="27"/>
      <c r="J220" s="27"/>
      <c r="K220" s="27"/>
      <c r="L220" s="3" t="str">
        <f>IF(ISBLANK(M220),"",MAX(L$5:L219)+1)</f>
        <v/>
      </c>
      <c r="M220" s="31"/>
    </row>
    <row r="221" spans="2:13">
      <c r="B221" s="30" t="str">
        <f>B102</f>
        <v>Preferred, C</v>
      </c>
      <c r="C221" s="59"/>
      <c r="D221" s="29" t="str">
        <f t="shared" ref="D221:D226" si="87">D$5</f>
        <v>$</v>
      </c>
      <c r="E221" s="59">
        <f>IF($E$50=$B$331,MIN(E103,$E61),IF($E$50=$B$330,IF(E113=0,0,MIN(E103,$E61)),IF(E111&gt;E106,0,MIN(E103,$E61))))</f>
        <v>0</v>
      </c>
      <c r="F221" s="59">
        <f>IF($E$50=$B$331,MIN(F103,$E61),IF($E$50=$B$330,IF(F113=0,0,MIN(F103,$E61)),IF(F111&gt;F106,0,MIN(F103,$E61))))</f>
        <v>0</v>
      </c>
      <c r="G221" s="59">
        <f>IF($E$50=$B$331,MIN(G103,$E61),IF($E$50=$B$330,IF(G113=0,0,MIN(G103,$E61)),IF(G111&gt;G106,0,MIN(G103,$E61))))</f>
        <v>0</v>
      </c>
      <c r="H221" s="59">
        <f>IF($E$50=$B$331,MIN(H103,$E61),IF($E$50=$B$330,IF(H113=0,0,MIN(H103,$E61)),IF(H111&gt;H106,0,MIN(H103,$E61))))</f>
        <v>0</v>
      </c>
      <c r="I221" s="59">
        <f>IF($E$50=$B$331,MIN(I103,$E61),IF($E$50=$B$330,IF(I113=0,0,MIN(I103,$E61)),IF(I111&gt;I106,0,MIN(I103,$E61))))</f>
        <v>0</v>
      </c>
      <c r="J221" s="59">
        <f>IF($E$50=$B$331,MIN(J103,$E61),IF($E$50=$B$330,IF(J113=0,0,MIN(J103,$E61)),IF(J111&gt;J106,0,MIN(J103,$E61))))</f>
        <v>0</v>
      </c>
      <c r="K221" s="59">
        <f>IF($E$50=$B$331,MIN(K103,$E61),IF($E$50=$B$330,IF(K113=0,0,MIN(K103,$E61)),IF(K111&gt;K106,0,MIN(K103,$E61))))</f>
        <v>0</v>
      </c>
      <c r="L221" s="3">
        <f>IF(ISBLANK(M221),"",MAX(L$5:L220)+1)</f>
        <v>72</v>
      </c>
      <c r="M221" s="31" t="s">
        <v>93</v>
      </c>
    </row>
    <row r="222" spans="2:13">
      <c r="B222" s="30" t="str">
        <f>B124</f>
        <v>Preferred, B</v>
      </c>
      <c r="C222" s="59"/>
      <c r="D222" s="29" t="str">
        <f t="shared" si="87"/>
        <v>$</v>
      </c>
      <c r="E222" s="59">
        <f>IF($E$50=$B$331,MIN(E125,$F61),IF($E$50=$B$330,IF(E135=0,0,MIN(E125,$F61)),IF(E133&gt;E128,0,MIN(E125,$F61))))</f>
        <v>0</v>
      </c>
      <c r="F222" s="59">
        <f>IF($E$50=$B$331,MIN(F125,$F61),IF($E$50=$B$330,IF(F135=0,0,MIN(F125,$F61)),IF(F133&gt;F128,0,MIN(F125,$F61))))</f>
        <v>0</v>
      </c>
      <c r="G222" s="59">
        <f>IF($E$50=$B$331,MIN(G125,$F61),IF($E$50=$B$330,IF(G135=0,0,MIN(G125,$F61)),IF(G133&gt;G128,0,MIN(G125,$F61))))</f>
        <v>0</v>
      </c>
      <c r="H222" s="59">
        <f>IF($E$50=$B$331,MIN(H125,$F61),IF($E$50=$B$330,IF(H135=0,0,MIN(H125,$F61)),IF(H133&gt;H128,0,MIN(H125,$F61))))</f>
        <v>0</v>
      </c>
      <c r="I222" s="59">
        <f>IF($E$50=$B$331,MIN(I125,$F61),IF($E$50=$B$330,IF(I135=0,0,MIN(I125,$F61)),IF(I133&gt;I128,0,MIN(I125,$F61))))</f>
        <v>0</v>
      </c>
      <c r="J222" s="59">
        <f>IF($E$50=$B$331,MIN(J125,$F61),IF($E$50=$B$330,IF(J135=0,0,MIN(J125,$F61)),IF(J133&gt;J128,0,MIN(J125,$F61))))</f>
        <v>0</v>
      </c>
      <c r="K222" s="59">
        <f>IF($E$50=$B$331,MIN(K125,$F61),IF($E$50=$B$330,IF(K135=0,0,MIN(K125,$F61)),IF(K133&gt;K128,0,MIN(K125,$F61))))</f>
        <v>0</v>
      </c>
      <c r="L222" s="3" t="str">
        <f>IF(ISBLANK(M222),"",MAX(L$5:L221)+1)</f>
        <v/>
      </c>
      <c r="M222" s="31"/>
    </row>
    <row r="223" spans="2:13">
      <c r="B223" s="30" t="str">
        <f>B146</f>
        <v>Preferred, A</v>
      </c>
      <c r="C223" s="59"/>
      <c r="D223" s="29" t="str">
        <f t="shared" si="87"/>
        <v>$</v>
      </c>
      <c r="E223" s="59">
        <f>IF($G$50=$B$331,MIN(E147,$G61),IF($G$50=$B$330,IF(E157=0,0,MIN(E147,$G61)),IF(E155&gt;E150,0,MIN(E147,$G61))))</f>
        <v>0</v>
      </c>
      <c r="F223" s="59">
        <f>IF($G$50=$B$331,MIN(F147,$G61),IF($G$50=$B$330,IF(F157=0,0,MIN(F147,$G61)),IF(F155&gt;F150,0,MIN(F147,$G61))))</f>
        <v>0</v>
      </c>
      <c r="G223" s="59">
        <f>IF($G$50=$B$331,MIN(G147,$G61),IF($G$50=$B$330,IF(G157=0,0,MIN(G147,$G61)),IF(G155&gt;G150,0,MIN(G147,$G61))))</f>
        <v>0</v>
      </c>
      <c r="H223" s="59">
        <f>IF($G$50=$B$331,MIN(H147,$G61),IF($G$50=$B$330,IF(H157=0,0,MIN(H147,$G61)),IF(H155&gt;H150,0,MIN(H147,$G61))))</f>
        <v>0</v>
      </c>
      <c r="I223" s="59">
        <f>IF($G$50=$B$331,MIN(I147,$G61),IF($G$50=$B$330,IF(I157=0,0,MIN(I147,$G61)),IF(I155&gt;I150,0,MIN(I147,$G61))))</f>
        <v>0</v>
      </c>
      <c r="J223" s="59">
        <f>IF($G$50=$B$331,MIN(J147,$G61),IF($G$50=$B$330,IF(J157=0,0,MIN(J147,$G61)),IF(J155&gt;J150,0,MIN(J147,$G61))))</f>
        <v>0</v>
      </c>
      <c r="K223" s="59">
        <f>IF($G$50=$B$331,MIN(K147,$G61),IF($G$50=$B$330,IF(K157=0,0,MIN(K147,$G61)),IF(K155&gt;K150,0,MIN(K147,$G61))))</f>
        <v>0</v>
      </c>
      <c r="L223" s="3" t="str">
        <f>IF(ISBLANK(M223),"",MAX(L$5:L222)+1)</f>
        <v/>
      </c>
      <c r="M223" s="31"/>
    </row>
    <row r="224" spans="2:13">
      <c r="B224" s="30" t="str">
        <f>B168</f>
        <v>Preferred, Seed</v>
      </c>
      <c r="C224" s="59"/>
      <c r="D224" s="29" t="str">
        <f t="shared" si="87"/>
        <v>$</v>
      </c>
      <c r="E224" s="59">
        <f>IF($H$50=$B$331,MIN(E169,$H61),IF($H$50=$B$330,IF(AND(E185=0,E177&gt;E172),0,MIN(E169,$H61)),IF(E177&gt;E172,0,MIN(E169,$H61))))</f>
        <v>0</v>
      </c>
      <c r="F224" s="59">
        <f>IF($H$50=$B$331,MIN(F169,$H61),IF($H$50=$B$330,IF(AND(F185=0,F177&gt;F172),0,MIN(F169,$H61)),IF(F177&gt;F172,0,MIN(F169,$H61))))</f>
        <v>0</v>
      </c>
      <c r="G224" s="59">
        <f>IF($H$50=$B$331,MIN(G169,$H61),IF($H$50=$B$330,IF(AND(G185=0,G177&gt;G172),0,MIN(G169,$H61)),IF(G177&gt;G172,0,MIN(G169,$H61))))</f>
        <v>0</v>
      </c>
      <c r="H224" s="59">
        <f>IF($H$50=$B$331,MIN(H169,$H61),IF($H$50=$B$330,IF(AND(H185=0,H177&gt;H172),0,MIN(H169,$H61)),IF(H177&gt;H172,0,MIN(H169,$H61))))</f>
        <v>0</v>
      </c>
      <c r="I224" s="59">
        <f>IF($H$50=$B$331,MIN(I169,$H61),IF($H$50=$B$330,IF(AND(I185=0,I177&gt;I172),0,MIN(I169,$H61)),IF(I177&gt;I172,0,MIN(I169,$H61))))</f>
        <v>0</v>
      </c>
      <c r="J224" s="59">
        <f>IF($H$50=$B$331,MIN(J169,$H61),IF($H$50=$B$330,IF(AND(J185=0,J177&gt;J172),0,MIN(J169,$H61)),IF(J177&gt;J172,0,MIN(J169,$H61))))</f>
        <v>0</v>
      </c>
      <c r="K224" s="59">
        <f>IF($H$50=$B$331,MIN(K169,$H61),IF($H$50=$B$330,IF(AND(K185=0,K177&gt;K172),0,MIN(K169,$H61)),IF(K177&gt;K172,0,MIN(K169,$H61))))</f>
        <v>0</v>
      </c>
      <c r="L224" s="3" t="str">
        <f>IF(ISBLANK(M224),"",MAX(L$5:L223)+1)</f>
        <v/>
      </c>
      <c r="M224" s="52"/>
    </row>
    <row r="225" spans="2:13">
      <c r="B225" s="30" t="str">
        <f>B190&amp;" (including Options)"</f>
        <v>Common (including Options)</v>
      </c>
      <c r="C225" s="59"/>
      <c r="D225" s="29" t="str">
        <f t="shared" si="87"/>
        <v>$</v>
      </c>
      <c r="E225" s="59">
        <v>0</v>
      </c>
      <c r="F225" s="59">
        <v>0</v>
      </c>
      <c r="G225" s="59">
        <v>0</v>
      </c>
      <c r="H225" s="59">
        <v>0</v>
      </c>
      <c r="I225" s="59">
        <v>0</v>
      </c>
      <c r="J225" s="59">
        <v>0</v>
      </c>
      <c r="K225" s="59">
        <v>0</v>
      </c>
      <c r="L225" s="3" t="str">
        <f>IF(ISBLANK(M225),"",MAX(L$5:L224)+1)</f>
        <v/>
      </c>
      <c r="M225" s="52"/>
    </row>
    <row r="226" spans="2:13">
      <c r="B226" s="30" t="s">
        <v>28</v>
      </c>
      <c r="C226" s="59"/>
      <c r="D226" s="29" t="str">
        <f t="shared" si="87"/>
        <v>$</v>
      </c>
      <c r="E226" s="73">
        <f t="shared" ref="E226:K226" si="88">SUM(E221:E225)</f>
        <v>0</v>
      </c>
      <c r="F226" s="73">
        <f t="shared" si="88"/>
        <v>0</v>
      </c>
      <c r="G226" s="73">
        <f t="shared" si="88"/>
        <v>0</v>
      </c>
      <c r="H226" s="73">
        <f t="shared" si="88"/>
        <v>0</v>
      </c>
      <c r="I226" s="73">
        <f t="shared" si="88"/>
        <v>0</v>
      </c>
      <c r="J226" s="73">
        <f t="shared" si="88"/>
        <v>0</v>
      </c>
      <c r="K226" s="73">
        <f t="shared" si="88"/>
        <v>0</v>
      </c>
      <c r="L226" s="3" t="str">
        <f>IF(ISBLANK(M226),"",MAX(L$5:L225)+1)</f>
        <v/>
      </c>
      <c r="M226" s="4"/>
    </row>
    <row r="227" spans="2:13">
      <c r="C227" s="59"/>
      <c r="L227" s="3" t="str">
        <f>IF(ISBLANK(M227),"",MAX(L$5:L226)+1)</f>
        <v/>
      </c>
      <c r="M227" s="4"/>
    </row>
    <row r="228" spans="2:13">
      <c r="B228" s="76" t="s">
        <v>125</v>
      </c>
      <c r="C228" s="59"/>
      <c r="L228" s="3">
        <f>IF(ISBLANK(M228),"",MAX(L$5:L227)+1)</f>
        <v>73</v>
      </c>
      <c r="M228" s="4" t="s">
        <v>126</v>
      </c>
    </row>
    <row r="229" spans="2:13" outlineLevel="1">
      <c r="B229" s="77" t="str">
        <f>B14</f>
        <v>Investor</v>
      </c>
      <c r="C229" s="59"/>
      <c r="D229" s="29" t="str">
        <f t="shared" ref="D229:D237" si="89">D$5</f>
        <v>$</v>
      </c>
      <c r="E229" s="7">
        <v>0</v>
      </c>
      <c r="F229" s="7">
        <v>0</v>
      </c>
      <c r="G229" s="7">
        <v>0</v>
      </c>
      <c r="H229" s="7">
        <v>0</v>
      </c>
      <c r="I229" s="7">
        <v>0</v>
      </c>
      <c r="J229" s="7">
        <v>0</v>
      </c>
      <c r="K229" s="7">
        <v>0</v>
      </c>
      <c r="L229" s="3">
        <f>IF(ISBLANK(M229),"",MAX(L$5:L228)+1)</f>
        <v>74</v>
      </c>
      <c r="M229" s="4" t="s">
        <v>127</v>
      </c>
    </row>
    <row r="230" spans="2:13" outlineLevel="1">
      <c r="B230" s="77" t="str">
        <f>B15</f>
        <v>Investor</v>
      </c>
      <c r="C230" s="59"/>
      <c r="D230" s="29" t="str">
        <f t="shared" si="89"/>
        <v>$</v>
      </c>
      <c r="E230" s="7">
        <v>0</v>
      </c>
      <c r="F230" s="7">
        <v>0</v>
      </c>
      <c r="G230" s="7">
        <v>0</v>
      </c>
      <c r="H230" s="7">
        <v>0</v>
      </c>
      <c r="I230" s="7">
        <v>0</v>
      </c>
      <c r="J230" s="7">
        <v>0</v>
      </c>
      <c r="K230" s="7">
        <v>0</v>
      </c>
      <c r="L230" s="3" t="str">
        <f>IF(ISBLANK(M230),"",MAX(L$5:L229)+1)</f>
        <v/>
      </c>
      <c r="M230" s="4"/>
    </row>
    <row r="231" spans="2:13" outlineLevel="1">
      <c r="B231" s="77" t="str">
        <f>B16</f>
        <v>Investor</v>
      </c>
      <c r="C231" s="59"/>
      <c r="D231" s="29" t="str">
        <f t="shared" si="89"/>
        <v>$</v>
      </c>
      <c r="E231" s="7">
        <v>0</v>
      </c>
      <c r="F231" s="7">
        <v>0</v>
      </c>
      <c r="G231" s="7">
        <v>0</v>
      </c>
      <c r="H231" s="7">
        <v>0</v>
      </c>
      <c r="I231" s="7">
        <v>0</v>
      </c>
      <c r="J231" s="7">
        <v>0</v>
      </c>
      <c r="K231" s="7">
        <v>0</v>
      </c>
      <c r="L231" s="3" t="str">
        <f>IF(ISBLANK(M231),"",MAX(L$5:L230)+1)</f>
        <v/>
      </c>
      <c r="M231" s="4"/>
    </row>
    <row r="232" spans="2:13" outlineLevel="1">
      <c r="B232" s="77" t="str">
        <f>B17</f>
        <v>Investor</v>
      </c>
      <c r="C232" s="59"/>
      <c r="D232" s="29" t="str">
        <f t="shared" si="89"/>
        <v>$</v>
      </c>
      <c r="E232" s="7">
        <v>0</v>
      </c>
      <c r="F232" s="7">
        <v>0</v>
      </c>
      <c r="G232" s="7">
        <v>0</v>
      </c>
      <c r="H232" s="7">
        <v>0</v>
      </c>
      <c r="I232" s="7">
        <v>0</v>
      </c>
      <c r="J232" s="7">
        <v>0</v>
      </c>
      <c r="K232" s="7">
        <v>0</v>
      </c>
      <c r="L232" s="3" t="str">
        <f>IF(ISBLANK(M232),"",MAX(L$5:L231)+1)</f>
        <v/>
      </c>
      <c r="M232" s="4"/>
    </row>
    <row r="233" spans="2:13" outlineLevel="1">
      <c r="B233" s="77" t="str">
        <f>B18</f>
        <v>Investor</v>
      </c>
      <c r="C233" s="59"/>
      <c r="D233" s="29" t="str">
        <f t="shared" si="89"/>
        <v>$</v>
      </c>
      <c r="E233" s="7">
        <v>0</v>
      </c>
      <c r="F233" s="7">
        <v>0</v>
      </c>
      <c r="G233" s="7">
        <v>0</v>
      </c>
      <c r="H233" s="7">
        <v>0</v>
      </c>
      <c r="I233" s="7">
        <v>0</v>
      </c>
      <c r="J233" s="7">
        <v>0</v>
      </c>
      <c r="K233" s="7">
        <v>0</v>
      </c>
      <c r="L233" s="3" t="str">
        <f>IF(ISBLANK(M233),"",MAX(L$5:L232)+1)</f>
        <v/>
      </c>
      <c r="M233" s="4"/>
    </row>
    <row r="234" spans="2:13" outlineLevel="1">
      <c r="B234" s="77" t="str">
        <f>B19</f>
        <v>Investor</v>
      </c>
      <c r="C234" s="59"/>
      <c r="D234" s="29" t="str">
        <f t="shared" si="89"/>
        <v>$</v>
      </c>
      <c r="E234" s="7">
        <v>0</v>
      </c>
      <c r="F234" s="7">
        <v>0</v>
      </c>
      <c r="G234" s="7">
        <v>0</v>
      </c>
      <c r="H234" s="7">
        <v>0</v>
      </c>
      <c r="I234" s="7">
        <v>0</v>
      </c>
      <c r="J234" s="7">
        <v>0</v>
      </c>
      <c r="K234" s="7">
        <v>0</v>
      </c>
      <c r="L234" s="3" t="str">
        <f>IF(ISBLANK(M234),"",MAX(L$5:L233)+1)</f>
        <v/>
      </c>
      <c r="M234" s="4"/>
    </row>
    <row r="235" spans="2:13" outlineLevel="1">
      <c r="B235" s="77" t="str">
        <f>B20</f>
        <v>Options Exercised</v>
      </c>
      <c r="C235" s="59"/>
      <c r="D235" s="29" t="str">
        <f t="shared" si="89"/>
        <v>$</v>
      </c>
      <c r="E235" s="7">
        <v>0</v>
      </c>
      <c r="F235" s="7">
        <v>0</v>
      </c>
      <c r="G235" s="7">
        <v>0</v>
      </c>
      <c r="H235" s="7">
        <v>0</v>
      </c>
      <c r="I235" s="7">
        <v>0</v>
      </c>
      <c r="J235" s="7">
        <v>0</v>
      </c>
      <c r="K235" s="7">
        <v>0</v>
      </c>
      <c r="L235" s="3" t="str">
        <f>IF(ISBLANK(M235),"",MAX(L$5:L234)+1)</f>
        <v/>
      </c>
      <c r="M235" s="4"/>
    </row>
    <row r="236" spans="2:13" outlineLevel="1">
      <c r="B236" s="77" t="str">
        <f>B21</f>
        <v>Options Exercised</v>
      </c>
      <c r="C236" s="59"/>
      <c r="D236" s="29" t="str">
        <f t="shared" si="89"/>
        <v>$</v>
      </c>
      <c r="E236" s="7">
        <v>0</v>
      </c>
      <c r="F236" s="7">
        <v>0</v>
      </c>
      <c r="G236" s="7">
        <v>0</v>
      </c>
      <c r="H236" s="7">
        <v>0</v>
      </c>
      <c r="I236" s="7">
        <v>0</v>
      </c>
      <c r="J236" s="7">
        <v>0</v>
      </c>
      <c r="K236" s="7">
        <v>0</v>
      </c>
      <c r="L236" s="3" t="str">
        <f>IF(ISBLANK(M236),"",MAX(L$5:L235)+1)</f>
        <v/>
      </c>
      <c r="M236" s="4"/>
    </row>
    <row r="237" spans="2:13" outlineLevel="1">
      <c r="B237" s="78" t="s">
        <v>28</v>
      </c>
      <c r="C237" s="59"/>
      <c r="D237" s="29" t="str">
        <f t="shared" si="89"/>
        <v>$</v>
      </c>
      <c r="E237" s="73">
        <f t="shared" ref="E237:K237" si="90">SUM(E229:E236)</f>
        <v>0</v>
      </c>
      <c r="F237" s="73">
        <f t="shared" si="90"/>
        <v>0</v>
      </c>
      <c r="G237" s="73">
        <f t="shared" si="90"/>
        <v>0</v>
      </c>
      <c r="H237" s="73">
        <f t="shared" si="90"/>
        <v>0</v>
      </c>
      <c r="I237" s="73">
        <f t="shared" si="90"/>
        <v>0</v>
      </c>
      <c r="J237" s="73">
        <f t="shared" si="90"/>
        <v>0</v>
      </c>
      <c r="K237" s="73">
        <f t="shared" si="90"/>
        <v>0</v>
      </c>
      <c r="L237" s="3" t="str">
        <f>IF(ISBLANK(M237),"",MAX(L$5:L236)+1)</f>
        <v/>
      </c>
      <c r="M237" s="4"/>
    </row>
    <row r="238" spans="2:13" outlineLevel="1">
      <c r="B238" s="77"/>
      <c r="L238" s="3" t="str">
        <f>IF(ISBLANK(M238),"",MAX(L$5:L237)+1)</f>
        <v/>
      </c>
      <c r="M238" s="4"/>
    </row>
    <row r="239" spans="2:13">
      <c r="L239" s="3" t="str">
        <f>IF(ISBLANK(M239),"",MAX(L$5:L238)+1)</f>
        <v/>
      </c>
      <c r="M239" s="4"/>
    </row>
    <row r="240" spans="2:13">
      <c r="B240" s="79" t="s">
        <v>94</v>
      </c>
      <c r="L240" s="3">
        <f>IF(ISBLANK(M240),"",MAX(L$5:L239)+1)</f>
        <v>75</v>
      </c>
      <c r="M240" s="4" t="s">
        <v>95</v>
      </c>
    </row>
    <row r="241" spans="2:13">
      <c r="B241" s="65"/>
      <c r="L241" s="3">
        <f>IF(ISBLANK(M241),"",MAX(L$5:L240)+1)</f>
        <v>76</v>
      </c>
      <c r="M241" s="4" t="s">
        <v>96</v>
      </c>
    </row>
    <row r="242" spans="2:13">
      <c r="B242" s="59" t="str">
        <f>B14</f>
        <v>Investor</v>
      </c>
      <c r="C242" s="34"/>
      <c r="D242" s="29" t="str">
        <f t="shared" ref="D242:D251" si="91">D$5</f>
        <v>$</v>
      </c>
      <c r="E242" s="34">
        <f>E$214*$E14+$F14*E$215+$G14*E$216+$H14*E$217+($I14+$J14)*E$218+E229</f>
        <v>0</v>
      </c>
      <c r="F242" s="34">
        <f>F$214*$E14+$F14*F$215+$G14*F$216+$H14*F$217+($I14+$J14)*F$218+F229</f>
        <v>0</v>
      </c>
      <c r="G242" s="34">
        <f>G$214*$E14+$F14*G$215+$G14*G$216+$H14*G$217+($I14+$J14)*G$218+G229</f>
        <v>0</v>
      </c>
      <c r="H242" s="34">
        <f>H$214*$E14+$F14*H$215+$G14*H$216+$H14*H$217+($I14+$J14)*H$218+H229</f>
        <v>0</v>
      </c>
      <c r="I242" s="34">
        <f>I$214*$E14+$F14*I$215+$G14*I$216+$H14*I$217+($I14+$J14)*I$218+I229</f>
        <v>0</v>
      </c>
      <c r="J242" s="34">
        <f>J$214*$E14+$F14*J$215+$G14*J$216+$H14*J$217+($I14+$J14)*J$218+J229</f>
        <v>0</v>
      </c>
      <c r="K242" s="34">
        <f>K$214*$E14+$F14*K$215+$G14*K$216+$H14*K$217+($I14+$J14)*K$218+K229</f>
        <v>0</v>
      </c>
      <c r="L242" s="3" t="str">
        <f>IF(ISBLANK(M242),"",MAX(L$5:L241)+1)</f>
        <v/>
      </c>
    </row>
    <row r="243" spans="2:13">
      <c r="B243" s="59" t="str">
        <f>B15</f>
        <v>Investor</v>
      </c>
      <c r="C243" s="34"/>
      <c r="D243" s="29" t="str">
        <f t="shared" si="91"/>
        <v>$</v>
      </c>
      <c r="E243" s="34">
        <f>E$214*$E15+$F15*E$215+$G15*E$216+$H15*E$217+($I15+$J15)*E$218+E230</f>
        <v>0</v>
      </c>
      <c r="F243" s="34">
        <f>F$214*$E15+$F15*F$215+$G15*F$216+$H15*F$217+($I15+$J15)*F$218+F230</f>
        <v>0</v>
      </c>
      <c r="G243" s="34">
        <f>G$214*$E15+$F15*G$215+$G15*G$216+$H15*G$217+($I15+$J15)*G$218+G230</f>
        <v>0</v>
      </c>
      <c r="H243" s="34">
        <f>H$214*$E15+$F15*H$215+$G15*H$216+$H15*H$217+($I15+$J15)*H$218+H230</f>
        <v>0</v>
      </c>
      <c r="I243" s="34">
        <f>I$214*$E15+$F15*I$215+$G15*I$216+$H15*I$217+($I15+$J15)*I$218+I230</f>
        <v>0</v>
      </c>
      <c r="J243" s="34">
        <f>J$214*$E15+$F15*J$215+$G15*J$216+$H15*J$217+($I15+$J15)*J$218+J230</f>
        <v>0</v>
      </c>
      <c r="K243" s="34">
        <f>K$214*$E15+$F15*K$215+$G15*K$216+$H15*K$217+($I15+$J15)*K$218+K230</f>
        <v>0</v>
      </c>
      <c r="L243" s="3" t="str">
        <f>IF(ISBLANK(M243),"",MAX(L$5:L242)+1)</f>
        <v/>
      </c>
    </row>
    <row r="244" spans="2:13">
      <c r="B244" s="59" t="str">
        <f>B16</f>
        <v>Investor</v>
      </c>
      <c r="C244" s="34"/>
      <c r="D244" s="29" t="str">
        <f t="shared" si="91"/>
        <v>$</v>
      </c>
      <c r="E244" s="34">
        <f>E$214*$E16+$F16*E$215+$G16*E$216+$H16*E$217+($I16+$J16)*E$218+E231</f>
        <v>0</v>
      </c>
      <c r="F244" s="34">
        <f>F$214*$E16+$F16*F$215+$G16*F$216+$H16*F$217+($I16+$J16)*F$218+F231</f>
        <v>0</v>
      </c>
      <c r="G244" s="34">
        <f>G$214*$E16+$F16*G$215+$G16*G$216+$H16*G$217+($I16+$J16)*G$218+G231</f>
        <v>0</v>
      </c>
      <c r="H244" s="34">
        <f>H$214*$E16+$F16*H$215+$G16*H$216+$H16*H$217+($I16+$J16)*H$218+H231</f>
        <v>0</v>
      </c>
      <c r="I244" s="34">
        <f>I$214*$E16+$F16*I$215+$G16*I$216+$H16*I$217+($I16+$J16)*I$218+I231</f>
        <v>0</v>
      </c>
      <c r="J244" s="34">
        <f>J$214*$E16+$F16*J$215+$G16*J$216+$H16*J$217+($I16+$J16)*J$218+J231</f>
        <v>0</v>
      </c>
      <c r="K244" s="34">
        <f>K$214*$E16+$F16*K$215+$G16*K$216+$H16*K$217+($I16+$J16)*K$218+K231</f>
        <v>0</v>
      </c>
      <c r="L244" s="3" t="str">
        <f>IF(ISBLANK(M244),"",MAX(L$5:L243)+1)</f>
        <v/>
      </c>
    </row>
    <row r="245" spans="2:13">
      <c r="B245" s="59" t="str">
        <f>B17</f>
        <v>Investor</v>
      </c>
      <c r="C245" s="34"/>
      <c r="D245" s="29" t="str">
        <f t="shared" si="91"/>
        <v>$</v>
      </c>
      <c r="E245" s="34">
        <f>E$214*$E17+$F17*E$215+$G17*E$216+$H17*E$217+($I17+$J17)*E$218+E232</f>
        <v>0</v>
      </c>
      <c r="F245" s="34">
        <f>F$214*$E17+$F17*F$215+$G17*F$216+$H17*F$217+($I17+$J17)*F$218+F232</f>
        <v>0</v>
      </c>
      <c r="G245" s="34">
        <f>G$214*$E17+$F17*G$215+$G17*G$216+$H17*G$217+($I17+$J17)*G$218+G232</f>
        <v>0</v>
      </c>
      <c r="H245" s="34">
        <f>H$214*$E17+$F17*H$215+$G17*H$216+$H17*H$217+($I17+$J17)*H$218+H232</f>
        <v>0</v>
      </c>
      <c r="I245" s="34">
        <f>I$214*$E17+$F17*I$215+$G17*I$216+$H17*I$217+($I17+$J17)*I$218+I232</f>
        <v>0</v>
      </c>
      <c r="J245" s="34">
        <f>J$214*$E17+$F17*J$215+$G17*J$216+$H17*J$217+($I17+$J17)*J$218+J232</f>
        <v>0</v>
      </c>
      <c r="K245" s="34">
        <f>K$214*$E17+$F17*K$215+$G17*K$216+$H17*K$217+($I17+$J17)*K$218+K232</f>
        <v>0</v>
      </c>
      <c r="L245" s="3" t="str">
        <f>IF(ISBLANK(M245),"",MAX(L$5:L244)+1)</f>
        <v/>
      </c>
    </row>
    <row r="246" spans="2:13">
      <c r="B246" s="59" t="str">
        <f>B18</f>
        <v>Investor</v>
      </c>
      <c r="C246" s="34"/>
      <c r="D246" s="29" t="str">
        <f t="shared" si="91"/>
        <v>$</v>
      </c>
      <c r="E246" s="34">
        <f>E$214*$E18+$F18*E$215+$G18*E$216+$H18*E$217+($I18+$J18)*E$218+E233</f>
        <v>0</v>
      </c>
      <c r="F246" s="34">
        <f>F$214*$E18+$F18*F$215+$G18*F$216+$H18*F$217+($I18+$J18)*F$218+F233</f>
        <v>0</v>
      </c>
      <c r="G246" s="34">
        <f>G$214*$E18+$F18*G$215+$G18*G$216+$H18*G$217+($I18+$J18)*G$218+G233</f>
        <v>0</v>
      </c>
      <c r="H246" s="34">
        <f>H$214*$E18+$F18*H$215+$G18*H$216+$H18*H$217+($I18+$J18)*H$218+H233</f>
        <v>0</v>
      </c>
      <c r="I246" s="34">
        <f>I$214*$E18+$F18*I$215+$G18*I$216+$H18*I$217+($I18+$J18)*I$218+I233</f>
        <v>0</v>
      </c>
      <c r="J246" s="34">
        <f>J$214*$E18+$F18*J$215+$G18*J$216+$H18*J$217+($I18+$J18)*J$218+J233</f>
        <v>0</v>
      </c>
      <c r="K246" s="34">
        <f>K$214*$E18+$F18*K$215+$G18*K$216+$H18*K$217+($I18+$J18)*K$218+K233</f>
        <v>0</v>
      </c>
      <c r="L246" s="3" t="str">
        <f>IF(ISBLANK(M246),"",MAX(L$5:L245)+1)</f>
        <v/>
      </c>
    </row>
    <row r="247" spans="2:13">
      <c r="B247" s="59" t="str">
        <f>B19</f>
        <v>Investor</v>
      </c>
      <c r="C247" s="34"/>
      <c r="D247" s="29" t="str">
        <f t="shared" si="91"/>
        <v>$</v>
      </c>
      <c r="E247" s="34">
        <f>E$214*$E19+$F19*E$215+$G19*E$216+$H19*E$217+($I19+$J19)*E$218+E234</f>
        <v>0</v>
      </c>
      <c r="F247" s="34">
        <f>F$214*$E19+$F19*F$215+$G19*F$216+$H19*F$217+($I19+$J19)*F$218+F234</f>
        <v>0</v>
      </c>
      <c r="G247" s="34">
        <f>G$214*$E19+$F19*G$215+$G19*G$216+$H19*G$217+($I19+$J19)*G$218+G234</f>
        <v>0</v>
      </c>
      <c r="H247" s="34">
        <f>H$214*$E19+$F19*H$215+$G19*H$216+$H19*H$217+($I19+$J19)*H$218+H234</f>
        <v>0</v>
      </c>
      <c r="I247" s="34">
        <f>I$214*$E19+$F19*I$215+$G19*I$216+$H19*I$217+($I19+$J19)*I$218+I234</f>
        <v>0</v>
      </c>
      <c r="J247" s="34">
        <f>J$214*$E19+$F19*J$215+$G19*J$216+$H19*J$217+($I19+$J19)*J$218+J234</f>
        <v>0</v>
      </c>
      <c r="K247" s="34">
        <f>K$214*$E19+$F19*K$215+$G19*K$216+$H19*K$217+($I19+$J19)*K$218+K234</f>
        <v>0</v>
      </c>
      <c r="L247" s="3" t="str">
        <f>IF(ISBLANK(M247),"",MAX(L$5:L246)+1)</f>
        <v/>
      </c>
    </row>
    <row r="248" spans="2:13">
      <c r="B248" s="59" t="str">
        <f>B20</f>
        <v>Options Exercised</v>
      </c>
      <c r="C248" s="34"/>
      <c r="D248" s="29" t="str">
        <f t="shared" si="91"/>
        <v>$</v>
      </c>
      <c r="E248" s="34">
        <f>E$214*$E20+$F20*E$215+$G20*E$216+$H20*E$217+($I20+$J20)*E$218+E235</f>
        <v>0</v>
      </c>
      <c r="F248" s="34">
        <f>F$214*$E20+$F20*F$215+$G20*F$216+$H20*F$217+($I20+$J20)*F$218+F235</f>
        <v>0</v>
      </c>
      <c r="G248" s="34">
        <f>G$214*$E20+$F20*G$215+$G20*G$216+$H20*G$217+($I20+$J20)*G$218+G235</f>
        <v>0</v>
      </c>
      <c r="H248" s="34">
        <f>H$214*$E20+$F20*H$215+$G20*H$216+$H20*H$217+($I20+$J20)*H$218+H235</f>
        <v>0</v>
      </c>
      <c r="I248" s="34">
        <f>I$214*$E20+$F20*I$215+$G20*I$216+$H20*I$217+($I20+$J20)*I$218+I235</f>
        <v>0</v>
      </c>
      <c r="J248" s="34">
        <f>J$214*$E20+$F20*J$215+$G20*J$216+$H20*J$217+($I20+$J20)*J$218+J235</f>
        <v>0</v>
      </c>
      <c r="K248" s="34">
        <f>K$214*$E20+$F20*K$215+$G20*K$216+$H20*K$217+($I20+$J20)*K$218+K235</f>
        <v>0</v>
      </c>
      <c r="L248" s="3" t="str">
        <f>IF(ISBLANK(M248),"",MAX(L$5:L247)+1)</f>
        <v/>
      </c>
      <c r="M248" s="4"/>
    </row>
    <row r="249" spans="2:13">
      <c r="B249" s="59" t="str">
        <f>B21</f>
        <v>Options Exercised</v>
      </c>
      <c r="C249" s="34"/>
      <c r="D249" s="29" t="str">
        <f t="shared" si="91"/>
        <v>$</v>
      </c>
      <c r="E249" s="34">
        <f>E$214*$E21+$F21*E$215+$G21*E$216+$H21*E$217+($I21+$J21)*E$218+E236</f>
        <v>0</v>
      </c>
      <c r="F249" s="34">
        <f>F$214*$E21+$F21*F$215+$G21*F$216+$H21*F$217+($I21+$J21)*F$218+F236</f>
        <v>0</v>
      </c>
      <c r="G249" s="34">
        <f>G$214*$E21+$F21*G$215+$G21*G$216+$H21*G$217+($I21+$J21)*G$218+G236</f>
        <v>0</v>
      </c>
      <c r="H249" s="34">
        <f>H$214*$E21+$F21*H$215+$G21*H$216+$H21*H$217+($I21+$J21)*H$218+H236</f>
        <v>0</v>
      </c>
      <c r="I249" s="34">
        <f>I$214*$E21+$F21*I$215+$G21*I$216+$H21*I$217+($I21+$J21)*I$218+I236</f>
        <v>0</v>
      </c>
      <c r="J249" s="34">
        <f>J$214*$E21+$F21*J$215+$G21*J$216+$H21*J$217+($I21+$J21)*J$218+J236</f>
        <v>0</v>
      </c>
      <c r="K249" s="34">
        <f>K$214*$E21+$F21*K$215+$G21*K$216+$H21*K$217+($I21+$J21)*K$218+K236</f>
        <v>0</v>
      </c>
      <c r="L249" s="3" t="str">
        <f>IF(ISBLANK(M249),"",MAX(L$5:L248)+1)</f>
        <v/>
      </c>
      <c r="M249" s="4"/>
    </row>
    <row r="250" spans="2:13">
      <c r="B250" s="59" t="s">
        <v>28</v>
      </c>
      <c r="C250" s="83"/>
      <c r="D250" s="29" t="str">
        <f t="shared" si="91"/>
        <v>$</v>
      </c>
      <c r="E250" s="73">
        <f t="shared" ref="E250:K250" si="92">SUM(E242:E249)</f>
        <v>0</v>
      </c>
      <c r="F250" s="73">
        <f t="shared" si="92"/>
        <v>0</v>
      </c>
      <c r="G250" s="73">
        <f t="shared" si="92"/>
        <v>0</v>
      </c>
      <c r="H250" s="73">
        <f t="shared" si="92"/>
        <v>0</v>
      </c>
      <c r="I250" s="73">
        <f t="shared" si="92"/>
        <v>0</v>
      </c>
      <c r="J250" s="73">
        <f t="shared" si="92"/>
        <v>0</v>
      </c>
      <c r="K250" s="73">
        <f t="shared" si="92"/>
        <v>0</v>
      </c>
      <c r="L250" s="3" t="str">
        <f>IF(ISBLANK(M250),"",MAX(L$5:L249)+1)</f>
        <v/>
      </c>
      <c r="M250" s="4"/>
    </row>
    <row r="251" spans="2:13">
      <c r="B251" s="74" t="s">
        <v>149</v>
      </c>
      <c r="C251" s="59"/>
      <c r="D251" s="36" t="str">
        <f t="shared" si="91"/>
        <v>$</v>
      </c>
      <c r="E251" s="59">
        <f>E250-E201</f>
        <v>0</v>
      </c>
      <c r="F251" s="59">
        <f t="shared" ref="F251:K251" si="93">F250-F201</f>
        <v>0</v>
      </c>
      <c r="G251" s="59">
        <f t="shared" si="93"/>
        <v>0</v>
      </c>
      <c r="H251" s="59">
        <f t="shared" si="93"/>
        <v>0</v>
      </c>
      <c r="I251" s="59">
        <f t="shared" si="93"/>
        <v>0</v>
      </c>
      <c r="J251" s="59">
        <f t="shared" si="93"/>
        <v>0</v>
      </c>
      <c r="K251" s="59">
        <f t="shared" si="93"/>
        <v>0</v>
      </c>
      <c r="L251" s="3" t="str">
        <f>IF(ISBLANK(M251),"",MAX(L$5:L250)+1)</f>
        <v/>
      </c>
      <c r="M251" s="4"/>
    </row>
    <row r="252" spans="2:13">
      <c r="L252" s="3" t="str">
        <f>IF(ISBLANK(M252),"",MAX(L$5:L251)+1)</f>
        <v/>
      </c>
      <c r="M252" s="4"/>
    </row>
    <row r="253" spans="2:13">
      <c r="B253" s="79" t="s">
        <v>97</v>
      </c>
      <c r="L253" s="3" t="str">
        <f>IF(ISBLANK(M253),"",MAX(L$5:L252)+1)</f>
        <v/>
      </c>
      <c r="M253" s="4"/>
    </row>
    <row r="254" spans="2:13">
      <c r="L254" s="3" t="str">
        <f>IF(ISBLANK(M254),"",MAX(L$5:L253)+1)</f>
        <v/>
      </c>
      <c r="M254" s="4"/>
    </row>
    <row r="255" spans="2:13">
      <c r="B255" s="59" t="str">
        <f>B14</f>
        <v>Investor</v>
      </c>
      <c r="C255" s="38"/>
      <c r="D255" s="53" t="s">
        <v>12</v>
      </c>
      <c r="E255" s="38" t="str">
        <f>IFERROR((E242-SUM($E28:$J28))/(SUM($E28:$J28)),"na")</f>
        <v>na</v>
      </c>
      <c r="F255" s="38" t="str">
        <f>IFERROR((F242-SUM($E28:$J28))/(SUM($E28:$J28)),"na")</f>
        <v>na</v>
      </c>
      <c r="G255" s="38" t="str">
        <f>IFERROR((G242-SUM($E28:$J28))/(SUM($E28:$J28)),"na")</f>
        <v>na</v>
      </c>
      <c r="H255" s="38" t="str">
        <f>IFERROR((H242-SUM($E28:$J28))/(SUM($E28:$J28)),"na")</f>
        <v>na</v>
      </c>
      <c r="I255" s="38" t="str">
        <f>IFERROR((I242-SUM($E28:$J28))/(SUM($E28:$J28)),"na")</f>
        <v>na</v>
      </c>
      <c r="J255" s="38" t="str">
        <f>IFERROR((J242-SUM($E28:$J28))/(SUM($E28:$J28)),"na")</f>
        <v>na</v>
      </c>
      <c r="K255" s="38" t="str">
        <f>IFERROR((K242-SUM($E28:$J28))/(SUM($E28:$J28)),"na")</f>
        <v>na</v>
      </c>
      <c r="L255" s="3">
        <f>IF(ISBLANK(M255),"",MAX(L$5:L254)+1)</f>
        <v>77</v>
      </c>
      <c r="M255" s="4" t="s">
        <v>98</v>
      </c>
    </row>
    <row r="256" spans="2:13">
      <c r="B256" s="59" t="str">
        <f>B15</f>
        <v>Investor</v>
      </c>
      <c r="C256" s="38"/>
      <c r="D256" s="53" t="s">
        <v>12</v>
      </c>
      <c r="E256" s="38" t="str">
        <f>IFERROR((E243-SUM($E29:$J29))/(SUM($E29:$J29)),"na")</f>
        <v>na</v>
      </c>
      <c r="F256" s="38" t="str">
        <f>IFERROR((F243-SUM($E29:$J29))/(SUM($E29:$J29)),"na")</f>
        <v>na</v>
      </c>
      <c r="G256" s="38" t="str">
        <f>IFERROR((G243-SUM($E29:$J29))/(SUM($E29:$J29)),"na")</f>
        <v>na</v>
      </c>
      <c r="H256" s="38" t="str">
        <f>IFERROR((H243-SUM($E29:$J29))/(SUM($E29:$J29)),"na")</f>
        <v>na</v>
      </c>
      <c r="I256" s="38" t="str">
        <f>IFERROR((I243-SUM($E29:$J29))/(SUM($E29:$J29)),"na")</f>
        <v>na</v>
      </c>
      <c r="J256" s="38" t="str">
        <f>IFERROR((J243-SUM($E29:$J29))/(SUM($E29:$J29)),"na")</f>
        <v>na</v>
      </c>
      <c r="K256" s="38" t="str">
        <f>IFERROR((K243-SUM($E29:$J29))/(SUM($E29:$J29)),"na")</f>
        <v>na</v>
      </c>
      <c r="L256" s="3" t="str">
        <f>IF(ISBLANK(M256),"",MAX(L$5:L255)+1)</f>
        <v/>
      </c>
      <c r="M256" s="4"/>
    </row>
    <row r="257" spans="2:13">
      <c r="B257" s="59" t="str">
        <f>B16</f>
        <v>Investor</v>
      </c>
      <c r="C257" s="38"/>
      <c r="D257" s="53" t="s">
        <v>12</v>
      </c>
      <c r="E257" s="38" t="str">
        <f>IFERROR((E244-SUM($E30:$J30))/(SUM($E30:$J30)),"na")</f>
        <v>na</v>
      </c>
      <c r="F257" s="38" t="str">
        <f>IFERROR((F244-SUM($E30:$J30))/(SUM($E30:$J30)),"na")</f>
        <v>na</v>
      </c>
      <c r="G257" s="38" t="str">
        <f>IFERROR((G244-SUM($E30:$J30))/(SUM($E30:$J30)),"na")</f>
        <v>na</v>
      </c>
      <c r="H257" s="38" t="str">
        <f>IFERROR((H244-SUM($E30:$J30))/(SUM($E30:$J30)),"na")</f>
        <v>na</v>
      </c>
      <c r="I257" s="38" t="str">
        <f>IFERROR((I244-SUM($E30:$J30))/(SUM($E30:$J30)),"na")</f>
        <v>na</v>
      </c>
      <c r="J257" s="38" t="str">
        <f>IFERROR((J244-SUM($E30:$J30))/(SUM($E30:$J30)),"na")</f>
        <v>na</v>
      </c>
      <c r="K257" s="38" t="str">
        <f>IFERROR((K244-SUM($E30:$J30))/(SUM($E30:$J30)),"na")</f>
        <v>na</v>
      </c>
      <c r="L257" s="3" t="str">
        <f>IF(ISBLANK(M257),"",MAX(L$5:L256)+1)</f>
        <v/>
      </c>
      <c r="M257" s="4"/>
    </row>
    <row r="258" spans="2:13">
      <c r="B258" s="59" t="str">
        <f>B17</f>
        <v>Investor</v>
      </c>
      <c r="C258" s="38"/>
      <c r="D258" s="53" t="s">
        <v>12</v>
      </c>
      <c r="E258" s="38" t="str">
        <f>IFERROR((E245-SUM($E31:$J31))/(SUM($E31:$J31)),"na")</f>
        <v>na</v>
      </c>
      <c r="F258" s="38" t="str">
        <f>IFERROR((F245-SUM($E31:$J31))/(SUM($E31:$J31)),"na")</f>
        <v>na</v>
      </c>
      <c r="G258" s="38" t="str">
        <f>IFERROR((G245-SUM($E31:$J31))/(SUM($E31:$J31)),"na")</f>
        <v>na</v>
      </c>
      <c r="H258" s="38" t="str">
        <f>IFERROR((H245-SUM($E31:$J31))/(SUM($E31:$J31)),"na")</f>
        <v>na</v>
      </c>
      <c r="I258" s="38" t="str">
        <f>IFERROR((I245-SUM($E31:$J31))/(SUM($E31:$J31)),"na")</f>
        <v>na</v>
      </c>
      <c r="J258" s="38" t="str">
        <f>IFERROR((J245-SUM($E31:$J31))/(SUM($E31:$J31)),"na")</f>
        <v>na</v>
      </c>
      <c r="K258" s="38" t="str">
        <f>IFERROR((K245-SUM($E31:$J31))/(SUM($E31:$J31)),"na")</f>
        <v>na</v>
      </c>
      <c r="L258" s="3" t="str">
        <f>IF(ISBLANK(M258),"",MAX(L$5:L257)+1)</f>
        <v/>
      </c>
      <c r="M258" s="4"/>
    </row>
    <row r="259" spans="2:13">
      <c r="B259" s="59" t="str">
        <f>B18</f>
        <v>Investor</v>
      </c>
      <c r="C259" s="38"/>
      <c r="D259" s="53" t="s">
        <v>12</v>
      </c>
      <c r="E259" s="38" t="str">
        <f>IFERROR((E246-SUM($E32:$J32))/(SUM($E32:$J32)),"na")</f>
        <v>na</v>
      </c>
      <c r="F259" s="38" t="str">
        <f>IFERROR((F246-SUM($E32:$J32))/(SUM($E32:$J32)),"na")</f>
        <v>na</v>
      </c>
      <c r="G259" s="38" t="str">
        <f>IFERROR((G246-SUM($E32:$J32))/(SUM($E32:$J32)),"na")</f>
        <v>na</v>
      </c>
      <c r="H259" s="38" t="str">
        <f>IFERROR((H246-SUM($E32:$J32))/(SUM($E32:$J32)),"na")</f>
        <v>na</v>
      </c>
      <c r="I259" s="38" t="str">
        <f>IFERROR((I246-SUM($E32:$J32))/(SUM($E32:$J32)),"na")</f>
        <v>na</v>
      </c>
      <c r="J259" s="38" t="str">
        <f>IFERROR((J246-SUM($E32:$J32))/(SUM($E32:$J32)),"na")</f>
        <v>na</v>
      </c>
      <c r="K259" s="38" t="str">
        <f>IFERROR((K246-SUM($E32:$J32))/(SUM($E32:$J32)),"na")</f>
        <v>na</v>
      </c>
      <c r="L259" s="3" t="str">
        <f>IF(ISBLANK(M259),"",MAX(L$5:L258)+1)</f>
        <v/>
      </c>
      <c r="M259" s="4"/>
    </row>
    <row r="260" spans="2:13">
      <c r="B260" s="59" t="str">
        <f>B19</f>
        <v>Investor</v>
      </c>
      <c r="C260" s="38"/>
      <c r="D260" s="53" t="s">
        <v>12</v>
      </c>
      <c r="E260" s="38" t="str">
        <f>IFERROR((E247-SUM($E33:$J33))/(SUM($E33:$J33)),"na")</f>
        <v>na</v>
      </c>
      <c r="F260" s="38" t="str">
        <f>IFERROR((F247-SUM($E33:$J33))/(SUM($E33:$J33)),"na")</f>
        <v>na</v>
      </c>
      <c r="G260" s="38" t="str">
        <f>IFERROR((G247-SUM($E33:$J33))/(SUM($E33:$J33)),"na")</f>
        <v>na</v>
      </c>
      <c r="H260" s="38" t="str">
        <f>IFERROR((H247-SUM($E33:$J33))/(SUM($E33:$J33)),"na")</f>
        <v>na</v>
      </c>
      <c r="I260" s="38" t="str">
        <f>IFERROR((I247-SUM($E33:$J33))/(SUM($E33:$J33)),"na")</f>
        <v>na</v>
      </c>
      <c r="J260" s="38" t="str">
        <f>IFERROR((J247-SUM($E33:$J33))/(SUM($E33:$J33)),"na")</f>
        <v>na</v>
      </c>
      <c r="K260" s="38" t="str">
        <f>IFERROR((K247-SUM($E33:$J33))/(SUM($E33:$J33)),"na")</f>
        <v>na</v>
      </c>
      <c r="L260" s="3" t="str">
        <f>IF(ISBLANK(M260),"",MAX(L$5:L259)+1)</f>
        <v/>
      </c>
      <c r="M260" s="4"/>
    </row>
    <row r="261" spans="2:13">
      <c r="B261" s="59" t="str">
        <f>B$20</f>
        <v>Options Exercised</v>
      </c>
      <c r="C261" s="38"/>
      <c r="D261" s="53" t="s">
        <v>12</v>
      </c>
      <c r="E261" s="38" t="str">
        <f>IFERROR((E248-SUM($E34:$J34))/(SUM($E34:$J34)),"na")</f>
        <v>na</v>
      </c>
      <c r="F261" s="38" t="str">
        <f>IFERROR((F248-SUM($E34:$J34))/(SUM($E34:$J34)),"na")</f>
        <v>na</v>
      </c>
      <c r="G261" s="38" t="str">
        <f>IFERROR((G248-SUM($E34:$J34))/(SUM($E34:$J34)),"na")</f>
        <v>na</v>
      </c>
      <c r="H261" s="38" t="str">
        <f>IFERROR((H248-SUM($E34:$J34))/(SUM($E34:$J34)),"na")</f>
        <v>na</v>
      </c>
      <c r="I261" s="38" t="str">
        <f>IFERROR((I248-SUM($E34:$J34))/(SUM($E34:$J34)),"na")</f>
        <v>na</v>
      </c>
      <c r="J261" s="38" t="str">
        <f>IFERROR((J248-SUM($E34:$J34))/(SUM($E34:$J34)),"na")</f>
        <v>na</v>
      </c>
      <c r="K261" s="38" t="str">
        <f>IFERROR((K248-SUM($E34:$J34))/(SUM($E34:$J34)),"na")</f>
        <v>na</v>
      </c>
      <c r="L261" s="3" t="str">
        <f>IF(ISBLANK(M261),"",MAX(L$5:L260)+1)</f>
        <v/>
      </c>
      <c r="M261" s="4"/>
    </row>
    <row r="262" spans="2:13">
      <c r="B262" s="59" t="str">
        <f>B$21</f>
        <v>Options Exercised</v>
      </c>
      <c r="C262" s="38"/>
      <c r="D262" s="53" t="s">
        <v>12</v>
      </c>
      <c r="E262" s="38" t="str">
        <f>IFERROR((E249-SUM($E35:$J35))/(SUM($E35:$J35)),"na")</f>
        <v>na</v>
      </c>
      <c r="F262" s="38" t="str">
        <f>IFERROR((F249-SUM($E35:$J35))/(SUM($E35:$J35)),"na")</f>
        <v>na</v>
      </c>
      <c r="G262" s="38" t="str">
        <f>IFERROR((G249-SUM($E35:$J35))/(SUM($E35:$J35)),"na")</f>
        <v>na</v>
      </c>
      <c r="H262" s="38" t="str">
        <f>IFERROR((H249-SUM($E35:$J35))/(SUM($E35:$J35)),"na")</f>
        <v>na</v>
      </c>
      <c r="I262" s="38" t="str">
        <f>IFERROR((I249-SUM($E35:$J35))/(SUM($E35:$J35)),"na")</f>
        <v>na</v>
      </c>
      <c r="J262" s="38" t="str">
        <f>IFERROR((J249-SUM($E35:$J35))/(SUM($E35:$J35)),"na")</f>
        <v>na</v>
      </c>
      <c r="K262" s="38" t="str">
        <f>IFERROR((K249-SUM($E35:$J35))/(SUM($E35:$J35)),"na")</f>
        <v>na</v>
      </c>
      <c r="L262" s="3" t="str">
        <f>IF(ISBLANK(M262),"",MAX(L$5:L261)+1)</f>
        <v/>
      </c>
      <c r="M262" s="4"/>
    </row>
    <row r="263" spans="2:13">
      <c r="B263" s="59" t="s">
        <v>28</v>
      </c>
      <c r="C263" s="63"/>
      <c r="D263" s="53" t="s">
        <v>12</v>
      </c>
      <c r="E263" s="39">
        <f t="shared" ref="E263:K263" si="94">IFERROR((E250-$K39)/$K39,0)</f>
        <v>0</v>
      </c>
      <c r="F263" s="39">
        <f t="shared" si="94"/>
        <v>0</v>
      </c>
      <c r="G263" s="39">
        <f t="shared" si="94"/>
        <v>0</v>
      </c>
      <c r="H263" s="39">
        <f t="shared" si="94"/>
        <v>0</v>
      </c>
      <c r="I263" s="39">
        <f t="shared" si="94"/>
        <v>0</v>
      </c>
      <c r="J263" s="39">
        <f t="shared" si="94"/>
        <v>0</v>
      </c>
      <c r="K263" s="39">
        <f t="shared" si="94"/>
        <v>0</v>
      </c>
      <c r="L263" s="3" t="str">
        <f>IF(ISBLANK(M263),"",MAX(L$5:L262)+1)</f>
        <v/>
      </c>
    </row>
    <row r="264" spans="2:13">
      <c r="L264" s="3" t="str">
        <f>IF(ISBLANK(M264),"",MAX(L$5:L263)+1)</f>
        <v/>
      </c>
    </row>
    <row r="265" spans="2:13">
      <c r="L265" s="3" t="str">
        <f>IF(ISBLANK(M265),"",MAX(L$5:L264)+1)</f>
        <v/>
      </c>
    </row>
    <row r="266" spans="2:13">
      <c r="L266" s="3" t="str">
        <f>IF(ISBLANK(M266),"",MAX(L$5:L265)+1)</f>
        <v/>
      </c>
    </row>
    <row r="267" spans="2:13">
      <c r="L267" s="3">
        <f>IF(ISBLANK(M267),"",MAX(L$5:L266)+1)</f>
        <v>78</v>
      </c>
      <c r="M267" s="4" t="s">
        <v>128</v>
      </c>
    </row>
    <row r="268" spans="2:13">
      <c r="L268" s="3" t="str">
        <f>IF(ISBLANK(M268),"",MAX(L$5:L267)+1)</f>
        <v/>
      </c>
    </row>
    <row r="269" spans="2:13">
      <c r="L269" s="3" t="str">
        <f>IF(ISBLANK(M269),"",MAX(L$5:L268)+1)</f>
        <v/>
      </c>
    </row>
    <row r="270" spans="2:13" s="55" customFormat="1">
      <c r="C270" s="52"/>
      <c r="D270" s="53"/>
      <c r="E270" s="52"/>
      <c r="F270" s="52"/>
      <c r="G270" s="52"/>
      <c r="H270" s="52"/>
      <c r="I270" s="52"/>
      <c r="J270" s="52"/>
      <c r="K270" s="52"/>
      <c r="L270" s="3" t="str">
        <f>IF(ISBLANK(M270),"",MAX(L$5:L269)+1)</f>
        <v/>
      </c>
    </row>
    <row r="271" spans="2:13" s="55" customFormat="1">
      <c r="C271" s="52"/>
      <c r="D271" s="53"/>
      <c r="E271" s="52"/>
      <c r="F271" s="52"/>
      <c r="G271" s="52"/>
      <c r="H271" s="52"/>
      <c r="I271" s="52"/>
      <c r="J271" s="52"/>
      <c r="K271" s="52"/>
      <c r="L271" s="3" t="str">
        <f>IF(ISBLANK(M271),"",MAX(L$5:L270)+1)</f>
        <v/>
      </c>
    </row>
    <row r="272" spans="2:13" s="55" customFormat="1">
      <c r="C272" s="52"/>
      <c r="D272" s="53"/>
      <c r="E272" s="52"/>
      <c r="F272" s="52"/>
      <c r="G272" s="52"/>
      <c r="H272" s="52"/>
      <c r="I272" s="52"/>
      <c r="J272" s="52"/>
      <c r="K272" s="52"/>
      <c r="L272" s="3" t="str">
        <f>IF(ISBLANK(M272),"",MAX(L$5:L271)+1)</f>
        <v/>
      </c>
    </row>
    <row r="273" spans="1:26" s="55" customFormat="1">
      <c r="C273" s="52"/>
      <c r="D273" s="53"/>
      <c r="E273" s="52"/>
      <c r="F273" s="52"/>
      <c r="G273" s="52"/>
      <c r="H273" s="52"/>
      <c r="I273" s="52"/>
      <c r="J273" s="52"/>
      <c r="K273" s="52"/>
      <c r="L273" s="3" t="str">
        <f>IF(ISBLANK(M273),"",MAX(L$5:L272)+1)</f>
        <v/>
      </c>
    </row>
    <row r="274" spans="1:26" s="55" customFormat="1">
      <c r="C274" s="52"/>
      <c r="D274" s="53"/>
      <c r="E274" s="52"/>
      <c r="F274" s="52"/>
      <c r="G274" s="52"/>
      <c r="H274" s="52"/>
      <c r="I274" s="52"/>
      <c r="J274" s="52"/>
      <c r="K274" s="52"/>
      <c r="L274" s="3" t="str">
        <f>IF(ISBLANK(M274),"",MAX(L$5:L273)+1)</f>
        <v/>
      </c>
    </row>
    <row r="275" spans="1:26" s="55" customFormat="1">
      <c r="C275" s="52"/>
      <c r="D275" s="53"/>
      <c r="E275" s="52"/>
      <c r="F275" s="52"/>
      <c r="G275" s="52"/>
      <c r="H275" s="52"/>
      <c r="I275" s="52"/>
      <c r="J275" s="52"/>
      <c r="K275" s="52"/>
      <c r="L275" s="3" t="str">
        <f>IF(ISBLANK(M275),"",MAX(L$5:L274)+1)</f>
        <v/>
      </c>
    </row>
    <row r="276" spans="1:26" s="55" customFormat="1">
      <c r="C276" s="52"/>
      <c r="D276" s="53"/>
      <c r="E276" s="52"/>
      <c r="F276" s="52"/>
      <c r="G276" s="52"/>
      <c r="H276" s="52"/>
      <c r="I276" s="52"/>
      <c r="J276" s="52"/>
      <c r="K276" s="52"/>
      <c r="L276" s="3" t="str">
        <f>IF(ISBLANK(M276),"",MAX(L$5:L275)+1)</f>
        <v/>
      </c>
    </row>
    <row r="277" spans="1:26" s="55" customFormat="1">
      <c r="C277" s="52"/>
      <c r="D277" s="53"/>
      <c r="E277" s="52"/>
      <c r="F277" s="52"/>
      <c r="G277" s="52"/>
      <c r="H277" s="52"/>
      <c r="I277" s="52"/>
      <c r="J277" s="52"/>
      <c r="K277" s="52"/>
      <c r="L277" s="3" t="str">
        <f>IF(ISBLANK(M277),"",MAX(L$5:L276)+1)</f>
        <v/>
      </c>
    </row>
    <row r="278" spans="1:26" s="55" customFormat="1">
      <c r="C278" s="52"/>
      <c r="D278" s="53"/>
      <c r="E278" s="52"/>
      <c r="F278" s="52"/>
      <c r="G278" s="52"/>
      <c r="H278" s="52"/>
      <c r="I278" s="52"/>
      <c r="J278" s="52"/>
      <c r="K278" s="52"/>
      <c r="L278" s="3" t="str">
        <f>IF(ISBLANK(M278),"",MAX(L$5:L277)+1)</f>
        <v/>
      </c>
    </row>
    <row r="279" spans="1:26" s="55" customFormat="1">
      <c r="C279" s="52"/>
      <c r="D279" s="53"/>
      <c r="E279" s="52"/>
      <c r="F279" s="52"/>
      <c r="G279" s="52"/>
      <c r="H279" s="52"/>
      <c r="I279" s="52"/>
      <c r="J279" s="52"/>
      <c r="K279" s="52"/>
      <c r="L279" s="3" t="str">
        <f>IF(ISBLANK(M279),"",MAX(L$5:L278)+1)</f>
        <v/>
      </c>
    </row>
    <row r="280" spans="1:26" s="55" customFormat="1">
      <c r="C280" s="52"/>
      <c r="D280" s="53"/>
      <c r="E280" s="52"/>
      <c r="F280" s="52"/>
      <c r="G280" s="52"/>
      <c r="H280" s="52"/>
      <c r="I280" s="52"/>
      <c r="J280" s="52"/>
      <c r="K280" s="52"/>
      <c r="L280" s="3" t="str">
        <f>IF(ISBLANK(M280),"",MAX(L$5:L279)+1)</f>
        <v/>
      </c>
    </row>
    <row r="281" spans="1:26" s="55" customFormat="1">
      <c r="C281" s="52"/>
      <c r="D281" s="53"/>
      <c r="E281" s="52"/>
      <c r="F281" s="52"/>
      <c r="G281" s="52"/>
      <c r="H281" s="52"/>
      <c r="I281" s="52"/>
      <c r="J281" s="52"/>
      <c r="K281" s="52"/>
      <c r="L281" s="3" t="str">
        <f>IF(ISBLANK(M281),"",MAX(L$5:L280)+1)</f>
        <v/>
      </c>
    </row>
    <row r="282" spans="1:26" s="55" customFormat="1">
      <c r="C282" s="52"/>
      <c r="D282" s="53"/>
      <c r="E282" s="52"/>
      <c r="F282" s="52"/>
      <c r="G282" s="52"/>
      <c r="H282" s="52"/>
      <c r="I282" s="52"/>
      <c r="J282" s="52"/>
      <c r="K282" s="52"/>
      <c r="L282" s="3" t="str">
        <f>IF(ISBLANK(M282),"",MAX(L$5:L281)+1)</f>
        <v/>
      </c>
    </row>
    <row r="283" spans="1:26" s="55" customFormat="1">
      <c r="C283" s="52"/>
      <c r="D283" s="53"/>
      <c r="E283" s="52"/>
      <c r="F283" s="52"/>
      <c r="G283" s="52"/>
      <c r="H283" s="52"/>
      <c r="I283" s="52"/>
      <c r="J283" s="52"/>
      <c r="K283" s="52"/>
      <c r="L283" s="3" t="str">
        <f>IF(ISBLANK(M283),"",MAX(L$5:L282)+1)</f>
        <v/>
      </c>
    </row>
    <row r="284" spans="1:26" s="55" customFormat="1">
      <c r="C284" s="52"/>
      <c r="D284" s="53"/>
      <c r="E284" s="52"/>
      <c r="F284" s="52"/>
      <c r="G284" s="52"/>
      <c r="H284" s="52"/>
      <c r="I284" s="52"/>
      <c r="J284" s="52"/>
      <c r="K284" s="52"/>
      <c r="L284" s="3" t="str">
        <f>IF(ISBLANK(M284),"",MAX(L$5:L283)+1)</f>
        <v/>
      </c>
    </row>
    <row r="285" spans="1:26" s="55" customFormat="1">
      <c r="C285" s="52"/>
      <c r="D285" s="53"/>
      <c r="E285" s="52"/>
      <c r="F285" s="52"/>
      <c r="G285" s="52"/>
      <c r="H285" s="52"/>
      <c r="I285" s="52"/>
      <c r="J285" s="52"/>
      <c r="K285" s="52"/>
      <c r="L285" s="3" t="str">
        <f>IF(ISBLANK(M285),"",MAX(L$5:L284)+1)</f>
        <v/>
      </c>
    </row>
    <row r="286" spans="1:26" s="55" customFormat="1">
      <c r="A286" s="52"/>
      <c r="B286" s="52"/>
      <c r="C286" s="52"/>
      <c r="D286" s="53"/>
      <c r="E286" s="52"/>
      <c r="F286" s="52"/>
      <c r="G286" s="52"/>
      <c r="H286" s="52"/>
      <c r="I286" s="52"/>
      <c r="J286" s="52"/>
      <c r="K286" s="52"/>
      <c r="L286" s="3" t="str">
        <f>IF(ISBLANK(M286),"",MAX(L$5:L285)+1)</f>
        <v/>
      </c>
      <c r="N286" s="52"/>
      <c r="O286" s="52"/>
      <c r="P286" s="52"/>
      <c r="Q286" s="52"/>
      <c r="R286" s="52"/>
      <c r="S286" s="52"/>
      <c r="T286" s="52"/>
      <c r="U286" s="52"/>
      <c r="V286" s="52"/>
      <c r="W286" s="52"/>
      <c r="X286" s="52"/>
      <c r="Y286" s="52"/>
      <c r="Z286" s="52"/>
    </row>
    <row r="287" spans="1:26" s="55" customFormat="1">
      <c r="A287" s="52"/>
      <c r="B287" s="52"/>
      <c r="C287" s="52"/>
      <c r="D287" s="53"/>
      <c r="E287" s="52"/>
      <c r="F287" s="52"/>
      <c r="G287" s="52"/>
      <c r="H287" s="52"/>
      <c r="I287" s="52"/>
      <c r="J287" s="52"/>
      <c r="K287" s="52"/>
      <c r="L287" s="3" t="str">
        <f>IF(ISBLANK(M287),"",MAX(L$5:L286)+1)</f>
        <v/>
      </c>
      <c r="N287" s="52"/>
      <c r="O287" s="52"/>
      <c r="P287" s="52"/>
      <c r="Q287" s="52"/>
      <c r="R287" s="52"/>
      <c r="S287" s="52"/>
      <c r="T287" s="52"/>
      <c r="U287" s="52"/>
      <c r="V287" s="52"/>
      <c r="W287" s="52"/>
      <c r="X287" s="52"/>
      <c r="Y287" s="52"/>
      <c r="Z287" s="52"/>
    </row>
    <row r="288" spans="1:26" s="55" customFormat="1">
      <c r="A288" s="52"/>
      <c r="B288" s="52"/>
      <c r="C288" s="52"/>
      <c r="D288" s="53"/>
      <c r="E288" s="52"/>
      <c r="F288" s="52"/>
      <c r="G288" s="52"/>
      <c r="H288" s="52"/>
      <c r="I288" s="52"/>
      <c r="J288" s="52"/>
      <c r="K288" s="52"/>
      <c r="L288" s="3" t="str">
        <f>IF(ISBLANK(M288),"",MAX(L$5:L287)+1)</f>
        <v/>
      </c>
      <c r="N288" s="52"/>
      <c r="O288" s="52"/>
      <c r="P288" s="52"/>
      <c r="Q288" s="52"/>
      <c r="R288" s="52"/>
      <c r="S288" s="52"/>
      <c r="T288" s="52"/>
      <c r="U288" s="52"/>
      <c r="V288" s="52"/>
      <c r="W288" s="52"/>
      <c r="X288" s="52"/>
      <c r="Y288" s="52"/>
      <c r="Z288" s="52"/>
    </row>
    <row r="289" spans="1:26" s="55" customFormat="1">
      <c r="A289" s="52"/>
      <c r="B289" s="52"/>
      <c r="C289" s="52"/>
      <c r="D289" s="53"/>
      <c r="E289" s="52"/>
      <c r="F289" s="52"/>
      <c r="G289" s="52"/>
      <c r="H289" s="52"/>
      <c r="I289" s="52"/>
      <c r="J289" s="52"/>
      <c r="K289" s="52"/>
      <c r="L289" s="3" t="str">
        <f>IF(ISBLANK(M289),"",MAX(L$5:L288)+1)</f>
        <v/>
      </c>
      <c r="N289" s="52"/>
      <c r="O289" s="52"/>
      <c r="P289" s="52"/>
      <c r="Q289" s="52"/>
      <c r="R289" s="52"/>
      <c r="S289" s="52"/>
      <c r="T289" s="52"/>
      <c r="U289" s="52"/>
      <c r="V289" s="52"/>
      <c r="W289" s="52"/>
      <c r="X289" s="52"/>
      <c r="Y289" s="52"/>
      <c r="Z289" s="52"/>
    </row>
    <row r="290" spans="1:26" s="55" customFormat="1">
      <c r="A290" s="52"/>
      <c r="B290" s="52"/>
      <c r="C290" s="52"/>
      <c r="D290" s="53"/>
      <c r="E290" s="52"/>
      <c r="F290" s="52"/>
      <c r="G290" s="52"/>
      <c r="H290" s="52"/>
      <c r="I290" s="52"/>
      <c r="J290" s="52"/>
      <c r="K290" s="52"/>
      <c r="L290" s="3" t="str">
        <f>IF(ISBLANK(M290),"",MAX(L$5:L289)+1)</f>
        <v/>
      </c>
      <c r="N290" s="52"/>
      <c r="O290" s="52"/>
      <c r="P290" s="52"/>
      <c r="Q290" s="52"/>
      <c r="R290" s="52"/>
      <c r="S290" s="52"/>
      <c r="T290" s="52"/>
      <c r="U290" s="52"/>
      <c r="V290" s="52"/>
      <c r="W290" s="52"/>
      <c r="X290" s="52"/>
      <c r="Y290" s="52"/>
      <c r="Z290" s="52"/>
    </row>
    <row r="291" spans="1:26" s="55" customFormat="1">
      <c r="A291" s="52"/>
      <c r="B291" s="52"/>
      <c r="C291" s="52"/>
      <c r="D291" s="53"/>
      <c r="E291" s="52"/>
      <c r="F291" s="52"/>
      <c r="G291" s="52"/>
      <c r="H291" s="52"/>
      <c r="I291" s="52"/>
      <c r="J291" s="52"/>
      <c r="K291" s="52"/>
      <c r="L291" s="3" t="str">
        <f>IF(ISBLANK(M291),"",MAX(L$5:L290)+1)</f>
        <v/>
      </c>
      <c r="N291" s="52"/>
      <c r="O291" s="52"/>
      <c r="P291" s="52"/>
      <c r="Q291" s="52"/>
      <c r="R291" s="52"/>
      <c r="S291" s="52"/>
      <c r="T291" s="52"/>
      <c r="U291" s="52"/>
      <c r="V291" s="52"/>
      <c r="W291" s="52"/>
      <c r="X291" s="52"/>
      <c r="Y291" s="52"/>
      <c r="Z291" s="52"/>
    </row>
    <row r="292" spans="1:26" s="55" customFormat="1">
      <c r="A292" s="52"/>
      <c r="B292" s="52"/>
      <c r="C292" s="52"/>
      <c r="D292" s="53"/>
      <c r="E292" s="52"/>
      <c r="F292" s="52"/>
      <c r="G292" s="52"/>
      <c r="H292" s="52"/>
      <c r="I292" s="52"/>
      <c r="J292" s="52"/>
      <c r="K292" s="52"/>
      <c r="L292" s="3" t="str">
        <f>IF(ISBLANK(M292),"",MAX(L$5:L291)+1)</f>
        <v/>
      </c>
      <c r="N292" s="52"/>
      <c r="O292" s="52"/>
      <c r="P292" s="52"/>
      <c r="Q292" s="52"/>
      <c r="R292" s="52"/>
      <c r="S292" s="52"/>
      <c r="T292" s="52"/>
      <c r="U292" s="52"/>
      <c r="V292" s="52"/>
      <c r="W292" s="52"/>
      <c r="X292" s="52"/>
      <c r="Y292" s="52"/>
      <c r="Z292" s="52"/>
    </row>
    <row r="293" spans="1:26" s="55" customFormat="1">
      <c r="A293" s="52"/>
      <c r="B293" s="52"/>
      <c r="C293" s="52"/>
      <c r="D293" s="53"/>
      <c r="E293" s="52"/>
      <c r="F293" s="52"/>
      <c r="G293" s="52"/>
      <c r="H293" s="52"/>
      <c r="I293" s="52"/>
      <c r="J293" s="52"/>
      <c r="K293" s="52"/>
      <c r="L293" s="3" t="str">
        <f>IF(ISBLANK(M293),"",MAX(L$5:L292)+1)</f>
        <v/>
      </c>
      <c r="N293" s="52"/>
      <c r="O293" s="52"/>
      <c r="P293" s="52"/>
      <c r="Q293" s="52"/>
      <c r="R293" s="52"/>
      <c r="S293" s="52"/>
      <c r="T293" s="52"/>
      <c r="U293" s="52"/>
      <c r="V293" s="52"/>
      <c r="W293" s="52"/>
      <c r="X293" s="52"/>
      <c r="Y293" s="52"/>
      <c r="Z293" s="52"/>
    </row>
    <row r="294" spans="1:26" s="55" customFormat="1">
      <c r="A294" s="52"/>
      <c r="B294" s="52"/>
      <c r="C294" s="52"/>
      <c r="D294" s="53"/>
      <c r="E294" s="52"/>
      <c r="F294" s="52"/>
      <c r="G294" s="52"/>
      <c r="H294" s="52"/>
      <c r="I294" s="52"/>
      <c r="J294" s="52"/>
      <c r="K294" s="52"/>
      <c r="L294" s="3" t="str">
        <f>IF(ISBLANK(M294),"",MAX(L$5:L293)+1)</f>
        <v/>
      </c>
      <c r="N294" s="52"/>
      <c r="O294" s="52"/>
      <c r="P294" s="52"/>
      <c r="Q294" s="52"/>
      <c r="R294" s="52"/>
      <c r="S294" s="52"/>
      <c r="T294" s="52"/>
      <c r="U294" s="52"/>
      <c r="V294" s="52"/>
      <c r="W294" s="52"/>
      <c r="X294" s="52"/>
      <c r="Y294" s="52"/>
      <c r="Z294" s="52"/>
    </row>
    <row r="295" spans="1:26" s="55" customFormat="1">
      <c r="A295" s="52"/>
      <c r="B295" s="52"/>
      <c r="C295" s="52"/>
      <c r="D295" s="53"/>
      <c r="E295" s="52"/>
      <c r="F295" s="52"/>
      <c r="G295" s="52"/>
      <c r="H295" s="52"/>
      <c r="I295" s="52"/>
      <c r="J295" s="52"/>
      <c r="K295" s="52"/>
      <c r="L295" s="3" t="str">
        <f>IF(ISBLANK(M295),"",MAX(L$5:L294)+1)</f>
        <v/>
      </c>
      <c r="N295" s="52"/>
      <c r="O295" s="52"/>
      <c r="P295" s="52"/>
      <c r="Q295" s="52"/>
      <c r="R295" s="52"/>
      <c r="S295" s="52"/>
      <c r="T295" s="52"/>
      <c r="U295" s="52"/>
      <c r="V295" s="52"/>
      <c r="W295" s="52"/>
      <c r="X295" s="52"/>
      <c r="Y295" s="52"/>
      <c r="Z295" s="52"/>
    </row>
    <row r="296" spans="1:26">
      <c r="L296" s="3">
        <f>IF(ISBLANK(M296),"",MAX(L$5:L295)+1)</f>
        <v>79</v>
      </c>
      <c r="M296" s="4" t="s">
        <v>129</v>
      </c>
    </row>
    <row r="297" spans="1:26">
      <c r="L297" s="3" t="str">
        <f>IF(ISBLANK(M297),"",MAX(L$5:L296)+1)</f>
        <v/>
      </c>
    </row>
    <row r="298" spans="1:26">
      <c r="L298" s="3" t="str">
        <f>IF(ISBLANK(M298),"",MAX(L$5:L297)+1)</f>
        <v/>
      </c>
    </row>
    <row r="299" spans="1:26" s="55" customFormat="1">
      <c r="A299" s="52"/>
      <c r="B299" s="52"/>
      <c r="C299" s="52"/>
      <c r="D299" s="53"/>
      <c r="E299" s="52"/>
      <c r="F299" s="52"/>
      <c r="G299" s="52"/>
      <c r="H299" s="52"/>
      <c r="I299" s="52"/>
      <c r="J299" s="52"/>
      <c r="K299" s="52"/>
      <c r="L299" s="3" t="str">
        <f>IF(ISBLANK(M299),"",MAX(L$5:L298)+1)</f>
        <v/>
      </c>
      <c r="N299" s="52"/>
      <c r="O299" s="52"/>
      <c r="P299" s="52"/>
      <c r="Q299" s="52"/>
      <c r="R299" s="52"/>
      <c r="S299" s="52"/>
      <c r="T299" s="52"/>
      <c r="U299" s="52"/>
      <c r="V299" s="52"/>
      <c r="W299" s="52"/>
      <c r="X299" s="52"/>
      <c r="Y299" s="52"/>
      <c r="Z299" s="52"/>
    </row>
    <row r="300" spans="1:26" s="55" customFormat="1">
      <c r="A300" s="52"/>
      <c r="B300" s="52"/>
      <c r="C300" s="52"/>
      <c r="D300" s="53"/>
      <c r="E300" s="52"/>
      <c r="F300" s="52"/>
      <c r="G300" s="52"/>
      <c r="H300" s="52"/>
      <c r="I300" s="52"/>
      <c r="J300" s="52"/>
      <c r="K300" s="52"/>
      <c r="L300" s="3" t="str">
        <f>IF(ISBLANK(M300),"",MAX(L$5:L299)+1)</f>
        <v/>
      </c>
      <c r="N300" s="52"/>
      <c r="O300" s="52"/>
      <c r="P300" s="52"/>
      <c r="Q300" s="52"/>
      <c r="R300" s="52"/>
      <c r="S300" s="52"/>
      <c r="T300" s="52"/>
      <c r="U300" s="52"/>
      <c r="V300" s="52"/>
      <c r="W300" s="52"/>
      <c r="X300" s="52"/>
      <c r="Y300" s="52"/>
      <c r="Z300" s="52"/>
    </row>
    <row r="301" spans="1:26" s="55" customFormat="1">
      <c r="A301" s="52"/>
      <c r="B301" s="52"/>
      <c r="C301" s="52"/>
      <c r="D301" s="53"/>
      <c r="E301" s="52"/>
      <c r="F301" s="52"/>
      <c r="G301" s="52"/>
      <c r="H301" s="52"/>
      <c r="I301" s="52"/>
      <c r="J301" s="52"/>
      <c r="K301" s="52"/>
      <c r="L301" s="3" t="str">
        <f>IF(ISBLANK(M301),"",MAX(L$5:L300)+1)</f>
        <v/>
      </c>
      <c r="N301" s="52"/>
      <c r="O301" s="52"/>
      <c r="P301" s="52"/>
      <c r="Q301" s="52"/>
      <c r="R301" s="52"/>
      <c r="S301" s="52"/>
      <c r="T301" s="52"/>
      <c r="U301" s="52"/>
      <c r="V301" s="52"/>
      <c r="W301" s="52"/>
      <c r="X301" s="52"/>
      <c r="Y301" s="52"/>
      <c r="Z301" s="52"/>
    </row>
    <row r="302" spans="1:26" s="55" customFormat="1">
      <c r="C302" s="52"/>
      <c r="D302" s="53"/>
      <c r="E302" s="52"/>
      <c r="F302" s="52"/>
      <c r="G302" s="52"/>
      <c r="H302" s="52"/>
      <c r="I302" s="52"/>
      <c r="J302" s="52"/>
      <c r="K302" s="52"/>
      <c r="L302" s="3" t="str">
        <f>IF(ISBLANK(M302),"",MAX(L$5:L301)+1)</f>
        <v/>
      </c>
    </row>
    <row r="303" spans="1:26" s="55" customFormat="1">
      <c r="C303" s="52"/>
      <c r="D303" s="53"/>
      <c r="E303" s="52"/>
      <c r="F303" s="52"/>
      <c r="G303" s="52"/>
      <c r="H303" s="52"/>
      <c r="I303" s="52"/>
      <c r="J303" s="52"/>
      <c r="K303" s="52"/>
      <c r="L303" s="3" t="str">
        <f>IF(ISBLANK(M303),"",MAX(L$5:L302)+1)</f>
        <v/>
      </c>
    </row>
    <row r="304" spans="1:26" s="55" customFormat="1">
      <c r="C304" s="52"/>
      <c r="D304" s="53"/>
      <c r="E304" s="52"/>
      <c r="F304" s="52"/>
      <c r="G304" s="52"/>
      <c r="H304" s="52"/>
      <c r="I304" s="52"/>
      <c r="J304" s="52"/>
      <c r="K304" s="52"/>
      <c r="L304" s="3" t="str">
        <f>IF(ISBLANK(M304),"",MAX(L$5:L303)+1)</f>
        <v/>
      </c>
    </row>
    <row r="305" spans="1:26" s="55" customFormat="1">
      <c r="C305" s="52"/>
      <c r="D305" s="53"/>
      <c r="E305" s="52"/>
      <c r="F305" s="52"/>
      <c r="G305" s="52"/>
      <c r="H305" s="52"/>
      <c r="I305" s="52"/>
      <c r="J305" s="52"/>
      <c r="K305" s="52"/>
      <c r="L305" s="3" t="str">
        <f>IF(ISBLANK(M305),"",MAX(L$5:L304)+1)</f>
        <v/>
      </c>
    </row>
    <row r="306" spans="1:26" s="55" customFormat="1">
      <c r="C306" s="52"/>
      <c r="D306" s="53"/>
      <c r="E306" s="52"/>
      <c r="F306" s="52"/>
      <c r="G306" s="52"/>
      <c r="H306" s="52"/>
      <c r="I306" s="52"/>
      <c r="J306" s="52"/>
      <c r="K306" s="52"/>
      <c r="L306" s="3" t="str">
        <f>IF(ISBLANK(M306),"",MAX(L$5:L305)+1)</f>
        <v/>
      </c>
    </row>
    <row r="307" spans="1:26" s="55" customFormat="1">
      <c r="C307" s="52"/>
      <c r="D307" s="53"/>
      <c r="E307" s="52"/>
      <c r="F307" s="52"/>
      <c r="G307" s="52"/>
      <c r="H307" s="52"/>
      <c r="I307" s="52"/>
      <c r="J307" s="52"/>
      <c r="K307" s="52"/>
      <c r="L307" s="3" t="str">
        <f>IF(ISBLANK(M307),"",MAX(L$5:L306)+1)</f>
        <v/>
      </c>
    </row>
    <row r="308" spans="1:26" s="55" customFormat="1">
      <c r="C308" s="52"/>
      <c r="D308" s="53"/>
      <c r="E308" s="52"/>
      <c r="F308" s="52"/>
      <c r="G308" s="52"/>
      <c r="H308" s="52"/>
      <c r="I308" s="52"/>
      <c r="J308" s="52"/>
      <c r="K308" s="52"/>
      <c r="L308" s="3" t="str">
        <f>IF(ISBLANK(M308),"",MAX(L$5:L307)+1)</f>
        <v/>
      </c>
    </row>
    <row r="309" spans="1:26" s="55" customFormat="1">
      <c r="C309" s="52"/>
      <c r="D309" s="53"/>
      <c r="E309" s="52"/>
      <c r="F309" s="52"/>
      <c r="G309" s="52"/>
      <c r="H309" s="52"/>
      <c r="I309" s="52"/>
      <c r="J309" s="52"/>
      <c r="K309" s="52"/>
      <c r="L309" s="3" t="str">
        <f>IF(ISBLANK(M309),"",MAX(L$5:L308)+1)</f>
        <v/>
      </c>
    </row>
    <row r="310" spans="1:26" s="55" customFormat="1">
      <c r="C310" s="52"/>
      <c r="D310" s="53"/>
      <c r="E310" s="52"/>
      <c r="F310" s="52"/>
      <c r="G310" s="52"/>
      <c r="H310" s="52"/>
      <c r="I310" s="52"/>
      <c r="J310" s="52"/>
      <c r="K310" s="52"/>
      <c r="L310" s="3" t="str">
        <f>IF(ISBLANK(M310),"",MAX(L$5:L309)+1)</f>
        <v/>
      </c>
    </row>
    <row r="311" spans="1:26" s="55" customFormat="1">
      <c r="C311" s="52"/>
      <c r="D311" s="53"/>
      <c r="E311" s="52"/>
      <c r="F311" s="52"/>
      <c r="G311" s="52"/>
      <c r="H311" s="52"/>
      <c r="I311" s="52"/>
      <c r="J311" s="52"/>
      <c r="K311" s="52"/>
      <c r="L311" s="3" t="str">
        <f>IF(ISBLANK(M311),"",MAX(L$5:L310)+1)</f>
        <v/>
      </c>
    </row>
    <row r="312" spans="1:26" s="55" customFormat="1">
      <c r="C312" s="52"/>
      <c r="D312" s="53"/>
      <c r="E312" s="52"/>
      <c r="F312" s="52"/>
      <c r="G312" s="52"/>
      <c r="H312" s="52"/>
      <c r="I312" s="52"/>
      <c r="J312" s="52"/>
      <c r="K312" s="52"/>
      <c r="L312" s="3" t="str">
        <f>IF(ISBLANK(M312),"",MAX(L$5:L311)+1)</f>
        <v/>
      </c>
    </row>
    <row r="313" spans="1:26" s="55" customFormat="1">
      <c r="C313" s="52"/>
      <c r="D313" s="53"/>
      <c r="E313" s="52"/>
      <c r="F313" s="52"/>
      <c r="G313" s="52"/>
      <c r="H313" s="52"/>
      <c r="I313" s="52"/>
      <c r="J313" s="52"/>
      <c r="K313" s="52"/>
      <c r="L313" s="3" t="str">
        <f>IF(ISBLANK(M313),"",MAX(L$5:L312)+1)</f>
        <v/>
      </c>
    </row>
    <row r="314" spans="1:26" s="55" customFormat="1">
      <c r="C314" s="52"/>
      <c r="D314" s="53"/>
      <c r="E314" s="52"/>
      <c r="F314" s="52"/>
      <c r="G314" s="52"/>
      <c r="H314" s="52"/>
      <c r="I314" s="52"/>
      <c r="J314" s="52"/>
      <c r="K314" s="52"/>
      <c r="L314" s="3" t="str">
        <f>IF(ISBLANK(M314),"",MAX(L$5:L313)+1)</f>
        <v/>
      </c>
    </row>
    <row r="315" spans="1:26" s="55" customFormat="1">
      <c r="C315" s="52"/>
      <c r="D315" s="53"/>
      <c r="E315" s="52"/>
      <c r="F315" s="52"/>
      <c r="G315" s="52"/>
      <c r="H315" s="52"/>
      <c r="I315" s="52"/>
      <c r="J315" s="52"/>
      <c r="K315" s="52"/>
      <c r="L315" s="3" t="str">
        <f>IF(ISBLANK(M315),"",MAX(L$5:L314)+1)</f>
        <v/>
      </c>
    </row>
    <row r="316" spans="1:26" s="55" customFormat="1">
      <c r="C316" s="52"/>
      <c r="D316" s="53"/>
      <c r="E316" s="52"/>
      <c r="F316" s="52"/>
      <c r="G316" s="52"/>
      <c r="H316" s="52"/>
      <c r="I316" s="52"/>
      <c r="J316" s="52"/>
      <c r="K316" s="52"/>
      <c r="L316" s="3" t="str">
        <f>IF(ISBLANK(M316),"",MAX(L$5:L315)+1)</f>
        <v/>
      </c>
    </row>
    <row r="317" spans="1:26" s="55" customFormat="1">
      <c r="C317" s="52"/>
      <c r="D317" s="53"/>
      <c r="E317" s="52"/>
      <c r="F317" s="52"/>
      <c r="G317" s="52"/>
      <c r="H317" s="52"/>
      <c r="I317" s="52"/>
      <c r="J317" s="52"/>
      <c r="K317" s="52"/>
      <c r="L317" s="3" t="str">
        <f>IF(ISBLANK(M317),"",MAX(L$5:L316)+1)</f>
        <v/>
      </c>
    </row>
    <row r="318" spans="1:26" s="55" customFormat="1">
      <c r="A318" s="52"/>
      <c r="B318" s="52"/>
      <c r="C318" s="52"/>
      <c r="D318" s="53"/>
      <c r="E318" s="52"/>
      <c r="F318" s="52"/>
      <c r="G318" s="52"/>
      <c r="H318" s="52"/>
      <c r="I318" s="52"/>
      <c r="J318" s="52"/>
      <c r="K318" s="52"/>
      <c r="L318" s="3" t="str">
        <f>IF(ISBLANK(M318),"",MAX(L$5:L317)+1)</f>
        <v/>
      </c>
      <c r="N318" s="52"/>
      <c r="O318" s="52"/>
      <c r="P318" s="52"/>
      <c r="Q318" s="52"/>
      <c r="R318" s="52"/>
      <c r="S318" s="52"/>
      <c r="T318" s="52"/>
      <c r="U318" s="52"/>
      <c r="V318" s="52"/>
      <c r="W318" s="52"/>
      <c r="X318" s="52"/>
      <c r="Y318" s="52"/>
      <c r="Z318" s="52"/>
    </row>
    <row r="319" spans="1:26">
      <c r="L319" s="3" t="str">
        <f>IF(ISBLANK(M319),"",MAX(L$5:L318)+1)</f>
        <v/>
      </c>
    </row>
    <row r="320" spans="1:26">
      <c r="L320" s="3" t="str">
        <f>IF(ISBLANK(M320),"",MAX(L$5:L319)+1)</f>
        <v/>
      </c>
    </row>
    <row r="321" spans="2:26">
      <c r="L321" s="3" t="str">
        <f>IF(ISBLANK(M321),"",MAX(L$5:L320)+1)</f>
        <v/>
      </c>
    </row>
    <row r="322" spans="2:26">
      <c r="L322" s="3" t="str">
        <f>IF(ISBLANK(M322),"",MAX(L$5:L321)+1)</f>
        <v/>
      </c>
    </row>
    <row r="323" spans="2:26">
      <c r="L323" s="3" t="str">
        <f>IF(ISBLANK(M323),"",MAX(L$5:L322)+1)</f>
        <v/>
      </c>
    </row>
    <row r="324" spans="2:26">
      <c r="L324" s="3" t="str">
        <f>IF(ISBLANK(M324),"",MAX(L$5:L323)+1)</f>
        <v/>
      </c>
    </row>
    <row r="325" spans="2:26">
      <c r="L325" s="3" t="str">
        <f>IF(ISBLANK(M325),"",MAX(L$5:L324)+1)</f>
        <v/>
      </c>
    </row>
    <row r="326" spans="2:26">
      <c r="L326" s="3" t="str">
        <f>IF(ISBLANK(M326),"",MAX(L$5:L325)+1)</f>
        <v/>
      </c>
    </row>
    <row r="327" spans="2:26">
      <c r="B327" s="1" t="s">
        <v>150</v>
      </c>
      <c r="L327" s="3">
        <f>IF(ISBLANK(M327),"",MAX(L$5:L326)+1)</f>
        <v>80</v>
      </c>
      <c r="M327" s="55" t="s">
        <v>151</v>
      </c>
    </row>
    <row r="328" spans="2:26" outlineLevel="1">
      <c r="B328" s="12" t="s">
        <v>99</v>
      </c>
      <c r="L328" s="3">
        <f>IF(ISBLANK(M328),"",MAX(L$5:L327)+1)</f>
        <v>81</v>
      </c>
      <c r="M328" s="55" t="s">
        <v>100</v>
      </c>
    </row>
    <row r="329" spans="2:26" outlineLevel="1">
      <c r="B329" s="80" t="s">
        <v>47</v>
      </c>
      <c r="L329" s="3" t="str">
        <f>IF(ISBLANK(M329),"",MAX(L$5:L328)+1)</f>
        <v/>
      </c>
    </row>
    <row r="330" spans="2:26" outlineLevel="1">
      <c r="B330" s="80" t="s">
        <v>101</v>
      </c>
      <c r="L330" s="3" t="str">
        <f>IF(ISBLANK(M330),"",MAX(L$5:L329)+1)</f>
        <v/>
      </c>
    </row>
    <row r="331" spans="2:26" outlineLevel="1">
      <c r="B331" s="80" t="s">
        <v>102</v>
      </c>
      <c r="L331" s="3" t="str">
        <f>IF(ISBLANK(M331),"",MAX(L$5:L330)+1)</f>
        <v/>
      </c>
    </row>
    <row r="332" spans="2:26" outlineLevel="1">
      <c r="B332" s="5"/>
      <c r="L332" s="3" t="str">
        <f>IF(ISBLANK(M332),"",MAX(L$5:L331)+1)</f>
        <v/>
      </c>
    </row>
    <row r="333" spans="2:26" outlineLevel="1">
      <c r="B333" s="12" t="s">
        <v>103</v>
      </c>
      <c r="L333" s="3">
        <f>IF(ISBLANK(M333),"",MAX(L$5:L332)+1)</f>
        <v>82</v>
      </c>
      <c r="M333" s="55" t="s">
        <v>104</v>
      </c>
    </row>
    <row r="334" spans="2:26" outlineLevel="1">
      <c r="B334" s="5" t="s">
        <v>105</v>
      </c>
      <c r="L334" s="3" t="str">
        <f>IF(ISBLANK(M334),"",MAX(L$5:L333)+1)</f>
        <v/>
      </c>
    </row>
    <row r="335" spans="2:26" outlineLevel="1">
      <c r="B335" s="5" t="s">
        <v>106</v>
      </c>
      <c r="L335" s="3" t="str">
        <f>IF(ISBLANK(M335),"",MAX(L$5:L334)+1)</f>
        <v/>
      </c>
    </row>
    <row r="336" spans="2:26" s="55" customFormat="1" outlineLevel="1">
      <c r="B336" s="5" t="s">
        <v>107</v>
      </c>
      <c r="C336" s="52"/>
      <c r="D336" s="53"/>
      <c r="E336" s="52"/>
      <c r="F336" s="52"/>
      <c r="G336" s="52"/>
      <c r="H336" s="52"/>
      <c r="I336" s="52"/>
      <c r="J336" s="52"/>
      <c r="K336" s="52"/>
      <c r="L336" s="3" t="str">
        <f>IF(ISBLANK(M336),"",MAX(L$5:L335)+1)</f>
        <v/>
      </c>
      <c r="N336" s="52"/>
      <c r="O336" s="52"/>
      <c r="P336" s="52"/>
      <c r="Q336" s="52"/>
      <c r="R336" s="52"/>
      <c r="S336" s="52"/>
      <c r="T336" s="52"/>
      <c r="U336" s="52"/>
      <c r="V336" s="52"/>
      <c r="W336" s="52"/>
      <c r="X336" s="52"/>
      <c r="Y336" s="52"/>
      <c r="Z336" s="52"/>
    </row>
    <row r="337" spans="2:26" s="55" customFormat="1" outlineLevel="1">
      <c r="B337" s="52"/>
      <c r="C337" s="52"/>
      <c r="D337" s="53"/>
      <c r="E337" s="52"/>
      <c r="F337" s="52"/>
      <c r="G337" s="52"/>
      <c r="H337" s="52"/>
      <c r="I337" s="52"/>
      <c r="J337" s="52"/>
      <c r="K337" s="52"/>
      <c r="L337" s="3" t="str">
        <f>IF(ISBLANK(M337),"",MAX(L$5:L336)+1)</f>
        <v/>
      </c>
      <c r="N337" s="52"/>
      <c r="O337" s="52"/>
      <c r="P337" s="52"/>
      <c r="Q337" s="52"/>
      <c r="R337" s="52"/>
      <c r="S337" s="52"/>
      <c r="T337" s="52"/>
      <c r="U337" s="52"/>
      <c r="V337" s="52"/>
      <c r="W337" s="52"/>
      <c r="X337" s="52"/>
      <c r="Y337" s="52"/>
      <c r="Z337" s="52"/>
    </row>
  </sheetData>
  <conditionalFormatting sqref="E9">
    <cfRule type="expression" dxfId="0" priority="4">
      <formula>SUM(E202:K202)&lt;&gt;0</formula>
    </cfRule>
  </conditionalFormatting>
  <conditionalFormatting sqref="E205:K209 C205:C209">
    <cfRule type="colorScale" priority="3">
      <colorScale>
        <cfvo type="min"/>
        <cfvo type="percentile" val="50"/>
        <cfvo type="max"/>
        <color theme="0"/>
        <color rgb="FFFFEB84"/>
        <color rgb="FF63BE7B"/>
      </colorScale>
    </cfRule>
  </conditionalFormatting>
  <conditionalFormatting sqref="E214:K218 C214:C218">
    <cfRule type="colorScale" priority="2">
      <colorScale>
        <cfvo type="min"/>
        <cfvo type="percentile" val="50"/>
        <cfvo type="max"/>
        <color theme="0"/>
        <color rgb="FFFFEB84"/>
        <color rgb="FF63BE7B"/>
      </colorScale>
    </cfRule>
  </conditionalFormatting>
  <conditionalFormatting sqref="E242:K249 C242:C249">
    <cfRule type="colorScale" priority="1">
      <colorScale>
        <cfvo type="min"/>
        <cfvo type="percentile" val="50"/>
        <cfvo type="max"/>
        <color theme="0"/>
        <color rgb="FFFFEB84"/>
        <color rgb="FF63BE7B"/>
      </colorScale>
    </cfRule>
  </conditionalFormatting>
  <dataValidations count="4">
    <dataValidation type="list" allowBlank="1" showInputMessage="1" showErrorMessage="1" sqref="E8" xr:uid="{FACA50BC-D36B-5543-B763-0645406D2766}">
      <formula1>"no,yes"</formula1>
    </dataValidation>
    <dataValidation type="list" allowBlank="1" showInputMessage="1" showErrorMessage="1" sqref="E50:H50" xr:uid="{9D278249-987A-2949-ABEF-28138E9DA472}">
      <formula1>$B$329:$B$331</formula1>
    </dataValidation>
    <dataValidation type="list" allowBlank="1" showInputMessage="1" showErrorMessage="1" sqref="E57:J58" xr:uid="{ECC584F0-3562-DC4D-99D3-63796D74D84C}">
      <formula1>$E$56:$K$56</formula1>
    </dataValidation>
    <dataValidation type="list" allowBlank="1" showInputMessage="1" showErrorMessage="1" sqref="E44:H44" xr:uid="{4171EB1C-87BD-074D-BE31-097A1C32E1FA}">
      <formula1>$B$334:$B$336</formula1>
    </dataValidation>
  </dataValidations>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9B4AB-F6DB-FB4C-B2B6-E10479D4F7B5}">
  <sheetPr codeName="Sheet3"/>
  <dimension ref="B2:B15"/>
  <sheetViews>
    <sheetView showGridLines="0" workbookViewId="0">
      <pane ySplit="2" topLeftCell="A3" activePane="bottomLeft" state="frozen"/>
      <selection activeCell="B9" sqref="B9"/>
      <selection pane="bottomLeft" activeCell="B2" sqref="B2"/>
    </sheetView>
  </sheetViews>
  <sheetFormatPr baseColWidth="10" defaultColWidth="9" defaultRowHeight="21"/>
  <cols>
    <col min="1" max="1" width="3" style="48" customWidth="1"/>
    <col min="2" max="2" width="160" style="51" customWidth="1"/>
    <col min="3" max="8" width="13.5" style="48" customWidth="1"/>
    <col min="9" max="10" width="12" style="48" customWidth="1"/>
    <col min="11" max="18" width="10.5" style="48" customWidth="1"/>
    <col min="19" max="23" width="12" style="48" customWidth="1"/>
    <col min="24" max="26" width="10.5" style="48" customWidth="1"/>
    <col min="27" max="27" width="12.83203125" style="48" bestFit="1" customWidth="1"/>
    <col min="28" max="16384" width="9" style="48"/>
  </cols>
  <sheetData>
    <row r="2" spans="2:2">
      <c r="B2" s="49" t="s">
        <v>192</v>
      </c>
    </row>
    <row r="4" spans="2:2">
      <c r="B4" s="49" t="s">
        <v>222</v>
      </c>
    </row>
    <row r="5" spans="2:2" ht="88">
      <c r="B5" s="50" t="s">
        <v>223</v>
      </c>
    </row>
    <row r="7" spans="2:2">
      <c r="B7" s="49" t="s">
        <v>196</v>
      </c>
    </row>
    <row r="8" spans="2:2" ht="22">
      <c r="B8" s="50" t="s">
        <v>197</v>
      </c>
    </row>
    <row r="9" spans="2:2" ht="22">
      <c r="B9" s="50" t="s">
        <v>198</v>
      </c>
    </row>
    <row r="10" spans="2:2" ht="22">
      <c r="B10" s="50" t="s">
        <v>199</v>
      </c>
    </row>
    <row r="12" spans="2:2">
      <c r="B12" s="49" t="s">
        <v>193</v>
      </c>
    </row>
    <row r="13" spans="2:2" ht="22">
      <c r="B13" s="50" t="s">
        <v>195</v>
      </c>
    </row>
    <row r="14" spans="2:2">
      <c r="B14" s="50"/>
    </row>
    <row r="15" spans="2:2" ht="22">
      <c r="B15" s="50" t="s">
        <v>194</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README</vt:lpstr>
      <vt:lpstr>License</vt:lpstr>
      <vt:lpstr>Exit Waterfall</vt:lpstr>
      <vt:lpstr>Changelog</vt:lpstr>
      <vt:lpstr>README!Print_Area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 Davidson</dc:creator>
  <cp:lastModifiedBy>Taylor Davidson</cp:lastModifiedBy>
  <dcterms:created xsi:type="dcterms:W3CDTF">2020-04-01T10:53:12Z</dcterms:created>
  <dcterms:modified xsi:type="dcterms:W3CDTF">2020-05-12T19:27:25Z</dcterms:modified>
</cp:coreProperties>
</file>